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tabRatio="662" activeTab="8"/>
  </bookViews>
  <sheets>
    <sheet name="S3" sheetId="34" r:id="rId1"/>
    <sheet name="L6" sheetId="28" r:id="rId2"/>
    <sheet name="L5" sheetId="29" r:id="rId3"/>
    <sheet name="L5.1" sheetId="30" r:id="rId4"/>
    <sheet name="S6" sheetId="20" r:id="rId5"/>
    <sheet name="L7" sheetId="14" r:id="rId6"/>
    <sheet name="L8.2" sheetId="16" r:id="rId7"/>
    <sheet name="L8.1" sheetId="15" r:id="rId8"/>
    <sheet name="L13" sheetId="22" r:id="rId9"/>
    <sheet name="L9" sheetId="18" r:id="rId10"/>
    <sheet name="L11" sheetId="23" r:id="rId11"/>
    <sheet name="14" sheetId="12" r:id="rId12"/>
    <sheet name="L12" sheetId="19" r:id="rId13"/>
    <sheet name="S7" sheetId="24" r:id="rId14"/>
    <sheet name="S8.1" sheetId="25" r:id="rId15"/>
    <sheet name="S8.2" sheetId="26" r:id="rId16"/>
    <sheet name="S8.3" sheetId="27" r:id="rId17"/>
    <sheet name="tasks proj selection 1" sheetId="31" r:id="rId18"/>
    <sheet name="tasks proj selection 2" sheetId="32" r:id="rId19"/>
    <sheet name="dividend discount model" sheetId="33" r:id="rId20"/>
  </sheets>
  <definedNames>
    <definedName name="_Hlk25847407" localSheetId="19">'dividend discount model'!$H$297</definedName>
    <definedName name="_Hlk25847407" localSheetId="3">L5.1!$H$297</definedName>
    <definedName name="_Hlk25847407" localSheetId="17">'tasks proj selection 1'!$H$297</definedName>
    <definedName name="_Hlk25847407" localSheetId="18">'tasks proj selection 2'!$H$297</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4" i="34" l="1"/>
  <c r="H14" i="34"/>
  <c r="C14" i="34" s="1"/>
  <c r="C15" i="34"/>
  <c r="F15" i="34"/>
  <c r="H15" i="34"/>
  <c r="F16" i="34"/>
  <c r="H16" i="34" s="1"/>
  <c r="C16" i="34" s="1"/>
  <c r="F17" i="34"/>
  <c r="H17" i="34"/>
  <c r="C17" i="34" s="1"/>
  <c r="C33" i="34"/>
  <c r="E52" i="34"/>
  <c r="F52" i="34"/>
  <c r="G52" i="34"/>
  <c r="H52" i="34"/>
  <c r="I52" i="34"/>
  <c r="J52" i="34"/>
  <c r="K52" i="34"/>
  <c r="L52" i="34"/>
  <c r="M52" i="34"/>
  <c r="N52" i="34"/>
  <c r="O52" i="34"/>
  <c r="P52" i="34"/>
  <c r="Q52" i="34"/>
  <c r="R52" i="34"/>
  <c r="S52" i="34"/>
  <c r="T52" i="34"/>
  <c r="U52" i="34"/>
  <c r="V52" i="34"/>
  <c r="E53" i="34"/>
  <c r="E54" i="34" s="1"/>
  <c r="F53" i="34"/>
  <c r="G53" i="34"/>
  <c r="H53" i="34"/>
  <c r="I53" i="34"/>
  <c r="I54" i="34" s="1"/>
  <c r="J53" i="34"/>
  <c r="K53" i="34"/>
  <c r="L53" i="34"/>
  <c r="M53" i="34"/>
  <c r="M54" i="34" s="1"/>
  <c r="N53" i="34"/>
  <c r="O53" i="34"/>
  <c r="P53" i="34"/>
  <c r="Q53" i="34"/>
  <c r="Q54" i="34" s="1"/>
  <c r="R53" i="34"/>
  <c r="S53" i="34"/>
  <c r="T53" i="34"/>
  <c r="U53" i="34"/>
  <c r="U54" i="34" s="1"/>
  <c r="V53" i="34"/>
  <c r="F54" i="34"/>
  <c r="G54" i="34"/>
  <c r="H54" i="34"/>
  <c r="J54" i="34"/>
  <c r="K54" i="34"/>
  <c r="L54" i="34"/>
  <c r="N54" i="34"/>
  <c r="O54" i="34"/>
  <c r="P54" i="34"/>
  <c r="R54" i="34"/>
  <c r="S54" i="34"/>
  <c r="T54" i="34"/>
  <c r="V54" i="34"/>
  <c r="C61" i="34"/>
  <c r="C63" i="34" s="1"/>
  <c r="C80" i="34"/>
  <c r="F83" i="34"/>
  <c r="G83" i="34" s="1"/>
  <c r="E84" i="34"/>
  <c r="F84" i="34"/>
  <c r="G84" i="34"/>
  <c r="H84" i="34"/>
  <c r="I84" i="34"/>
  <c r="J84" i="34"/>
  <c r="K84" i="34"/>
  <c r="L84" i="34"/>
  <c r="M84" i="34"/>
  <c r="N84" i="34"/>
  <c r="O84" i="34"/>
  <c r="P84" i="34"/>
  <c r="Q84" i="34"/>
  <c r="R84" i="34"/>
  <c r="S84" i="34"/>
  <c r="T84" i="34"/>
  <c r="U84" i="34"/>
  <c r="V84" i="34"/>
  <c r="W84" i="34"/>
  <c r="X84" i="34"/>
  <c r="Y84" i="34"/>
  <c r="Z84" i="34"/>
  <c r="AA84" i="34"/>
  <c r="AB84" i="34"/>
  <c r="AC84" i="34"/>
  <c r="AD84" i="34"/>
  <c r="AE84" i="34"/>
  <c r="AF84" i="34"/>
  <c r="AG84" i="34"/>
  <c r="AH84" i="34"/>
  <c r="AI84" i="34"/>
  <c r="C93" i="34"/>
  <c r="C109" i="34"/>
  <c r="C112" i="34"/>
  <c r="C114" i="34" s="1"/>
  <c r="C142" i="34"/>
  <c r="C143" i="34" s="1"/>
  <c r="C147" i="34" s="1"/>
  <c r="C152" i="34" s="1"/>
  <c r="C148" i="34"/>
  <c r="C150" i="34"/>
  <c r="D171" i="34"/>
  <c r="D177" i="34"/>
  <c r="D180" i="34"/>
  <c r="D184" i="34" s="1"/>
  <c r="D191" i="34"/>
  <c r="C210" i="34"/>
  <c r="L217" i="34"/>
  <c r="M217" i="34"/>
  <c r="N217" i="34"/>
  <c r="C219" i="34"/>
  <c r="C242" i="34"/>
  <c r="C245" i="34" s="1"/>
  <c r="F243" i="34"/>
  <c r="G243" i="34"/>
  <c r="C260" i="34"/>
  <c r="C263" i="34"/>
  <c r="I244" i="34" l="1"/>
  <c r="I247" i="34"/>
  <c r="I243" i="34"/>
  <c r="H243" i="34" s="1"/>
  <c r="J243" i="34" s="1"/>
  <c r="F244" i="34" s="1"/>
  <c r="I246" i="34"/>
  <c r="I245" i="34"/>
  <c r="C56" i="34"/>
  <c r="H83" i="34"/>
  <c r="G85" i="34"/>
  <c r="F85" i="34"/>
  <c r="C16" i="33"/>
  <c r="C23" i="33" s="1"/>
  <c r="C46" i="33"/>
  <c r="C47" i="33"/>
  <c r="C48" i="33" s="1"/>
  <c r="G49" i="33"/>
  <c r="F50" i="33"/>
  <c r="G50" i="33"/>
  <c r="H50" i="33"/>
  <c r="I50" i="33"/>
  <c r="J50" i="33"/>
  <c r="I11" i="32"/>
  <c r="I12" i="32"/>
  <c r="I13" i="32" s="1"/>
  <c r="J12" i="32"/>
  <c r="K12" i="32"/>
  <c r="L12" i="32"/>
  <c r="M12" i="32"/>
  <c r="N12" i="32"/>
  <c r="O12" i="32"/>
  <c r="P12" i="32"/>
  <c r="Q12" i="32"/>
  <c r="R12" i="32"/>
  <c r="S12" i="32"/>
  <c r="T12" i="32"/>
  <c r="U12" i="32"/>
  <c r="V12" i="32"/>
  <c r="W12" i="32"/>
  <c r="X12" i="32"/>
  <c r="Y12" i="32"/>
  <c r="Z12" i="32"/>
  <c r="AA12" i="32"/>
  <c r="AB12" i="32"/>
  <c r="AC12" i="32"/>
  <c r="AD12" i="32"/>
  <c r="AE12" i="32"/>
  <c r="AF12" i="32"/>
  <c r="AG12" i="32"/>
  <c r="AH12" i="32"/>
  <c r="C17" i="32"/>
  <c r="C20" i="32" s="1"/>
  <c r="D51" i="32"/>
  <c r="D52" i="32" s="1"/>
  <c r="E51" i="32"/>
  <c r="E52" i="32" s="1"/>
  <c r="F51" i="32"/>
  <c r="G51" i="32"/>
  <c r="F52" i="32"/>
  <c r="G52" i="32"/>
  <c r="D53" i="32"/>
  <c r="F53" i="32"/>
  <c r="G53" i="32"/>
  <c r="C59" i="32"/>
  <c r="C61" i="32"/>
  <c r="D88" i="32"/>
  <c r="E88" i="32"/>
  <c r="F88" i="32"/>
  <c r="G88" i="32"/>
  <c r="C102" i="32"/>
  <c r="D116" i="32" s="1"/>
  <c r="C110" i="32"/>
  <c r="C126" i="32" s="1"/>
  <c r="G116" i="32"/>
  <c r="G117" i="32" s="1"/>
  <c r="D20" i="31"/>
  <c r="E20" i="31"/>
  <c r="E21" i="31" s="1"/>
  <c r="F20" i="31"/>
  <c r="D21" i="31"/>
  <c r="D25" i="31" s="1"/>
  <c r="E30" i="31" s="1"/>
  <c r="F30" i="31" s="1"/>
  <c r="F21" i="31"/>
  <c r="D22" i="31"/>
  <c r="E22" i="31"/>
  <c r="D26" i="31" s="1"/>
  <c r="E31" i="31" s="1"/>
  <c r="F31" i="31" s="1"/>
  <c r="F22" i="31"/>
  <c r="D23" i="31"/>
  <c r="F23" i="31"/>
  <c r="D30" i="31"/>
  <c r="D31" i="31"/>
  <c r="D32" i="31"/>
  <c r="D52" i="31"/>
  <c r="E52" i="31"/>
  <c r="F52" i="31" s="1"/>
  <c r="D53" i="31"/>
  <c r="E53" i="31"/>
  <c r="F53" i="31" s="1"/>
  <c r="G53" i="31" s="1"/>
  <c r="D54" i="31"/>
  <c r="E54" i="31"/>
  <c r="D59" i="31" s="1"/>
  <c r="F59" i="31" s="1"/>
  <c r="D84" i="31"/>
  <c r="E84" i="31"/>
  <c r="E85" i="31" s="1"/>
  <c r="E88" i="31" s="1"/>
  <c r="F88" i="31" s="1"/>
  <c r="F84" i="31"/>
  <c r="G84" i="31"/>
  <c r="D85" i="31"/>
  <c r="F85" i="31"/>
  <c r="G85" i="31"/>
  <c r="D86" i="31"/>
  <c r="F86" i="31"/>
  <c r="D87" i="31"/>
  <c r="F87" i="31"/>
  <c r="I83" i="34" l="1"/>
  <c r="H85" i="34"/>
  <c r="J244" i="34"/>
  <c r="F245" i="34" s="1"/>
  <c r="G244" i="34"/>
  <c r="H244" i="34"/>
  <c r="G51" i="33"/>
  <c r="I49" i="33"/>
  <c r="I51" i="33" s="1"/>
  <c r="C50" i="33"/>
  <c r="H49" i="33"/>
  <c r="H51" i="33" s="1"/>
  <c r="C52" i="33" s="1"/>
  <c r="D117" i="32"/>
  <c r="D118" i="32"/>
  <c r="AH13" i="32"/>
  <c r="J13" i="32"/>
  <c r="Y13" i="32"/>
  <c r="U13" i="32"/>
  <c r="M11" i="32"/>
  <c r="M13" i="32" s="1"/>
  <c r="Q11" i="32"/>
  <c r="Q13" i="32" s="1"/>
  <c r="U11" i="32"/>
  <c r="Y11" i="32"/>
  <c r="AC11" i="32"/>
  <c r="AC13" i="32" s="1"/>
  <c r="AG11" i="32"/>
  <c r="AG13" i="32" s="1"/>
  <c r="P11" i="32"/>
  <c r="P13" i="32" s="1"/>
  <c r="X11" i="32"/>
  <c r="X13" i="32" s="1"/>
  <c r="J11" i="32"/>
  <c r="N11" i="32"/>
  <c r="N13" i="32" s="1"/>
  <c r="R11" i="32"/>
  <c r="R13" i="32" s="1"/>
  <c r="V11" i="32"/>
  <c r="Z11" i="32"/>
  <c r="Z13" i="32" s="1"/>
  <c r="AD11" i="32"/>
  <c r="AD13" i="32" s="1"/>
  <c r="AH11" i="32"/>
  <c r="K11" i="32"/>
  <c r="K13" i="32" s="1"/>
  <c r="O11" i="32"/>
  <c r="O13" i="32" s="1"/>
  <c r="S11" i="32"/>
  <c r="S13" i="32" s="1"/>
  <c r="W11" i="32"/>
  <c r="W13" i="32" s="1"/>
  <c r="AA11" i="32"/>
  <c r="AA13" i="32" s="1"/>
  <c r="AE11" i="32"/>
  <c r="AE13" i="32" s="1"/>
  <c r="L11" i="32"/>
  <c r="L13" i="32" s="1"/>
  <c r="T11" i="32"/>
  <c r="T13" i="32" s="1"/>
  <c r="AB11" i="32"/>
  <c r="AB13" i="32" s="1"/>
  <c r="AF11" i="32"/>
  <c r="AF13" i="32" s="1"/>
  <c r="V13" i="32"/>
  <c r="D55" i="32"/>
  <c r="C63" i="32" s="1"/>
  <c r="E53" i="32"/>
  <c r="D56" i="32" s="1"/>
  <c r="C65" i="32" s="1"/>
  <c r="F116" i="32"/>
  <c r="C124" i="32"/>
  <c r="E116" i="32"/>
  <c r="D57" i="31"/>
  <c r="F57" i="31" s="1"/>
  <c r="G52" i="31"/>
  <c r="D94" i="31"/>
  <c r="G88" i="31"/>
  <c r="E86" i="31"/>
  <c r="E89" i="31" s="1"/>
  <c r="F89" i="31" s="1"/>
  <c r="E87" i="31"/>
  <c r="E90" i="31" s="1"/>
  <c r="D96" i="31" s="1"/>
  <c r="D58" i="31"/>
  <c r="F58" i="31" s="1"/>
  <c r="F54" i="31"/>
  <c r="G54" i="31" s="1"/>
  <c r="E23" i="31"/>
  <c r="D27" i="31" s="1"/>
  <c r="E32" i="31" s="1"/>
  <c r="F32" i="31" s="1"/>
  <c r="G245" i="34" l="1"/>
  <c r="H245" i="34" s="1"/>
  <c r="J245" i="34"/>
  <c r="F246" i="34" s="1"/>
  <c r="I85" i="34"/>
  <c r="J83" i="34"/>
  <c r="J49" i="33"/>
  <c r="C54" i="33"/>
  <c r="C56" i="33" s="1"/>
  <c r="I15" i="32"/>
  <c r="I16" i="32" s="1"/>
  <c r="E91" i="32"/>
  <c r="E92" i="32" s="1"/>
  <c r="F91" i="32"/>
  <c r="F92" i="32" s="1"/>
  <c r="F118" i="32"/>
  <c r="F117" i="32"/>
  <c r="E117" i="32"/>
  <c r="E118" i="32"/>
  <c r="D121" i="32" s="1"/>
  <c r="C130" i="32" s="1"/>
  <c r="E89" i="32"/>
  <c r="E90" i="32" s="1"/>
  <c r="F89" i="32"/>
  <c r="F90" i="32" s="1"/>
  <c r="G89" i="32"/>
  <c r="G90" i="32" s="1"/>
  <c r="D120" i="32"/>
  <c r="C128" i="32" s="1"/>
  <c r="E96" i="31"/>
  <c r="F96" i="31" s="1"/>
  <c r="F90" i="31"/>
  <c r="E94" i="31"/>
  <c r="F94" i="31" s="1"/>
  <c r="K83" i="34" l="1"/>
  <c r="J85" i="34"/>
  <c r="G246" i="34"/>
  <c r="H246" i="34" s="1"/>
  <c r="J246" i="34" s="1"/>
  <c r="F247" i="34" s="1"/>
  <c r="C25" i="30"/>
  <c r="C27" i="30"/>
  <c r="C34" i="30"/>
  <c r="C36" i="30"/>
  <c r="C43" i="30" s="1"/>
  <c r="C38" i="30"/>
  <c r="C54" i="30"/>
  <c r="C63" i="30"/>
  <c r="C97" i="30"/>
  <c r="C99" i="30"/>
  <c r="C107" i="30"/>
  <c r="C124" i="30" s="1"/>
  <c r="C111" i="30"/>
  <c r="C127" i="30" s="1"/>
  <c r="C137" i="30"/>
  <c r="C146" i="30"/>
  <c r="C162" i="30"/>
  <c r="C171" i="30"/>
  <c r="C174" i="30"/>
  <c r="C176" i="30"/>
  <c r="C206" i="30"/>
  <c r="C209" i="30"/>
  <c r="C211" i="30"/>
  <c r="D232" i="30"/>
  <c r="D252" i="30" s="1"/>
  <c r="E232" i="30"/>
  <c r="F232" i="30"/>
  <c r="G232" i="30"/>
  <c r="G252" i="30" s="1"/>
  <c r="C235" i="30"/>
  <c r="C244" i="30" s="1"/>
  <c r="E252" i="30"/>
  <c r="F252" i="30"/>
  <c r="F256" i="30" s="1"/>
  <c r="F253" i="30"/>
  <c r="D254" i="30"/>
  <c r="E254" i="30"/>
  <c r="F254" i="30"/>
  <c r="G254" i="30"/>
  <c r="D255" i="30"/>
  <c r="E255" i="30"/>
  <c r="F255" i="30"/>
  <c r="G255" i="30"/>
  <c r="E257" i="30"/>
  <c r="F257" i="30"/>
  <c r="E258" i="30"/>
  <c r="C281" i="30"/>
  <c r="C286" i="30"/>
  <c r="C288" i="30"/>
  <c r="D294" i="30" s="1"/>
  <c r="F294" i="30" s="1"/>
  <c r="C294" i="30"/>
  <c r="E294" i="30" s="1"/>
  <c r="G294" i="30"/>
  <c r="C295" i="30" s="1"/>
  <c r="D296" i="30"/>
  <c r="D297" i="30"/>
  <c r="D300" i="30"/>
  <c r="D301" i="30"/>
  <c r="D304" i="30"/>
  <c r="D305" i="30"/>
  <c r="D308" i="30"/>
  <c r="D309" i="30"/>
  <c r="D312" i="30"/>
  <c r="D313" i="30"/>
  <c r="D315" i="30"/>
  <c r="G247" i="34" l="1"/>
  <c r="H247" i="34" s="1"/>
  <c r="J247" i="34" s="1"/>
  <c r="L83" i="34"/>
  <c r="K85" i="34"/>
  <c r="G257" i="30"/>
  <c r="G258" i="30"/>
  <c r="E295" i="30"/>
  <c r="F258" i="30"/>
  <c r="G253" i="30"/>
  <c r="G256" i="30" s="1"/>
  <c r="D253" i="30"/>
  <c r="E253" i="30"/>
  <c r="E256" i="30" s="1"/>
  <c r="D256" i="30"/>
  <c r="D257" i="30"/>
  <c r="D258" i="30"/>
  <c r="D311" i="30"/>
  <c r="D307" i="30"/>
  <c r="D303" i="30"/>
  <c r="D299" i="30"/>
  <c r="D295" i="30"/>
  <c r="F295" i="30" s="1"/>
  <c r="G295" i="30" s="1"/>
  <c r="C296" i="30" s="1"/>
  <c r="D310" i="30"/>
  <c r="D306" i="30"/>
  <c r="D302" i="30"/>
  <c r="D298" i="30"/>
  <c r="M83" i="34" l="1"/>
  <c r="L85" i="34"/>
  <c r="E296" i="30"/>
  <c r="F296" i="30" s="1"/>
  <c r="G296" i="30" s="1"/>
  <c r="C297" i="30" s="1"/>
  <c r="D260" i="30"/>
  <c r="D262" i="30"/>
  <c r="D261" i="30"/>
  <c r="N83" i="34" l="1"/>
  <c r="M85" i="34"/>
  <c r="E297" i="30"/>
  <c r="F297" i="30" s="1"/>
  <c r="G297" i="30"/>
  <c r="C298" i="30" s="1"/>
  <c r="O83" i="34" l="1"/>
  <c r="N85" i="34"/>
  <c r="E298" i="30"/>
  <c r="F298" i="30" s="1"/>
  <c r="G298" i="30"/>
  <c r="C299" i="30" s="1"/>
  <c r="P83" i="34" l="1"/>
  <c r="O85" i="34"/>
  <c r="E299" i="30"/>
  <c r="F299" i="30" s="1"/>
  <c r="G299" i="30" s="1"/>
  <c r="C300" i="30" s="1"/>
  <c r="Q83" i="34" l="1"/>
  <c r="P85" i="34"/>
  <c r="E300" i="30"/>
  <c r="F300" i="30" s="1"/>
  <c r="G300" i="30" s="1"/>
  <c r="C301" i="30" s="1"/>
  <c r="Q85" i="34" l="1"/>
  <c r="R83" i="34"/>
  <c r="E301" i="30"/>
  <c r="F301" i="30" s="1"/>
  <c r="G301" i="30" s="1"/>
  <c r="C302" i="30" s="1"/>
  <c r="S83" i="34" l="1"/>
  <c r="R85" i="34"/>
  <c r="E302" i="30"/>
  <c r="F302" i="30" s="1"/>
  <c r="G302" i="30"/>
  <c r="C303" i="30" s="1"/>
  <c r="C139" i="12"/>
  <c r="C137" i="12"/>
  <c r="C136" i="12"/>
  <c r="C134" i="12"/>
  <c r="C132" i="12"/>
  <c r="C130" i="12"/>
  <c r="C129" i="12"/>
  <c r="C128" i="12"/>
  <c r="C116" i="12"/>
  <c r="C115" i="12"/>
  <c r="C114" i="12"/>
  <c r="C113" i="12"/>
  <c r="C112" i="12"/>
  <c r="C110" i="12"/>
  <c r="C108" i="12"/>
  <c r="C107" i="12"/>
  <c r="T83" i="34" l="1"/>
  <c r="S85" i="34"/>
  <c r="E303" i="30"/>
  <c r="F303" i="30" s="1"/>
  <c r="G303" i="30" s="1"/>
  <c r="C304" i="30" s="1"/>
  <c r="C12" i="29"/>
  <c r="C25" i="29"/>
  <c r="C38" i="29"/>
  <c r="C52" i="29"/>
  <c r="C54" i="29" s="1"/>
  <c r="F70" i="29"/>
  <c r="G70" i="29" s="1"/>
  <c r="C76" i="29" s="1"/>
  <c r="F71" i="29"/>
  <c r="G71" i="29" s="1"/>
  <c r="C77" i="29" s="1"/>
  <c r="F72" i="29"/>
  <c r="G72" i="29" s="1"/>
  <c r="C78" i="29" s="1"/>
  <c r="F73" i="29"/>
  <c r="G73" i="29" s="1"/>
  <c r="C79" i="29" s="1"/>
  <c r="C93" i="29"/>
  <c r="C95" i="29" s="1"/>
  <c r="G110" i="29"/>
  <c r="H110" i="29"/>
  <c r="G111" i="29"/>
  <c r="G112" i="29" s="1"/>
  <c r="C111" i="29" s="1"/>
  <c r="H111" i="29"/>
  <c r="H112" i="29" s="1"/>
  <c r="C131" i="29"/>
  <c r="G131" i="29"/>
  <c r="G133" i="29" s="1"/>
  <c r="H131" i="29"/>
  <c r="I131" i="29"/>
  <c r="G132" i="29"/>
  <c r="H132" i="29"/>
  <c r="H133" i="29" s="1"/>
  <c r="I132" i="29"/>
  <c r="I133" i="29"/>
  <c r="H155" i="29"/>
  <c r="I155" i="29"/>
  <c r="I157" i="29" s="1"/>
  <c r="J155" i="29"/>
  <c r="G156" i="29"/>
  <c r="H156" i="29"/>
  <c r="I156" i="29"/>
  <c r="J156" i="29"/>
  <c r="H157" i="29"/>
  <c r="J157" i="29"/>
  <c r="G174" i="29"/>
  <c r="H174" i="29"/>
  <c r="I174" i="29"/>
  <c r="I176" i="29" s="1"/>
  <c r="G175" i="29"/>
  <c r="H175" i="29"/>
  <c r="I175" i="29"/>
  <c r="G176" i="29"/>
  <c r="C170" i="29" s="1"/>
  <c r="H176" i="29"/>
  <c r="C190" i="29"/>
  <c r="C204" i="29"/>
  <c r="C206" i="29" s="1"/>
  <c r="J204" i="29"/>
  <c r="K204" i="29"/>
  <c r="L204" i="29"/>
  <c r="M204" i="29"/>
  <c r="F205" i="29"/>
  <c r="G205" i="29"/>
  <c r="H205" i="29"/>
  <c r="I205" i="29"/>
  <c r="J205" i="29"/>
  <c r="K205" i="29"/>
  <c r="L205" i="29"/>
  <c r="M205" i="29"/>
  <c r="G227" i="29"/>
  <c r="H227" i="29"/>
  <c r="I227" i="29"/>
  <c r="C228" i="29"/>
  <c r="F228" i="29"/>
  <c r="G228" i="29"/>
  <c r="H228" i="29"/>
  <c r="H229" i="29" s="1"/>
  <c r="C231" i="29" s="1"/>
  <c r="I228" i="29"/>
  <c r="G229" i="29"/>
  <c r="I229" i="29"/>
  <c r="C15" i="28"/>
  <c r="J27" i="28"/>
  <c r="K27" i="28"/>
  <c r="K29" i="28" s="1"/>
  <c r="L27" i="28"/>
  <c r="L29" i="28" s="1"/>
  <c r="F28" i="28"/>
  <c r="G28" i="28"/>
  <c r="H28" i="28"/>
  <c r="I28" i="28"/>
  <c r="J28" i="28"/>
  <c r="K28" i="28"/>
  <c r="L28" i="28"/>
  <c r="J29" i="28"/>
  <c r="C34" i="28"/>
  <c r="O49" i="28"/>
  <c r="P49" i="28" s="1"/>
  <c r="N50" i="28"/>
  <c r="O50" i="28"/>
  <c r="P50" i="28"/>
  <c r="Q50" i="28"/>
  <c r="R50" i="28"/>
  <c r="S50" i="28"/>
  <c r="C52" i="28"/>
  <c r="C80" i="28"/>
  <c r="C81" i="28"/>
  <c r="C84" i="28"/>
  <c r="C87" i="28" s="1"/>
  <c r="C85" i="28"/>
  <c r="C90" i="28"/>
  <c r="D94" i="28" s="1"/>
  <c r="C91" i="28"/>
  <c r="C108" i="28"/>
  <c r="C110" i="28"/>
  <c r="C124" i="28"/>
  <c r="C126" i="28" s="1"/>
  <c r="C141" i="28"/>
  <c r="C143" i="28"/>
  <c r="U83" i="34" l="1"/>
  <c r="T85" i="34"/>
  <c r="E304" i="30"/>
  <c r="F304" i="30" s="1"/>
  <c r="G304" i="30" s="1"/>
  <c r="C305" i="30" s="1"/>
  <c r="C138" i="29"/>
  <c r="C151" i="29"/>
  <c r="Q49" i="28"/>
  <c r="P51" i="28"/>
  <c r="O51" i="28"/>
  <c r="V83" i="34" l="1"/>
  <c r="U85" i="34"/>
  <c r="E305" i="30"/>
  <c r="F305" i="30" s="1"/>
  <c r="G305" i="30" s="1"/>
  <c r="C306" i="30" s="1"/>
  <c r="Q51" i="28"/>
  <c r="R49" i="28"/>
  <c r="W83" i="34" l="1"/>
  <c r="V85" i="34"/>
  <c r="E306" i="30"/>
  <c r="F306" i="30" s="1"/>
  <c r="G306" i="30"/>
  <c r="C307" i="30" s="1"/>
  <c r="R51" i="28"/>
  <c r="S49" i="28"/>
  <c r="S51" i="28" s="1"/>
  <c r="X83" i="34" l="1"/>
  <c r="W85" i="34"/>
  <c r="E307" i="30"/>
  <c r="F307" i="30" s="1"/>
  <c r="G307" i="30" s="1"/>
  <c r="C308" i="30" s="1"/>
  <c r="N53" i="28"/>
  <c r="Y83" i="34" l="1"/>
  <c r="X85" i="34"/>
  <c r="E308" i="30"/>
  <c r="F308" i="30" s="1"/>
  <c r="G308" i="30" s="1"/>
  <c r="C309" i="30" s="1"/>
  <c r="C78" i="22"/>
  <c r="Y85" i="34" l="1"/>
  <c r="Z83" i="34"/>
  <c r="E309" i="30"/>
  <c r="F309" i="30" s="1"/>
  <c r="G309" i="30"/>
  <c r="C310" i="30" s="1"/>
  <c r="C66" i="15"/>
  <c r="C59" i="15"/>
  <c r="C61" i="15" s="1"/>
  <c r="C63" i="15" s="1"/>
  <c r="C68" i="15" s="1"/>
  <c r="C19" i="16"/>
  <c r="AA83" i="34" l="1"/>
  <c r="Z85" i="34"/>
  <c r="E310" i="30"/>
  <c r="F310" i="30" s="1"/>
  <c r="G310" i="30"/>
  <c r="C311" i="30" s="1"/>
  <c r="C37" i="22"/>
  <c r="G35" i="22"/>
  <c r="H35" i="22"/>
  <c r="I35" i="22"/>
  <c r="J35" i="22"/>
  <c r="F35" i="22"/>
  <c r="G34" i="22"/>
  <c r="H34" i="22"/>
  <c r="I34" i="22"/>
  <c r="J34" i="22"/>
  <c r="F34" i="22"/>
  <c r="G25" i="22"/>
  <c r="H25" i="22"/>
  <c r="I25" i="22"/>
  <c r="J25" i="22"/>
  <c r="K25" i="22"/>
  <c r="L25" i="22"/>
  <c r="M25" i="22"/>
  <c r="N25" i="22"/>
  <c r="O25" i="22"/>
  <c r="P25" i="22"/>
  <c r="Q25" i="22"/>
  <c r="R25" i="22"/>
  <c r="S25" i="22"/>
  <c r="T25" i="22"/>
  <c r="C27" i="22" s="1"/>
  <c r="C39" i="22" s="1"/>
  <c r="F25" i="22"/>
  <c r="F24" i="22"/>
  <c r="G24" i="22"/>
  <c r="H24" i="22"/>
  <c r="I24" i="22"/>
  <c r="J24" i="22"/>
  <c r="K24" i="22"/>
  <c r="L24" i="22"/>
  <c r="M24" i="22"/>
  <c r="N24" i="22"/>
  <c r="O24" i="22"/>
  <c r="P24" i="22"/>
  <c r="Q24" i="22"/>
  <c r="R24" i="22"/>
  <c r="S24" i="22"/>
  <c r="T24" i="22"/>
  <c r="E24" i="22"/>
  <c r="E106" i="22"/>
  <c r="H104" i="22"/>
  <c r="I104" i="22"/>
  <c r="J104" i="22"/>
  <c r="K104" i="22"/>
  <c r="G104" i="22"/>
  <c r="O112" i="22"/>
  <c r="H111" i="22"/>
  <c r="H112" i="22" s="1"/>
  <c r="I111" i="22"/>
  <c r="I112" i="22" s="1"/>
  <c r="J111" i="22"/>
  <c r="J112" i="22" s="1"/>
  <c r="K111" i="22"/>
  <c r="K112" i="22" s="1"/>
  <c r="L111" i="22"/>
  <c r="L112" i="22" s="1"/>
  <c r="M111" i="22"/>
  <c r="M112" i="22" s="1"/>
  <c r="N111" i="22"/>
  <c r="N112" i="22" s="1"/>
  <c r="O111" i="22"/>
  <c r="P111" i="22"/>
  <c r="P112" i="22" s="1"/>
  <c r="Q111" i="22"/>
  <c r="Q112" i="22" s="1"/>
  <c r="R111" i="22"/>
  <c r="R112" i="22" s="1"/>
  <c r="S111" i="22"/>
  <c r="S112" i="22" s="1"/>
  <c r="T111" i="22"/>
  <c r="T112" i="22" s="1"/>
  <c r="U111" i="22"/>
  <c r="U112" i="22" s="1"/>
  <c r="G111" i="22"/>
  <c r="G112" i="22" s="1"/>
  <c r="I103" i="22"/>
  <c r="J103" i="22"/>
  <c r="K103" i="22"/>
  <c r="H103" i="22"/>
  <c r="G103" i="22"/>
  <c r="L289" i="14"/>
  <c r="K289" i="14"/>
  <c r="J289" i="14"/>
  <c r="I289" i="14"/>
  <c r="H289" i="14"/>
  <c r="G289" i="14"/>
  <c r="C289" i="14"/>
  <c r="C279" i="14"/>
  <c r="J278" i="14"/>
  <c r="J279" i="14" s="1"/>
  <c r="L277" i="14"/>
  <c r="L278" i="14" s="1"/>
  <c r="L279" i="14" s="1"/>
  <c r="K277" i="14"/>
  <c r="K278" i="14" s="1"/>
  <c r="K279" i="14" s="1"/>
  <c r="J277" i="14"/>
  <c r="I277" i="14"/>
  <c r="I278" i="14" s="1"/>
  <c r="I279" i="14" s="1"/>
  <c r="H277" i="14"/>
  <c r="H278" i="14" s="1"/>
  <c r="G277" i="14"/>
  <c r="L276" i="14"/>
  <c r="K276" i="14"/>
  <c r="J276" i="14"/>
  <c r="I276" i="14"/>
  <c r="H276" i="14"/>
  <c r="G276" i="14"/>
  <c r="AB83" i="34" l="1"/>
  <c r="AA85" i="34"/>
  <c r="E311" i="30"/>
  <c r="F311" i="30" s="1"/>
  <c r="G311" i="30" s="1"/>
  <c r="C312" i="30" s="1"/>
  <c r="E114" i="22"/>
  <c r="C116" i="22" s="1"/>
  <c r="C118" i="22" s="1"/>
  <c r="G284" i="14"/>
  <c r="H279" i="14"/>
  <c r="G283" i="14" s="1"/>
  <c r="C285" i="14" s="1"/>
  <c r="C291" i="14" s="1"/>
  <c r="C26" i="27"/>
  <c r="C27" i="27"/>
  <c r="C29" i="27"/>
  <c r="C32" i="27" s="1"/>
  <c r="C30" i="27"/>
  <c r="C33" i="27" s="1"/>
  <c r="C35" i="27"/>
  <c r="C38" i="27"/>
  <c r="G46" i="27"/>
  <c r="H46" i="27"/>
  <c r="I46" i="27"/>
  <c r="J46" i="27"/>
  <c r="K46" i="27"/>
  <c r="G47" i="27"/>
  <c r="H47" i="27"/>
  <c r="K47" i="27"/>
  <c r="C49" i="27"/>
  <c r="C51" i="27"/>
  <c r="C53" i="27"/>
  <c r="C55" i="27"/>
  <c r="C57" i="27" s="1"/>
  <c r="C87" i="27"/>
  <c r="C89" i="27" s="1"/>
  <c r="C91" i="27" s="1"/>
  <c r="C93" i="27" s="1"/>
  <c r="C95" i="27" s="1"/>
  <c r="C132" i="27"/>
  <c r="C133" i="27"/>
  <c r="C135" i="27" s="1"/>
  <c r="C138" i="27"/>
  <c r="C139" i="27" s="1"/>
  <c r="C141" i="27" s="1"/>
  <c r="C143" i="27" s="1"/>
  <c r="C145" i="27" s="1"/>
  <c r="C11" i="26"/>
  <c r="C12" i="26"/>
  <c r="C13" i="26"/>
  <c r="C22" i="26" s="1"/>
  <c r="C26" i="26" s="1"/>
  <c r="C28" i="26" s="1"/>
  <c r="C14" i="26"/>
  <c r="C82" i="26"/>
  <c r="C102" i="26"/>
  <c r="C104" i="26"/>
  <c r="C106" i="26"/>
  <c r="C108" i="26" s="1"/>
  <c r="C129" i="26"/>
  <c r="C131" i="26"/>
  <c r="C133" i="26"/>
  <c r="C135" i="26" s="1"/>
  <c r="C21" i="25"/>
  <c r="C23" i="25"/>
  <c r="C24" i="25"/>
  <c r="C29" i="25" s="1"/>
  <c r="C31" i="25" s="1"/>
  <c r="C25" i="25"/>
  <c r="C27" i="25"/>
  <c r="C51" i="25"/>
  <c r="C53" i="25" s="1"/>
  <c r="C55" i="25"/>
  <c r="C57" i="25"/>
  <c r="C80" i="25"/>
  <c r="C81" i="25" s="1"/>
  <c r="C83" i="25" s="1"/>
  <c r="C16" i="24"/>
  <c r="C43" i="24"/>
  <c r="C48" i="24"/>
  <c r="C50" i="24"/>
  <c r="C53" i="24"/>
  <c r="C55" i="24"/>
  <c r="C57" i="24"/>
  <c r="C59" i="24"/>
  <c r="C87" i="24"/>
  <c r="C89" i="24"/>
  <c r="C98" i="24" s="1"/>
  <c r="C91" i="24"/>
  <c r="C96" i="24"/>
  <c r="C113" i="24"/>
  <c r="C115" i="24"/>
  <c r="C117" i="24" s="1"/>
  <c r="C157" i="24"/>
  <c r="C161" i="24" s="1"/>
  <c r="C158" i="24"/>
  <c r="C162" i="24" s="1"/>
  <c r="C159" i="24"/>
  <c r="C163" i="24" s="1"/>
  <c r="C169" i="24"/>
  <c r="AC83" i="34" l="1"/>
  <c r="AB85" i="34"/>
  <c r="E312" i="30"/>
  <c r="F312" i="30" s="1"/>
  <c r="G312" i="30" s="1"/>
  <c r="C313" i="30" s="1"/>
  <c r="C41" i="27"/>
  <c r="C36" i="27"/>
  <c r="C39" i="27" s="1"/>
  <c r="C42" i="27" s="1"/>
  <c r="C24" i="26"/>
  <c r="C166" i="24"/>
  <c r="C189" i="24" s="1"/>
  <c r="C165" i="24"/>
  <c r="C188" i="24"/>
  <c r="C100" i="24"/>
  <c r="C167" i="24"/>
  <c r="C190" i="24"/>
  <c r="AD83" i="34" l="1"/>
  <c r="AC85" i="34"/>
  <c r="E313" i="30"/>
  <c r="F313" i="30" s="1"/>
  <c r="G313" i="30"/>
  <c r="C199" i="24"/>
  <c r="C171" i="24"/>
  <c r="C175" i="24" s="1"/>
  <c r="C173" i="24"/>
  <c r="C177" i="24" s="1"/>
  <c r="C201" i="24"/>
  <c r="C172" i="24"/>
  <c r="C176" i="24" s="1"/>
  <c r="C200" i="24"/>
  <c r="AE83" i="34" l="1"/>
  <c r="AD85" i="34"/>
  <c r="C181" i="24"/>
  <c r="C186" i="24" s="1"/>
  <c r="C194" i="24" s="1"/>
  <c r="C179" i="24"/>
  <c r="C184" i="24" s="1"/>
  <c r="C192" i="24" s="1"/>
  <c r="C180" i="24"/>
  <c r="C185" i="24" s="1"/>
  <c r="C193" i="24" s="1"/>
  <c r="AF83" i="34" l="1"/>
  <c r="AE85" i="34"/>
  <c r="D17" i="23"/>
  <c r="E17" i="23"/>
  <c r="F17" i="23"/>
  <c r="G17" i="23"/>
  <c r="H17" i="23"/>
  <c r="I17" i="23"/>
  <c r="D18" i="23"/>
  <c r="E18" i="23"/>
  <c r="E20" i="23" s="1"/>
  <c r="F18" i="23"/>
  <c r="G18" i="23"/>
  <c r="H18" i="23"/>
  <c r="I18" i="23"/>
  <c r="I20" i="23" s="1"/>
  <c r="D19" i="23"/>
  <c r="E19" i="23"/>
  <c r="F19" i="23"/>
  <c r="G19" i="23"/>
  <c r="H19" i="23"/>
  <c r="I19" i="23"/>
  <c r="H20" i="23"/>
  <c r="D23" i="23"/>
  <c r="D29" i="23" s="1"/>
  <c r="E23" i="23"/>
  <c r="F23" i="23"/>
  <c r="F29" i="23" s="1"/>
  <c r="G23" i="23"/>
  <c r="G29" i="23" s="1"/>
  <c r="H23" i="23"/>
  <c r="H29" i="23" s="1"/>
  <c r="I23" i="23"/>
  <c r="E29" i="23"/>
  <c r="I29" i="23"/>
  <c r="AG83" i="34" l="1"/>
  <c r="AF85" i="34"/>
  <c r="E32" i="23"/>
  <c r="D20" i="23"/>
  <c r="D32" i="23" s="1"/>
  <c r="I32" i="23"/>
  <c r="G20" i="23"/>
  <c r="G32" i="23" s="1"/>
  <c r="H32" i="23"/>
  <c r="F20" i="23"/>
  <c r="F32" i="23" s="1"/>
  <c r="AG85" i="34" l="1"/>
  <c r="AH83" i="34"/>
  <c r="D33" i="23"/>
  <c r="D36" i="23" s="1"/>
  <c r="AI83" i="34" l="1"/>
  <c r="AI85" i="34" s="1"/>
  <c r="C87" i="34" s="1"/>
  <c r="AH85" i="34"/>
  <c r="E33" i="23"/>
  <c r="F33" i="23" s="1"/>
  <c r="G33" i="23" s="1"/>
  <c r="H33" i="23" s="1"/>
  <c r="E36" i="23"/>
  <c r="F36" i="23"/>
  <c r="G36" i="23" l="1"/>
  <c r="H243" i="18"/>
  <c r="G244" i="18"/>
  <c r="F244" i="18"/>
  <c r="F243" i="18"/>
  <c r="I243" i="18"/>
  <c r="I199" i="18"/>
  <c r="H199" i="18"/>
  <c r="G199" i="18"/>
  <c r="F199" i="18"/>
  <c r="H36" i="23" l="1"/>
  <c r="I33" i="23"/>
  <c r="I36" i="23" s="1"/>
  <c r="D38" i="23"/>
  <c r="C112" i="16"/>
  <c r="C223" i="14"/>
  <c r="F223" i="14"/>
  <c r="F222" i="14"/>
  <c r="H220" i="14"/>
  <c r="I220" i="14"/>
  <c r="J220" i="14"/>
  <c r="K220" i="14"/>
  <c r="L220" i="14"/>
  <c r="M220" i="14"/>
  <c r="N220" i="14"/>
  <c r="G220" i="14"/>
  <c r="H219" i="14"/>
  <c r="I219" i="14"/>
  <c r="J219" i="14"/>
  <c r="K219" i="14"/>
  <c r="L219" i="14"/>
  <c r="M219" i="14"/>
  <c r="N219" i="14"/>
  <c r="G219" i="14"/>
  <c r="G218" i="14"/>
  <c r="H218" i="14"/>
  <c r="I218" i="14"/>
  <c r="J218" i="14"/>
  <c r="K218" i="14"/>
  <c r="L218" i="14"/>
  <c r="M218" i="14"/>
  <c r="N218" i="14"/>
  <c r="F218" i="14"/>
  <c r="D37" i="23" l="1"/>
  <c r="C8" i="20" l="1"/>
  <c r="D8" i="20"/>
  <c r="C13" i="20"/>
  <c r="D13" i="20"/>
  <c r="C31" i="20"/>
  <c r="D31" i="20"/>
  <c r="C32" i="20"/>
  <c r="D32" i="20"/>
  <c r="D33" i="20" s="1"/>
  <c r="D37" i="20" s="1"/>
  <c r="D38" i="20" s="1"/>
  <c r="C33" i="20"/>
  <c r="C37" i="20" s="1"/>
  <c r="C38" i="20" s="1"/>
  <c r="C43" i="20"/>
  <c r="D43" i="20"/>
  <c r="C53" i="20"/>
  <c r="D53" i="20"/>
  <c r="C54" i="20"/>
  <c r="D54" i="20"/>
  <c r="D55" i="20" s="1"/>
  <c r="D59" i="20" s="1"/>
  <c r="D60" i="20" s="1"/>
  <c r="C55" i="20"/>
  <c r="C59" i="20" s="1"/>
  <c r="C60" i="20" s="1"/>
  <c r="C65" i="20"/>
  <c r="D65" i="20"/>
  <c r="C72" i="20"/>
  <c r="D72" i="20"/>
  <c r="C73" i="20"/>
  <c r="D73" i="20"/>
  <c r="D74" i="20" s="1"/>
  <c r="C74" i="20"/>
  <c r="C77" i="20"/>
  <c r="C80" i="20"/>
  <c r="C61" i="20" l="1"/>
  <c r="C62" i="20" s="1"/>
  <c r="C66" i="20" s="1"/>
  <c r="C67" i="20" s="1"/>
  <c r="D61" i="20"/>
  <c r="D62" i="20"/>
  <c r="D66" i="20" s="1"/>
  <c r="D67" i="20" s="1"/>
  <c r="D39" i="20"/>
  <c r="D40" i="20" s="1"/>
  <c r="D44" i="20" s="1"/>
  <c r="D45" i="20" s="1"/>
  <c r="C39" i="20"/>
  <c r="C40" i="20" s="1"/>
  <c r="C44" i="20" s="1"/>
  <c r="C45" i="20" s="1"/>
  <c r="C16" i="19"/>
  <c r="C30" i="19"/>
  <c r="C32" i="19"/>
  <c r="C41" i="19" s="1"/>
  <c r="C48" i="19" s="1"/>
  <c r="C42" i="19"/>
  <c r="C69" i="19"/>
  <c r="C89" i="19"/>
  <c r="J24" i="18" l="1"/>
  <c r="J25" i="18"/>
  <c r="E40" i="18"/>
  <c r="F40" i="18"/>
  <c r="F41" i="18" s="1"/>
  <c r="G40" i="18"/>
  <c r="H40" i="18"/>
  <c r="I40" i="18"/>
  <c r="E41" i="18"/>
  <c r="G41" i="18"/>
  <c r="H41" i="18"/>
  <c r="I41" i="18"/>
  <c r="E42" i="18"/>
  <c r="G42" i="18"/>
  <c r="H42" i="18"/>
  <c r="I42" i="18"/>
  <c r="C80" i="18"/>
  <c r="F258" i="18" s="1"/>
  <c r="C81" i="18"/>
  <c r="I120" i="18"/>
  <c r="I121" i="18"/>
  <c r="I122" i="18"/>
  <c r="I123" i="18" s="1"/>
  <c r="C124" i="18"/>
  <c r="I137" i="18"/>
  <c r="I138" i="18"/>
  <c r="I140" i="18" s="1"/>
  <c r="C143" i="18" s="1"/>
  <c r="I139" i="18"/>
  <c r="C142" i="18"/>
  <c r="E171" i="18"/>
  <c r="C173" i="18" s="1"/>
  <c r="F171" i="18"/>
  <c r="G171" i="18"/>
  <c r="H171" i="18"/>
  <c r="I171" i="18"/>
  <c r="F200" i="18"/>
  <c r="G200" i="18" s="1"/>
  <c r="H200" i="18" s="1"/>
  <c r="E240" i="18"/>
  <c r="E241" i="18" s="1"/>
  <c r="F240" i="18"/>
  <c r="F241" i="18" s="1"/>
  <c r="G240" i="18"/>
  <c r="G241" i="18" s="1"/>
  <c r="G243" i="18" s="1"/>
  <c r="E247" i="18" s="1"/>
  <c r="H240" i="18"/>
  <c r="I240" i="18"/>
  <c r="I241" i="18" s="1"/>
  <c r="H241" i="18"/>
  <c r="G242" i="18"/>
  <c r="H242" i="18"/>
  <c r="G258" i="18"/>
  <c r="F259" i="18"/>
  <c r="G259" i="18"/>
  <c r="C125" i="18" l="1"/>
  <c r="C127" i="18"/>
  <c r="C128" i="18" s="1"/>
  <c r="C129" i="18" s="1"/>
  <c r="I247" i="18"/>
  <c r="F247" i="18"/>
  <c r="I258" i="18" s="1"/>
  <c r="E44" i="18"/>
  <c r="E47" i="18"/>
  <c r="I200" i="18"/>
  <c r="E203" i="18"/>
  <c r="F242" i="18"/>
  <c r="H244" i="18" s="1"/>
  <c r="E248" i="18" s="1"/>
  <c r="I242" i="18"/>
  <c r="E242" i="18"/>
  <c r="E202" i="18"/>
  <c r="F42" i="18"/>
  <c r="C15" i="16"/>
  <c r="C17" i="16" s="1"/>
  <c r="J17" i="16"/>
  <c r="I18" i="16"/>
  <c r="J18" i="16"/>
  <c r="C40" i="16"/>
  <c r="C41" i="16" s="1"/>
  <c r="C43" i="16"/>
  <c r="J43" i="16" s="1"/>
  <c r="G44" i="16"/>
  <c r="H44" i="16"/>
  <c r="I44" i="16"/>
  <c r="J44" i="16"/>
  <c r="C64" i="16"/>
  <c r="C79" i="16"/>
  <c r="C81" i="16" s="1"/>
  <c r="C83" i="16" s="1"/>
  <c r="C14" i="15"/>
  <c r="C17" i="15"/>
  <c r="J19" i="16" l="1"/>
  <c r="C21" i="16" s="1"/>
  <c r="J45" i="16"/>
  <c r="F248" i="18"/>
  <c r="I259" i="18" s="1"/>
  <c r="I248" i="18"/>
  <c r="I244" i="18"/>
  <c r="E48" i="18"/>
  <c r="E45" i="18"/>
  <c r="E258" i="18"/>
  <c r="C51" i="18"/>
  <c r="F203" i="18"/>
  <c r="H259" i="18" s="1"/>
  <c r="I203" i="18"/>
  <c r="F202" i="18"/>
  <c r="H258" i="18" s="1"/>
  <c r="I202" i="18"/>
  <c r="I43" i="16"/>
  <c r="I45" i="16" s="1"/>
  <c r="C42" i="16"/>
  <c r="H43" i="16"/>
  <c r="H45" i="16" s="1"/>
  <c r="C45" i="16" s="1"/>
  <c r="C48" i="16" s="1"/>
  <c r="E259" i="18" l="1"/>
  <c r="C52" i="18"/>
  <c r="F13" i="14"/>
  <c r="G13" i="14"/>
  <c r="H13" i="14"/>
  <c r="I13" i="14"/>
  <c r="J13" i="14"/>
  <c r="K13" i="14"/>
  <c r="F15" i="14"/>
  <c r="C15" i="14" s="1"/>
  <c r="C33" i="14"/>
  <c r="F40" i="14"/>
  <c r="C41" i="14"/>
  <c r="C43" i="14" s="1"/>
  <c r="C65" i="14"/>
  <c r="C71" i="14"/>
  <c r="F71" i="14"/>
  <c r="G71" i="14"/>
  <c r="H71" i="14"/>
  <c r="I71" i="14"/>
  <c r="J71" i="14"/>
  <c r="K71" i="14"/>
  <c r="L71" i="14"/>
  <c r="M71" i="14"/>
  <c r="N71" i="14"/>
  <c r="O71" i="14"/>
  <c r="P71" i="14"/>
  <c r="Q71" i="14"/>
  <c r="R71" i="14"/>
  <c r="C73" i="14"/>
  <c r="J70" i="14" s="1"/>
  <c r="J72" i="14" s="1"/>
  <c r="C83" i="14"/>
  <c r="C107" i="14"/>
  <c r="J112" i="14" s="1"/>
  <c r="H112" i="14"/>
  <c r="H114" i="14" s="1"/>
  <c r="I112" i="14"/>
  <c r="L112" i="14"/>
  <c r="L114" i="14" s="1"/>
  <c r="M112" i="14"/>
  <c r="P112" i="14"/>
  <c r="P114" i="14" s="1"/>
  <c r="F113" i="14"/>
  <c r="G113" i="14"/>
  <c r="H113" i="14"/>
  <c r="I113" i="14"/>
  <c r="I114" i="14" s="1"/>
  <c r="J113" i="14"/>
  <c r="K113" i="14"/>
  <c r="L113" i="14"/>
  <c r="M113" i="14"/>
  <c r="M114" i="14" s="1"/>
  <c r="N113" i="14"/>
  <c r="O113" i="14"/>
  <c r="P113" i="14"/>
  <c r="G118" i="14"/>
  <c r="H118" i="14"/>
  <c r="H120" i="14" s="1"/>
  <c r="I118" i="14"/>
  <c r="J118" i="14"/>
  <c r="K118" i="14"/>
  <c r="L118" i="14"/>
  <c r="L120" i="14" s="1"/>
  <c r="M118" i="14"/>
  <c r="N118" i="14"/>
  <c r="O118" i="14"/>
  <c r="P118" i="14"/>
  <c r="P120" i="14" s="1"/>
  <c r="F119" i="14"/>
  <c r="G119" i="14"/>
  <c r="H119" i="14"/>
  <c r="I119" i="14"/>
  <c r="I120" i="14" s="1"/>
  <c r="J119" i="14"/>
  <c r="J120" i="14" s="1"/>
  <c r="K119" i="14"/>
  <c r="L119" i="14"/>
  <c r="M119" i="14"/>
  <c r="M120" i="14" s="1"/>
  <c r="N119" i="14"/>
  <c r="N120" i="14" s="1"/>
  <c r="O119" i="14"/>
  <c r="P119" i="14"/>
  <c r="G120" i="14"/>
  <c r="K120" i="14"/>
  <c r="O120" i="14"/>
  <c r="C144" i="14"/>
  <c r="C145" i="14" s="1"/>
  <c r="G149" i="14"/>
  <c r="H149" i="14"/>
  <c r="I149" i="14"/>
  <c r="K149" i="14"/>
  <c r="L149" i="14"/>
  <c r="M149" i="14"/>
  <c r="O149" i="14"/>
  <c r="F150" i="14"/>
  <c r="G150" i="14"/>
  <c r="H150" i="14"/>
  <c r="I150" i="14"/>
  <c r="I151" i="14" s="1"/>
  <c r="J150" i="14"/>
  <c r="K150" i="14"/>
  <c r="L150" i="14"/>
  <c r="M150" i="14"/>
  <c r="M151" i="14" s="1"/>
  <c r="N150" i="14"/>
  <c r="O150" i="14"/>
  <c r="G151" i="14"/>
  <c r="H151" i="14"/>
  <c r="K151" i="14"/>
  <c r="L151" i="14"/>
  <c r="O151" i="14"/>
  <c r="F156" i="14"/>
  <c r="G156" i="14"/>
  <c r="H156" i="14"/>
  <c r="I156" i="14"/>
  <c r="J156" i="14"/>
  <c r="K156" i="14"/>
  <c r="L156" i="14"/>
  <c r="M156" i="14"/>
  <c r="N156" i="14"/>
  <c r="O156" i="14"/>
  <c r="P156" i="14"/>
  <c r="Q156" i="14"/>
  <c r="R156" i="14"/>
  <c r="S156" i="14"/>
  <c r="T156" i="14"/>
  <c r="U156" i="14"/>
  <c r="V156" i="14"/>
  <c r="W156" i="14"/>
  <c r="X156" i="14"/>
  <c r="G162" i="14"/>
  <c r="H162" i="14"/>
  <c r="I162" i="14"/>
  <c r="J162" i="14"/>
  <c r="K162" i="14"/>
  <c r="L162" i="14"/>
  <c r="M162" i="14"/>
  <c r="N162" i="14"/>
  <c r="O162" i="14"/>
  <c r="F163" i="14"/>
  <c r="G163" i="14"/>
  <c r="H163" i="14"/>
  <c r="H164" i="14" s="1"/>
  <c r="I163" i="14"/>
  <c r="I164" i="14" s="1"/>
  <c r="J163" i="14"/>
  <c r="K163" i="14"/>
  <c r="L163" i="14"/>
  <c r="L164" i="14" s="1"/>
  <c r="M163" i="14"/>
  <c r="M164" i="14" s="1"/>
  <c r="N163" i="14"/>
  <c r="O163" i="14"/>
  <c r="G164" i="14"/>
  <c r="J164" i="14"/>
  <c r="K164" i="14"/>
  <c r="N164" i="14"/>
  <c r="O164" i="14"/>
  <c r="F169" i="14"/>
  <c r="G169" i="14"/>
  <c r="H169" i="14"/>
  <c r="I169" i="14"/>
  <c r="J169" i="14"/>
  <c r="K169" i="14"/>
  <c r="L169" i="14"/>
  <c r="M169" i="14"/>
  <c r="N169" i="14"/>
  <c r="O169" i="14"/>
  <c r="P169" i="14"/>
  <c r="Q169" i="14"/>
  <c r="R169" i="14"/>
  <c r="S169" i="14"/>
  <c r="T169" i="14"/>
  <c r="U169" i="14"/>
  <c r="V169" i="14"/>
  <c r="W169" i="14"/>
  <c r="X169" i="14"/>
  <c r="C191" i="14"/>
  <c r="M217" i="14" s="1"/>
  <c r="I196" i="14"/>
  <c r="I198" i="14" s="1"/>
  <c r="I199" i="14" s="1"/>
  <c r="F197" i="14"/>
  <c r="G197" i="14"/>
  <c r="H197" i="14"/>
  <c r="I197" i="14"/>
  <c r="J197" i="14"/>
  <c r="K197" i="14"/>
  <c r="L197" i="14"/>
  <c r="M197" i="14"/>
  <c r="N197" i="14"/>
  <c r="F217" i="14"/>
  <c r="C220" i="14"/>
  <c r="C248" i="14"/>
  <c r="C250" i="14" s="1"/>
  <c r="F252" i="14"/>
  <c r="J252" i="14"/>
  <c r="J254" i="14" s="1"/>
  <c r="J255" i="14" s="1"/>
  <c r="N252" i="14"/>
  <c r="N254" i="14" s="1"/>
  <c r="N255" i="14" s="1"/>
  <c r="R252" i="14"/>
  <c r="R254" i="14" s="1"/>
  <c r="R255" i="14" s="1"/>
  <c r="F253" i="14"/>
  <c r="G253" i="14"/>
  <c r="H253" i="14"/>
  <c r="I253" i="14"/>
  <c r="J253" i="14"/>
  <c r="K253" i="14"/>
  <c r="L253" i="14"/>
  <c r="M253" i="14"/>
  <c r="N253" i="14"/>
  <c r="O253" i="14"/>
  <c r="P253" i="14"/>
  <c r="Q253" i="14"/>
  <c r="R253" i="14"/>
  <c r="C19" i="12"/>
  <c r="C27" i="12"/>
  <c r="C28" i="12"/>
  <c r="C47" i="12" s="1"/>
  <c r="C29" i="12"/>
  <c r="C30" i="12" s="1"/>
  <c r="C40" i="12"/>
  <c r="C45" i="12" s="1"/>
  <c r="C48" i="12" s="1"/>
  <c r="C50" i="12" s="1"/>
  <c r="C46" i="12"/>
  <c r="C74" i="12" s="1"/>
  <c r="C64" i="12"/>
  <c r="C73" i="12"/>
  <c r="L198" i="14" l="1"/>
  <c r="L199" i="14" s="1"/>
  <c r="J170" i="14"/>
  <c r="C164" i="14"/>
  <c r="C117" i="14"/>
  <c r="J114" i="14"/>
  <c r="I40" i="14"/>
  <c r="M40" i="14"/>
  <c r="Q40" i="14"/>
  <c r="U40" i="14"/>
  <c r="Y40" i="14"/>
  <c r="AC40" i="14"/>
  <c r="AG40" i="14"/>
  <c r="AK40" i="14"/>
  <c r="AO40" i="14"/>
  <c r="AF40" i="14"/>
  <c r="J40" i="14"/>
  <c r="N40" i="14"/>
  <c r="R40" i="14"/>
  <c r="V40" i="14"/>
  <c r="Z40" i="14"/>
  <c r="AD40" i="14"/>
  <c r="AH40" i="14"/>
  <c r="AL40" i="14"/>
  <c r="AP40" i="14"/>
  <c r="H40" i="14"/>
  <c r="L40" i="14"/>
  <c r="P40" i="14"/>
  <c r="T40" i="14"/>
  <c r="X40" i="14"/>
  <c r="AB40" i="14"/>
  <c r="AJ40" i="14"/>
  <c r="AN40" i="14"/>
  <c r="G40" i="14"/>
  <c r="K40" i="14"/>
  <c r="O40" i="14"/>
  <c r="S40" i="14"/>
  <c r="W40" i="14"/>
  <c r="AA40" i="14"/>
  <c r="AE40" i="14"/>
  <c r="AI40" i="14"/>
  <c r="AM40" i="14"/>
  <c r="J196" i="14"/>
  <c r="J198" i="14" s="1"/>
  <c r="J199" i="14" s="1"/>
  <c r="N196" i="14"/>
  <c r="N198" i="14" s="1"/>
  <c r="N199" i="14" s="1"/>
  <c r="J217" i="14"/>
  <c r="N217" i="14"/>
  <c r="G196" i="14"/>
  <c r="G198" i="14" s="1"/>
  <c r="K196" i="14"/>
  <c r="K198" i="14" s="1"/>
  <c r="K199" i="14" s="1"/>
  <c r="G217" i="14"/>
  <c r="K217" i="14"/>
  <c r="H196" i="14"/>
  <c r="H198" i="14" s="1"/>
  <c r="H199" i="14" s="1"/>
  <c r="L196" i="14"/>
  <c r="H217" i="14"/>
  <c r="L217" i="14"/>
  <c r="R170" i="14"/>
  <c r="G252" i="14"/>
  <c r="K252" i="14"/>
  <c r="K254" i="14" s="1"/>
  <c r="K255" i="14" s="1"/>
  <c r="O252" i="14"/>
  <c r="O254" i="14" s="1"/>
  <c r="O255" i="14" s="1"/>
  <c r="H252" i="14"/>
  <c r="H254" i="14" s="1"/>
  <c r="H255" i="14" s="1"/>
  <c r="L252" i="14"/>
  <c r="L254" i="14" s="1"/>
  <c r="L255" i="14" s="1"/>
  <c r="P252" i="14"/>
  <c r="P254" i="14" s="1"/>
  <c r="P255" i="14" s="1"/>
  <c r="I252" i="14"/>
  <c r="I254" i="14" s="1"/>
  <c r="I255" i="14" s="1"/>
  <c r="M252" i="14"/>
  <c r="M254" i="14" s="1"/>
  <c r="M255" i="14" s="1"/>
  <c r="Q252" i="14"/>
  <c r="Q254" i="14" s="1"/>
  <c r="Q255" i="14" s="1"/>
  <c r="I217" i="14"/>
  <c r="M196" i="14"/>
  <c r="M198" i="14" s="1"/>
  <c r="M199" i="14" s="1"/>
  <c r="O157" i="14"/>
  <c r="K157" i="14"/>
  <c r="J151" i="14"/>
  <c r="C151" i="14" s="1"/>
  <c r="C173" i="14" s="1"/>
  <c r="G155" i="14"/>
  <c r="G157" i="14" s="1"/>
  <c r="K155" i="14"/>
  <c r="O155" i="14"/>
  <c r="S155" i="14"/>
  <c r="S157" i="14" s="1"/>
  <c r="W155" i="14"/>
  <c r="W157" i="14" s="1"/>
  <c r="J168" i="14"/>
  <c r="N168" i="14"/>
  <c r="N170" i="14" s="1"/>
  <c r="R168" i="14"/>
  <c r="V168" i="14"/>
  <c r="V170" i="14" s="1"/>
  <c r="J155" i="14"/>
  <c r="J157" i="14" s="1"/>
  <c r="N155" i="14"/>
  <c r="N157" i="14" s="1"/>
  <c r="Q168" i="14"/>
  <c r="Q170" i="14" s="1"/>
  <c r="H155" i="14"/>
  <c r="H157" i="14" s="1"/>
  <c r="L155" i="14"/>
  <c r="L157" i="14" s="1"/>
  <c r="P155" i="14"/>
  <c r="P157" i="14" s="1"/>
  <c r="T155" i="14"/>
  <c r="T157" i="14" s="1"/>
  <c r="X155" i="14"/>
  <c r="X157" i="14" s="1"/>
  <c r="G168" i="14"/>
  <c r="G170" i="14" s="1"/>
  <c r="K168" i="14"/>
  <c r="K170" i="14" s="1"/>
  <c r="O168" i="14"/>
  <c r="O170" i="14" s="1"/>
  <c r="S168" i="14"/>
  <c r="S170" i="14" s="1"/>
  <c r="W168" i="14"/>
  <c r="W170" i="14" s="1"/>
  <c r="R155" i="14"/>
  <c r="R157" i="14" s="1"/>
  <c r="M168" i="14"/>
  <c r="M170" i="14" s="1"/>
  <c r="I155" i="14"/>
  <c r="I157" i="14" s="1"/>
  <c r="M155" i="14"/>
  <c r="M157" i="14" s="1"/>
  <c r="Q155" i="14"/>
  <c r="Q157" i="14" s="1"/>
  <c r="U155" i="14"/>
  <c r="U157" i="14" s="1"/>
  <c r="H168" i="14"/>
  <c r="H170" i="14" s="1"/>
  <c r="L168" i="14"/>
  <c r="L170" i="14" s="1"/>
  <c r="P168" i="14"/>
  <c r="P170" i="14" s="1"/>
  <c r="T168" i="14"/>
  <c r="T170" i="14" s="1"/>
  <c r="X168" i="14"/>
  <c r="X170" i="14" s="1"/>
  <c r="V155" i="14"/>
  <c r="V157" i="14" s="1"/>
  <c r="I168" i="14"/>
  <c r="I170" i="14" s="1"/>
  <c r="U168" i="14"/>
  <c r="U170" i="14" s="1"/>
  <c r="N149" i="14"/>
  <c r="N151" i="14" s="1"/>
  <c r="J149" i="14"/>
  <c r="O112" i="14"/>
  <c r="O114" i="14" s="1"/>
  <c r="K112" i="14"/>
  <c r="K114" i="14" s="1"/>
  <c r="G112" i="14"/>
  <c r="G114" i="14" s="1"/>
  <c r="P70" i="14"/>
  <c r="P72" i="14" s="1"/>
  <c r="L70" i="14"/>
  <c r="L72" i="14" s="1"/>
  <c r="H70" i="14"/>
  <c r="H72" i="14" s="1"/>
  <c r="N112" i="14"/>
  <c r="N114" i="14" s="1"/>
  <c r="C81" i="14"/>
  <c r="C85" i="14" s="1"/>
  <c r="O70" i="14"/>
  <c r="O72" i="14" s="1"/>
  <c r="K70" i="14"/>
  <c r="K72" i="14" s="1"/>
  <c r="G70" i="14"/>
  <c r="G72" i="14" s="1"/>
  <c r="Q70" i="14"/>
  <c r="Q72" i="14" s="1"/>
  <c r="M70" i="14"/>
  <c r="M72" i="14" s="1"/>
  <c r="I70" i="14"/>
  <c r="I72" i="14" s="1"/>
  <c r="R70" i="14"/>
  <c r="R72" i="14" s="1"/>
  <c r="N70" i="14"/>
  <c r="N72" i="14" s="1"/>
  <c r="C66" i="12"/>
  <c r="C69" i="12" s="1"/>
  <c r="C71" i="12" s="1"/>
  <c r="C43" i="12"/>
  <c r="C54" i="12"/>
  <c r="C52" i="12"/>
  <c r="C65" i="12"/>
  <c r="C32" i="12"/>
  <c r="C34" i="12" s="1"/>
  <c r="C75" i="12"/>
  <c r="C76" i="12" s="1"/>
  <c r="C78" i="12" s="1"/>
  <c r="C42" i="12"/>
  <c r="C157" i="14" l="1"/>
  <c r="C76" i="14"/>
  <c r="G254" i="14"/>
  <c r="C257" i="14"/>
  <c r="C225" i="14"/>
  <c r="C111" i="14"/>
  <c r="G199" i="14"/>
  <c r="F201" i="14" s="1"/>
  <c r="F202" i="14"/>
  <c r="F42" i="14"/>
  <c r="C46" i="14" s="1"/>
  <c r="C170" i="14"/>
  <c r="C82" i="12"/>
  <c r="C80" i="12"/>
  <c r="C195" i="14" l="1"/>
  <c r="C227" i="14" s="1"/>
  <c r="F258" i="14"/>
  <c r="G255" i="14"/>
  <c r="F257" i="14" s="1"/>
  <c r="C253" i="14" s="1"/>
  <c r="C255" i="14" s="1"/>
  <c r="C259" i="14" s="1"/>
  <c r="C50" i="14"/>
  <c r="C48" i="14"/>
  <c r="C174" i="14"/>
</calcChain>
</file>

<file path=xl/sharedStrings.xml><?xml version="1.0" encoding="utf-8"?>
<sst xmlns="http://schemas.openxmlformats.org/spreadsheetml/2006/main" count="2564" uniqueCount="1258">
  <si>
    <t xml:space="preserve">Last year Clark Company issued a 10-year, 12% semiannual coupon bond at its par value of $1000. </t>
  </si>
  <si>
    <t>Currently, the bond can be called in 4 years at a price of $1060 and it sells for $1100.</t>
  </si>
  <si>
    <t xml:space="preserve">What are the bond’s nominal yield to maturity and its nominal yield to call? </t>
  </si>
  <si>
    <t>Would an investor be more likely to earn the YTM or the YTC?</t>
  </si>
  <si>
    <t>Initial data:</t>
  </si>
  <si>
    <t>t=</t>
  </si>
  <si>
    <t>years</t>
  </si>
  <si>
    <t>k=</t>
  </si>
  <si>
    <t>Face value=</t>
  </si>
  <si>
    <t>t(call)=</t>
  </si>
  <si>
    <t>Call price=</t>
  </si>
  <si>
    <t>Current price=</t>
  </si>
  <si>
    <t>Semiannula bond</t>
  </si>
  <si>
    <t>YTM = ?</t>
  </si>
  <si>
    <t>YTC = ?</t>
  </si>
  <si>
    <t>Solution:</t>
  </si>
  <si>
    <t>half-years</t>
  </si>
  <si>
    <t>CF</t>
  </si>
  <si>
    <t>YTM=</t>
  </si>
  <si>
    <t>(half-year retrn)</t>
  </si>
  <si>
    <t>YTC=</t>
  </si>
  <si>
    <t>EAY=</t>
  </si>
  <si>
    <t>EAY (to call)=</t>
  </si>
  <si>
    <t>Answer:</t>
  </si>
  <si>
    <t>Investor can earn more by holding full period</t>
  </si>
  <si>
    <t xml:space="preserve">Bond X is noncallable and has 20 years to maturity, a 9% annual coupon, and a $1000 par value. </t>
  </si>
  <si>
    <t>Your required return on Bond X is 10%; if you buy it, you plan to hold it for 5 years.</t>
  </si>
  <si>
    <t xml:space="preserve"> You (and the market) have expectations that in 5 years, the yield to maturity on a 15-year bond with similar risk will be 8,5%. H</t>
  </si>
  <si>
    <t>ow much should you be willing to pay for Bond X today? (Hint: You will need to know how much the bond will be worth at the end of 5 years.)</t>
  </si>
  <si>
    <t>t1=</t>
  </si>
  <si>
    <t>part 2</t>
  </si>
  <si>
    <t>r1=</t>
  </si>
  <si>
    <t>Holding period=</t>
  </si>
  <si>
    <t>part 1</t>
  </si>
  <si>
    <t>r2=</t>
  </si>
  <si>
    <t>t2=</t>
  </si>
  <si>
    <t>PV=?</t>
  </si>
  <si>
    <t>Let us calculate bond's value in 5 years after today:</t>
  </si>
  <si>
    <t>DF</t>
  </si>
  <si>
    <t>DCF</t>
  </si>
  <si>
    <t>PV (in 5 years)=</t>
  </si>
  <si>
    <t>Let us calculate current value of bond:</t>
  </si>
  <si>
    <t>PV (current)=</t>
  </si>
  <si>
    <t>Clifford Clark is a recent retiree who is interested in investing some of his savings in corporate bonds. His financial planner has suggested the following bonds:</t>
  </si>
  <si>
    <t>• Bond A has a 7% annual coupon, matures in 12 years, and has a $1000 face value.</t>
  </si>
  <si>
    <t>• Bond B has a 9% annual coupon, matures in 12 years, and has a $1000 face value.</t>
  </si>
  <si>
    <t>• Bond C has an 11% annual coupon, matures in 12 years, and has a $1000 face value.</t>
  </si>
  <si>
    <t>Each bond has a yield to maturity of 9%.</t>
  </si>
  <si>
    <t>a. Before calculating the prices of the bonds, indicate whether each bond is trading at a premium,</t>
  </si>
  <si>
    <t>at a discount, or at par.</t>
  </si>
  <si>
    <t>b. Calculate the price of each of the three bonds.</t>
  </si>
  <si>
    <t>Bond A</t>
  </si>
  <si>
    <t>k1=</t>
  </si>
  <si>
    <t>Bond B</t>
  </si>
  <si>
    <t>Bond C</t>
  </si>
  <si>
    <t>Value (Bond A)=?</t>
  </si>
  <si>
    <t>Value (Bond B)=?</t>
  </si>
  <si>
    <t>Value (Bond C)=?</t>
  </si>
  <si>
    <t>P(1)=</t>
  </si>
  <si>
    <t>Discount=</t>
  </si>
  <si>
    <t>P(2)=</t>
  </si>
  <si>
    <t>Bond is sold at par</t>
  </si>
  <si>
    <t>Premium=</t>
  </si>
  <si>
    <t>Coupon=</t>
  </si>
  <si>
    <t>Bond face value: $1000. Maturity period: 5 years.</t>
  </si>
  <si>
    <t xml:space="preserve"> Coupon rate = 8,5%. Required rate return = 9%. </t>
  </si>
  <si>
    <t xml:space="preserve">Number of coupon payments: once a year.  </t>
  </si>
  <si>
    <t>Market price of bond = $970.</t>
  </si>
  <si>
    <t xml:space="preserve"> Calculate the volatility of the bond.</t>
  </si>
  <si>
    <t>Market price=</t>
  </si>
  <si>
    <t>Coupon payment (annual)=</t>
  </si>
  <si>
    <t>Discount rate=</t>
  </si>
  <si>
    <t>Volatility=?</t>
  </si>
  <si>
    <t>DCF*Period number</t>
  </si>
  <si>
    <t>Σ(DCF*Period number)=</t>
  </si>
  <si>
    <t>Σ(DCF)=</t>
  </si>
  <si>
    <t>Macaulay Duration=</t>
  </si>
  <si>
    <t>Volatility =</t>
  </si>
  <si>
    <r>
      <t>•</t>
    </r>
    <r>
      <rPr>
        <sz val="14"/>
        <color rgb="FF000000"/>
        <rFont val="Calibri"/>
        <family val="2"/>
        <charset val="204"/>
        <scheme val="minor"/>
      </rPr>
      <t>Volatility = 3,91. It’s mean that 1% change in the yield to maturity should change the bond price by 3,91%.</t>
    </r>
  </si>
  <si>
    <t xml:space="preserve">The share recently paid a dividend of $2 and is expected to grow at 8% per year. The required rate of return is 15%. </t>
  </si>
  <si>
    <t>Calculate the value of these shares, assuming that in three years they will be worth $78.</t>
  </si>
  <si>
    <t>Div(0)=</t>
  </si>
  <si>
    <t>g=</t>
  </si>
  <si>
    <t>r=</t>
  </si>
  <si>
    <t>P(3)=</t>
  </si>
  <si>
    <t>Div(1)=</t>
  </si>
  <si>
    <t>Div(2)=</t>
  </si>
  <si>
    <t>Div(3)=</t>
  </si>
  <si>
    <t>PV (share)=</t>
  </si>
  <si>
    <t xml:space="preserve">The share recently paid a dividend of $1 and for the next 2 years it is expected dividend growth at 20% per year, after that dividend growth rate will be stabilized at the level of 4% per year for infinite period. </t>
  </si>
  <si>
    <t xml:space="preserve">Calculate the value of these shares, assuming that the required rate of return is 17%. </t>
  </si>
  <si>
    <t>g1=</t>
  </si>
  <si>
    <t>inf</t>
  </si>
  <si>
    <t>g2=</t>
  </si>
  <si>
    <t>…</t>
  </si>
  <si>
    <t>PV(1)=</t>
  </si>
  <si>
    <t>PV(2)=</t>
  </si>
  <si>
    <t>PV=</t>
  </si>
  <si>
    <t>A firm with a 14% WACC is evaluating two projects for this year’s capital budget. After-tax cash flows, including depreciation, are as follows:</t>
  </si>
  <si>
    <t>a. Calculate NPV, IRR, MIRR, payback, and discounted payback for each project.</t>
  </si>
  <si>
    <t>b. Assuming the projects are independent, which one(s) would you recommend?</t>
  </si>
  <si>
    <t>c. If the projects are mutually exclusive, which would you recommend?</t>
  </si>
  <si>
    <t>d. Notice that the projects have the same cash flow timing pattern. Why is there a conflict between NPV and IRR?</t>
  </si>
  <si>
    <t>WACC=</t>
  </si>
  <si>
    <t>Project A</t>
  </si>
  <si>
    <t>Project B</t>
  </si>
  <si>
    <t>NPV(A)=</t>
  </si>
  <si>
    <t>NPV(B)=</t>
  </si>
  <si>
    <t>IRR(A)=</t>
  </si>
  <si>
    <t>IRR(B)=</t>
  </si>
  <si>
    <t>MIRR(A)=</t>
  </si>
  <si>
    <t>MIRR(B)=</t>
  </si>
  <si>
    <t>PP=</t>
  </si>
  <si>
    <t>CumCF</t>
  </si>
  <si>
    <t>days</t>
  </si>
  <si>
    <t>DPP=</t>
  </si>
  <si>
    <t>Years</t>
  </si>
  <si>
    <t>After-Tax, End-of-Year Cash Inflows, CF(1)</t>
  </si>
  <si>
    <t>Initial cost</t>
  </si>
  <si>
    <t>DPP</t>
  </si>
  <si>
    <t>PP</t>
  </si>
  <si>
    <t>MIRR</t>
  </si>
  <si>
    <t>IRR</t>
  </si>
  <si>
    <t>NPV</t>
  </si>
  <si>
    <t>Terminal value=</t>
  </si>
  <si>
    <t>MIRR=</t>
  </si>
  <si>
    <t>(1+MIRR)=</t>
  </si>
  <si>
    <t>(1+MIRR)^4=</t>
  </si>
  <si>
    <t>Total inflows</t>
  </si>
  <si>
    <t>crossover rate</t>
  </si>
  <si>
    <t>CF  A</t>
  </si>
  <si>
    <t>CF  B</t>
  </si>
  <si>
    <t>CF A - CF B</t>
  </si>
  <si>
    <t>crossOvRt=</t>
  </si>
  <si>
    <t>EBT (increase)=</t>
  </si>
  <si>
    <t>Cash will be freed up</t>
  </si>
  <si>
    <t>Cash (will be free)=</t>
  </si>
  <si>
    <t>WC(2)=</t>
  </si>
  <si>
    <t>WC(1)=</t>
  </si>
  <si>
    <t>Difference (CCC)=</t>
  </si>
  <si>
    <t>ССС=</t>
  </si>
  <si>
    <t>Payables deferral period=</t>
  </si>
  <si>
    <t>Average collection period=</t>
  </si>
  <si>
    <t>Inventory conv. cycle=</t>
  </si>
  <si>
    <t>EBT effect=?</t>
  </si>
  <si>
    <t>Cash (will be free)=?</t>
  </si>
  <si>
    <t>CCC=?</t>
  </si>
  <si>
    <t>Receivables=</t>
  </si>
  <si>
    <t>Payables=</t>
  </si>
  <si>
    <t>Inventory=</t>
  </si>
  <si>
    <t>b)</t>
  </si>
  <si>
    <t>CCC=</t>
  </si>
  <si>
    <t>Sales (daily)=</t>
  </si>
  <si>
    <t>Cost of goods sold (daily)=</t>
  </si>
  <si>
    <t>Cost of goods sold=</t>
  </si>
  <si>
    <t>a)</t>
  </si>
  <si>
    <t>r(d)=</t>
  </si>
  <si>
    <t>sales</t>
  </si>
  <si>
    <t>Sales=</t>
  </si>
  <si>
    <t>all without affecting sales or cost of goods sold, what would be the new CCC, how much cash would be freed up, and how would that affect pretax profits?</t>
  </si>
  <si>
    <t xml:space="preserve">If Primrose could lower its inventories and receivables by 10% each and increase its payables by 10%, </t>
  </si>
  <si>
    <t xml:space="preserve">What is Primrose’s cash conversion cycle (CCC)? </t>
  </si>
  <si>
    <t xml:space="preserve">Its cost of goods sold is 80% of sales, and it finances working capital with bank loans at an 8% rate. </t>
  </si>
  <si>
    <t xml:space="preserve">$3 million of receivables, and $1 million of payables. </t>
  </si>
  <si>
    <t>Primrose Corp has $15million of sales, $2million of inventories,</t>
  </si>
  <si>
    <t>ROA=</t>
  </si>
  <si>
    <t>Total assets turnover=</t>
  </si>
  <si>
    <t>Total assets=</t>
  </si>
  <si>
    <t>Current assets=</t>
  </si>
  <si>
    <t>Cash and equivalents=</t>
  </si>
  <si>
    <t>Inventory conersation priod=</t>
  </si>
  <si>
    <t>ROA=?</t>
  </si>
  <si>
    <t>Total assets turnover=?</t>
  </si>
  <si>
    <t>Inventory turnover rate=</t>
  </si>
  <si>
    <t>c)</t>
  </si>
  <si>
    <t>Our company generates 12 cents for 1 dollar of total assets.</t>
  </si>
  <si>
    <t>Our company turns over their assets two times in year.</t>
  </si>
  <si>
    <t>Cost of goods sold(daily)=</t>
  </si>
  <si>
    <t>Cash=</t>
  </si>
  <si>
    <t>Net income=</t>
  </si>
  <si>
    <t>Fixed assets=</t>
  </si>
  <si>
    <t>DSO=</t>
  </si>
  <si>
    <t>c. Suppose Christie’s managers believe that the inventory turnover can be raised to 9,0 times. What would Christie’s cash conversion cycle, total assets turnover, and ROA have been if the inventory turnover had been 9,0 for 2014?</t>
  </si>
  <si>
    <t>b. Assuming Christie holds negligible amounts of cash and marketable securities, calculate its total assets turnover and ROA.</t>
  </si>
  <si>
    <t>a. Calculate Christie’s cash conversion cycle.</t>
  </si>
  <si>
    <t>The firm had fixed assets totaling $35,000. Christie’s payables deferral period is 40 days.</t>
  </si>
  <si>
    <t xml:space="preserve">It turned over its inventory 6 times during the year, and its DSO was 36,5 days. </t>
  </si>
  <si>
    <t xml:space="preserve">and it earned a net profit of 6%, or $9000. </t>
  </si>
  <si>
    <t xml:space="preserve">Christie’s 2014 sales (all on credit) were $150000; its cost of goods sold is 80% of sales; </t>
  </si>
  <si>
    <t>Christie Corporation is trying to determine the effect of its inventory turnover ratio and days sales outstanding (DSO) on its cash conversion cycle.</t>
  </si>
  <si>
    <t>Discount factor</t>
  </si>
  <si>
    <t>Volatility (using YTM) =</t>
  </si>
  <si>
    <t>Macaulay Duration (years)=</t>
  </si>
  <si>
    <t>quarters</t>
  </si>
  <si>
    <t>Macaulay Duration (quarters)=</t>
  </si>
  <si>
    <t>Coupon payment (quarterly)=</t>
  </si>
  <si>
    <t>Duration=?</t>
  </si>
  <si>
    <t>times in year</t>
  </si>
  <si>
    <t>n=</t>
  </si>
  <si>
    <t>Market price of bond is $930</t>
  </si>
  <si>
    <t>Calculate the duration and volatility of a three-year bond with a face value of 1000 and a coupon rate of 8%, paid 4 times a year, if the discount rate is 12%.</t>
  </si>
  <si>
    <t>6</t>
  </si>
  <si>
    <t>Calculate the volatility of the bond.</t>
  </si>
  <si>
    <t>Market price of bond = $960</t>
  </si>
  <si>
    <t xml:space="preserve">Bond face value: 1000 rubles. Maturity period: 5 years. Coupon rate = 7%. Required rate return = 8%. Number of coupon payments: once a year. </t>
  </si>
  <si>
    <t>5.2</t>
  </si>
  <si>
    <t>Macaulay duration=?</t>
  </si>
  <si>
    <t>Calculate the Macaulay duration of the bond.</t>
  </si>
  <si>
    <t xml:space="preserve">Bond face value: 1000 rubles. Maturity period: 8 years. Coupon rate = 7%. Required rate return = 5%. Number of coupon payments: once a year. </t>
  </si>
  <si>
    <t>5.1</t>
  </si>
  <si>
    <t>Difference in value (second bond)=</t>
  </si>
  <si>
    <t>Difference in value (fist bond)=</t>
  </si>
  <si>
    <t>Bond value (2nd bond) =</t>
  </si>
  <si>
    <t>(second bond)</t>
  </si>
  <si>
    <t>Bond value (1st bond) =</t>
  </si>
  <si>
    <t>Part b (discount rate 17%):</t>
  </si>
  <si>
    <t>(first bond)</t>
  </si>
  <si>
    <t>Part a (discount rate 12%):</t>
  </si>
  <si>
    <t>Coupon payment (semiannual)=</t>
  </si>
  <si>
    <t>PV(b)=?</t>
  </si>
  <si>
    <t>PV(a)=?</t>
  </si>
  <si>
    <t>r(b)=</t>
  </si>
  <si>
    <t>r(a)=</t>
  </si>
  <si>
    <t>b) discount rate of 17%</t>
  </si>
  <si>
    <t>a) discount rate of 12%</t>
  </si>
  <si>
    <t>Calculate the Effective Annual Yield (EAY) for both bonds at</t>
  </si>
  <si>
    <t>Only one difference: coupon payment for the wirst bond will be paid one time in year, for the secnd bond, two times in year.</t>
  </si>
  <si>
    <t>Time to maturity: 8 years</t>
  </si>
  <si>
    <t>Assume we have two identical bonds: the face value will be $1000 for both, the coupon rate 15%.</t>
  </si>
  <si>
    <t>4.1</t>
  </si>
  <si>
    <t>Bond value = PV(bond) =</t>
  </si>
  <si>
    <t>Part b:</t>
  </si>
  <si>
    <t>Part a:</t>
  </si>
  <si>
    <r>
      <t xml:space="preserve">b) </t>
    </r>
    <r>
      <rPr>
        <sz val="14"/>
        <color rgb="FF000000"/>
        <rFont val="Calibri"/>
        <family val="2"/>
        <charset val="204"/>
        <scheme val="minor"/>
      </rPr>
      <t>the discount rate (required rate of return) is 10%.</t>
    </r>
  </si>
  <si>
    <r>
      <t xml:space="preserve">a) </t>
    </r>
    <r>
      <rPr>
        <sz val="14"/>
        <color rgb="FF000000"/>
        <rFont val="Calibri"/>
        <family val="2"/>
        <charset val="204"/>
        <scheme val="minor"/>
      </rPr>
      <t>the discount rate (required rate of return) is 22%;</t>
    </r>
  </si>
  <si>
    <t>The maturity of the bond with the face value of $1000 is 10 years. The coupon rate paid once a year is 15%. Calculate the value of the bond if:</t>
  </si>
  <si>
    <t>4</t>
  </si>
  <si>
    <t>Bond value = PV(bond)=</t>
  </si>
  <si>
    <t>PV(face value)=</t>
  </si>
  <si>
    <t>PV(coupons)=</t>
  </si>
  <si>
    <t>(variant b)</t>
  </si>
  <si>
    <t>Bond value = PV (bond) = Σ(DCF) =</t>
  </si>
  <si>
    <t>(variant a)</t>
  </si>
  <si>
    <t>r(quartely)=</t>
  </si>
  <si>
    <t>The discount rate (required rate of return) is 12%.</t>
  </si>
  <si>
    <t xml:space="preserve">Calculate the value of a three-year bond with a face value of $1000 and a coupon rate of 9%, paid 4 times a year. </t>
  </si>
  <si>
    <t>3</t>
  </si>
  <si>
    <t>BEY=</t>
  </si>
  <si>
    <t>(monthly)</t>
  </si>
  <si>
    <t>Coupon payment (monthly)=</t>
  </si>
  <si>
    <t>months</t>
  </si>
  <si>
    <t>EAY=?</t>
  </si>
  <si>
    <t>BEY=?</t>
  </si>
  <si>
    <t>periods</t>
  </si>
  <si>
    <t>number of periods (in year)=</t>
  </si>
  <si>
    <t>number of periods (total)=</t>
  </si>
  <si>
    <t>Market Price=</t>
  </si>
  <si>
    <t>Calculate the bond equivalent yield (BEY) and the effective annual yield (EAY) of the bond.</t>
  </si>
  <si>
    <t xml:space="preserve">The coupon rate is 8% and is paid monthly, the current market value of the bond is $980. </t>
  </si>
  <si>
    <t xml:space="preserve">The bond has a face value of $1,000 and has a maturity of three years. </t>
  </si>
  <si>
    <t>2</t>
  </si>
  <si>
    <t>YTM=?</t>
  </si>
  <si>
    <t>The coupon is paid annually in the amount of $100, the current market value of the bond is $960.</t>
  </si>
  <si>
    <t xml:space="preserve">Calculate the yield to maturity (YTM) for a $1,000 face value bond with five years to maturity. </t>
  </si>
  <si>
    <t>1</t>
  </si>
  <si>
    <t>1.5x (both cases)</t>
  </si>
  <si>
    <t>1,5x</t>
  </si>
  <si>
    <t>3/2*x=</t>
  </si>
  <si>
    <t>New numberof shares (variant 2)=</t>
  </si>
  <si>
    <t>x+0,5x=</t>
  </si>
  <si>
    <t>New numberof shares (variant 1)=</t>
  </si>
  <si>
    <t>New number of shares?</t>
  </si>
  <si>
    <t>3 to 2</t>
  </si>
  <si>
    <t>Div (variant 2)=</t>
  </si>
  <si>
    <t>Div (variant 1)=</t>
  </si>
  <si>
    <t>shares</t>
  </si>
  <si>
    <t>x</t>
  </si>
  <si>
    <t>Number of shares</t>
  </si>
  <si>
    <r>
      <t>C.</t>
    </r>
    <r>
      <rPr>
        <sz val="14"/>
        <color rgb="FF000000"/>
        <rFont val="Calibri"/>
        <family val="2"/>
        <charset val="204"/>
        <scheme val="minor"/>
      </rPr>
      <t>Both options will have the same effect.</t>
    </r>
  </si>
  <si>
    <r>
      <t>B.</t>
    </r>
    <r>
      <rPr>
        <sz val="14"/>
        <color rgb="FF000000"/>
        <rFont val="Calibri"/>
        <family val="2"/>
        <charset val="204"/>
        <scheme val="minor"/>
      </rPr>
      <t>50% stock dividend.</t>
    </r>
  </si>
  <si>
    <r>
      <t>A.</t>
    </r>
    <r>
      <rPr>
        <sz val="14"/>
        <color rgb="FF000000"/>
        <rFont val="Calibri"/>
        <family val="2"/>
        <charset val="204"/>
        <scheme val="minor"/>
      </rPr>
      <t>3-for-2 stock split.</t>
    </r>
  </si>
  <si>
    <t>Other things being equal, which of these would lower the share price?</t>
  </si>
  <si>
    <r>
      <t>•</t>
    </r>
    <r>
      <rPr>
        <sz val="14"/>
        <color rgb="FF000000"/>
        <rFont val="Calibri"/>
        <family val="2"/>
        <charset val="204"/>
        <scheme val="minor"/>
      </rPr>
      <t>3-for-2 stock split</t>
    </r>
  </si>
  <si>
    <r>
      <t>•</t>
    </r>
    <r>
      <rPr>
        <sz val="14"/>
        <color rgb="FF000000"/>
        <rFont val="Calibri"/>
        <family val="2"/>
        <charset val="204"/>
        <scheme val="minor"/>
      </rPr>
      <t xml:space="preserve">50% stock dividend </t>
    </r>
  </si>
  <si>
    <t xml:space="preserve">A company evaluates impact on its share price by comparing two alternatives: </t>
  </si>
  <si>
    <t>Dividend yield=</t>
  </si>
  <si>
    <t>Dividend yield=?</t>
  </si>
  <si>
    <t>Annual dividend=</t>
  </si>
  <si>
    <t>Current share price=</t>
  </si>
  <si>
    <t>Calculate the dividend yield of Qualcomm Incorporated (QCOM).</t>
  </si>
  <si>
    <t xml:space="preserve">The current market price is $78.83. </t>
  </si>
  <si>
    <t xml:space="preserve">Qualcomm Incorporated (QCOM), an established telecommunications equipment manufacturer, had a dividend of $2.48 for the past twelve months. </t>
  </si>
  <si>
    <t>Share value =</t>
  </si>
  <si>
    <t>Div 1=</t>
  </si>
  <si>
    <t>Share value=?</t>
  </si>
  <si>
    <t>discount rate=</t>
  </si>
  <si>
    <t>if the dividend is expected to rise 8% forever and the required return on equity is 12%.</t>
  </si>
  <si>
    <t xml:space="preserve">Calculate the value of a preferred share that paid a $1.5 dividend last year </t>
  </si>
  <si>
    <t>Peffered stock value =</t>
  </si>
  <si>
    <t>Preffered stock value=?</t>
  </si>
  <si>
    <t>Div(P)=</t>
  </si>
  <si>
    <t>Calculate the value of preferred shares.</t>
  </si>
  <si>
    <t>The company's $100 preferred shares pay an annual dividend of $5 and have a required yield of 8%.</t>
  </si>
  <si>
    <t>Share value=</t>
  </si>
  <si>
    <t>Share price (year 3)=</t>
  </si>
  <si>
    <t>time period, years</t>
  </si>
  <si>
    <t>Div 3=</t>
  </si>
  <si>
    <t>Div 2=</t>
  </si>
  <si>
    <t>g (Div)=</t>
  </si>
  <si>
    <t>Calculate the value of these shares, assuming that in three years they will be worth $51.</t>
  </si>
  <si>
    <t xml:space="preserve">The required rate of return is 12%. </t>
  </si>
  <si>
    <t>The stock recently paid a dividend of $1.50 and is expected to grow at 8% per year.</t>
  </si>
  <si>
    <t>Share price=</t>
  </si>
  <si>
    <t>Div (1) =</t>
  </si>
  <si>
    <t>time period</t>
  </si>
  <si>
    <t>Div 0 =</t>
  </si>
  <si>
    <t>Share price=?</t>
  </si>
  <si>
    <t>Div(1)= Div (0) * 1,05</t>
  </si>
  <si>
    <t>At the end of the year, the shares will sell for $13.45. Required return 13.2%</t>
  </si>
  <si>
    <t>Calculate the value of a share that paid a $1 dividend last year if next year's dividend is 5% higher.</t>
  </si>
  <si>
    <t>MMY=</t>
  </si>
  <si>
    <t>r(BD)=</t>
  </si>
  <si>
    <t>MMY=?</t>
  </si>
  <si>
    <t>BD=?</t>
  </si>
  <si>
    <t>Maturity period=</t>
  </si>
  <si>
    <t>Discount bond</t>
  </si>
  <si>
    <t>Calculate the bank discount yield for the bond which has face value of $1000, current price $750 and 170 days to matuity.</t>
  </si>
  <si>
    <t>Project L</t>
  </si>
  <si>
    <t>Project S</t>
  </si>
  <si>
    <t>Summary</t>
  </si>
  <si>
    <t>3 years and 286 days</t>
  </si>
  <si>
    <t>DPP (Project L)=</t>
  </si>
  <si>
    <t>2 years and 348 days</t>
  </si>
  <si>
    <t>DPP (Project S)=</t>
  </si>
  <si>
    <t>Project L, cumulative CF</t>
  </si>
  <si>
    <t>Project S, cumulative CF</t>
  </si>
  <si>
    <t>DCF, Project L</t>
  </si>
  <si>
    <t>DCF, Project S</t>
  </si>
  <si>
    <t>Discounted payback perod?</t>
  </si>
  <si>
    <t>Project L inv.</t>
  </si>
  <si>
    <t>Project S inv.</t>
  </si>
  <si>
    <t>What will be the discouned payback period of the projects?</t>
  </si>
  <si>
    <t xml:space="preserve">The investment outlays shown as CF0 include fixed assets and any necessary investments in working capital, and cash flows come in at the end of the year. </t>
  </si>
  <si>
    <t xml:space="preserve">the cash flows have been adjusted to reflect depreciation, taxes, and salvage values. </t>
  </si>
  <si>
    <t xml:space="preserve">The projects are equally risky, and they both have a 10% cost of capital. </t>
  </si>
  <si>
    <t xml:space="preserve">Project S is a short-term project in the sense that more of its cash inflows come early, while L has more total cash inflows but they come in later in its life. </t>
  </si>
  <si>
    <t xml:space="preserve">The S stands for Short; the L, for Long. </t>
  </si>
  <si>
    <t xml:space="preserve">We use the data for Projects S and L shown in Table to illustrate the calculation. </t>
  </si>
  <si>
    <r>
      <t xml:space="preserve">We have two projects: </t>
    </r>
    <r>
      <rPr>
        <b/>
        <sz val="14"/>
        <color rgb="FF000000"/>
        <rFont val="Calibri"/>
        <family val="2"/>
        <charset val="204"/>
        <scheme val="minor"/>
      </rPr>
      <t>Project S</t>
    </r>
    <r>
      <rPr>
        <sz val="14"/>
        <color rgb="FF000000"/>
        <rFont val="Calibri"/>
        <family val="2"/>
        <charset val="204"/>
        <scheme val="minor"/>
      </rPr>
      <t xml:space="preserve"> and </t>
    </r>
    <r>
      <rPr>
        <b/>
        <sz val="14"/>
        <color rgb="FF000000"/>
        <rFont val="Calibri"/>
        <family val="2"/>
        <charset val="204"/>
        <scheme val="minor"/>
      </rPr>
      <t>Projec L</t>
    </r>
    <r>
      <rPr>
        <sz val="14"/>
        <color rgb="FF000000"/>
        <rFont val="Calibri"/>
        <family val="2"/>
        <charset val="204"/>
        <scheme val="minor"/>
      </rPr>
      <t>.</t>
    </r>
    <r>
      <rPr>
        <b/>
        <sz val="14"/>
        <color rgb="FF000000"/>
        <rFont val="Calibri"/>
        <family val="2"/>
        <charset val="204"/>
        <scheme val="minor"/>
      </rPr>
      <t xml:space="preserve"> </t>
    </r>
  </si>
  <si>
    <t>3 years and 109 days</t>
  </si>
  <si>
    <t>PP (Project L)=</t>
  </si>
  <si>
    <t>2 years and 122 days</t>
  </si>
  <si>
    <t>PP (Project S)=</t>
  </si>
  <si>
    <t>Payback perod?</t>
  </si>
  <si>
    <t>What will be the payback period of the projects?</t>
  </si>
  <si>
    <t>Project S - Project L</t>
  </si>
  <si>
    <t>Crossover rate ?</t>
  </si>
  <si>
    <t>What will be the crossover rate of the projects?</t>
  </si>
  <si>
    <t>MIRR (Project L)=</t>
  </si>
  <si>
    <t>MIRR (Project S)=</t>
  </si>
  <si>
    <t>MIRR (L) = ?</t>
  </si>
  <si>
    <t>MIRR (S) = ?</t>
  </si>
  <si>
    <t>What will be the MIRR of the projects?</t>
  </si>
  <si>
    <t>IRR (L)=</t>
  </si>
  <si>
    <t>IRR (S)=</t>
  </si>
  <si>
    <t>IRR (L) = ?</t>
  </si>
  <si>
    <t>IRR (S) = ?</t>
  </si>
  <si>
    <t>What will be the IRR of the projects?</t>
  </si>
  <si>
    <t>NPV (L)=</t>
  </si>
  <si>
    <t>NPV (S)=</t>
  </si>
  <si>
    <t>PV (L)=</t>
  </si>
  <si>
    <t>PV (S)=</t>
  </si>
  <si>
    <t>DCF (L)</t>
  </si>
  <si>
    <t>DCF (S)</t>
  </si>
  <si>
    <t>DF (10%)</t>
  </si>
  <si>
    <t>NPV (L) = ?</t>
  </si>
  <si>
    <t>NPV (S) = ?</t>
  </si>
  <si>
    <t>What will be the NPV of the projects?</t>
  </si>
  <si>
    <t xml:space="preserve">Accounts payable = </t>
  </si>
  <si>
    <t>Accounts payable = ?</t>
  </si>
  <si>
    <t xml:space="preserve">Payment period = </t>
  </si>
  <si>
    <t>Number of items =</t>
  </si>
  <si>
    <t>net 30</t>
  </si>
  <si>
    <t>2/10</t>
  </si>
  <si>
    <t>List price =</t>
  </si>
  <si>
    <t>(no discunts)</t>
  </si>
  <si>
    <t>with a list price of $100 per chip on terms of 2/10, net 30.</t>
  </si>
  <si>
    <t xml:space="preserve">Suppose PCC Inc. buys 20 microchips each day </t>
  </si>
  <si>
    <t>3.2</t>
  </si>
  <si>
    <t>(with discunt)</t>
  </si>
  <si>
    <t>3.1</t>
  </si>
  <si>
    <t>Receivables =</t>
  </si>
  <si>
    <t>Receivables = ?</t>
  </si>
  <si>
    <t>Average sales per day =</t>
  </si>
  <si>
    <t xml:space="preserve">If we multiply the DSO by the average daily sales, we determine the capital tied up in receivable: </t>
  </si>
  <si>
    <t xml:space="preserve">and those sales are out-standing for 45.625 days. </t>
  </si>
  <si>
    <t xml:space="preserve">Allied has average daily sales (ADS) of $8.2192 million, </t>
  </si>
  <si>
    <t>2.2</t>
  </si>
  <si>
    <t xml:space="preserve">DSO = </t>
  </si>
  <si>
    <t>DSO = ?</t>
  </si>
  <si>
    <t>Annual sales =</t>
  </si>
  <si>
    <t>Accounts receivables =</t>
  </si>
  <si>
    <t>Allied Foods' DSO</t>
  </si>
  <si>
    <t>2.1</t>
  </si>
  <si>
    <t xml:space="preserve">Accounts receivable = </t>
  </si>
  <si>
    <t>Accounts receivable = ?</t>
  </si>
  <si>
    <t>Length of collection period=</t>
  </si>
  <si>
    <t>Sales per day=</t>
  </si>
  <si>
    <t>Сapital to carry = ?</t>
  </si>
  <si>
    <t xml:space="preserve"> BLC has no bad debts or slow-paying customers. </t>
  </si>
  <si>
    <t>has sales of $1000 per day (all on credit) and it requires payment after 10 days.</t>
  </si>
  <si>
    <t xml:space="preserve">For example, suppose Boston Lumber Company (BLC), a wholesale distributor of lumber products, </t>
  </si>
  <si>
    <t>Bond X is noncallable and has 20 years to maturity, a 9% annual coupon, and a $1,000 par value.</t>
  </si>
  <si>
    <t xml:space="preserve"> Your required return on Bond X is 10%; if you buy it, you plan to hold it for 5 years. </t>
  </si>
  <si>
    <t xml:space="preserve">You (and the market) have expectations that in 5 years, the yield to maturity on a 15-year bond </t>
  </si>
  <si>
    <t xml:space="preserve">with similar risk will be 8,5%. </t>
  </si>
  <si>
    <t xml:space="preserve">How much should you be willing to pay for Bond X today? </t>
  </si>
  <si>
    <t>(Hint: You will need to know how much the  bond will be worth at the end of 5 years.)</t>
  </si>
  <si>
    <t>Bond until 5th year</t>
  </si>
  <si>
    <t>Bond value=</t>
  </si>
  <si>
    <t>Bond until 15th year</t>
  </si>
  <si>
    <t>Exercise 1</t>
  </si>
  <si>
    <t>Hart Enterprises recently paid a dividend, D(0), of $1 25.</t>
  </si>
  <si>
    <t xml:space="preserve"> It expects to have nonconstant growth of 20% for 2 years followed by a constant rate of 5% thereafter. The firm’s required return is 10%.</t>
  </si>
  <si>
    <t>What is the firm’s intrinsic value today, P(0)</t>
  </si>
  <si>
    <t>Initial data</t>
  </si>
  <si>
    <t>D(0)=</t>
  </si>
  <si>
    <t>P(0)=?</t>
  </si>
  <si>
    <t>Solution</t>
  </si>
  <si>
    <t>D1=</t>
  </si>
  <si>
    <t>D2=</t>
  </si>
  <si>
    <t>D3=</t>
  </si>
  <si>
    <t>D4=</t>
  </si>
  <si>
    <t>PV(1-2)=</t>
  </si>
  <si>
    <t>PV(3+)=</t>
  </si>
  <si>
    <t>PV(total)=</t>
  </si>
  <si>
    <t>In this case, "Herrenhouse Publishing Company" is in more risky poition.</t>
  </si>
  <si>
    <t>of total debt</t>
  </si>
  <si>
    <t>But the company "Vanderheiden Press Inc." has the share of short-erm debt</t>
  </si>
  <si>
    <t>But the company "Herrenhouse Publishing Company" has the share of short-erm debt</t>
  </si>
  <si>
    <t>D/E=</t>
  </si>
  <si>
    <t>Equity</t>
  </si>
  <si>
    <t>Debt</t>
  </si>
  <si>
    <t xml:space="preserve">Herrenhouse Publishing Company </t>
  </si>
  <si>
    <t>Vanderheiden Press Inc.</t>
  </si>
  <si>
    <t>c</t>
  </si>
  <si>
    <t>ROE</t>
  </si>
  <si>
    <t>Net profit</t>
  </si>
  <si>
    <t>Shareholders' Equity</t>
  </si>
  <si>
    <t>Tax payment</t>
  </si>
  <si>
    <t>EBT</t>
  </si>
  <si>
    <t>Total interest payment</t>
  </si>
  <si>
    <t>EBIT</t>
  </si>
  <si>
    <t>Interest payment 2=</t>
  </si>
  <si>
    <t>Interest payment 1=</t>
  </si>
  <si>
    <t>Interest rate (long-term debt)=</t>
  </si>
  <si>
    <t>Inerest rate (short-term debt)=</t>
  </si>
  <si>
    <t xml:space="preserve"> ROE=?</t>
  </si>
  <si>
    <t>b</t>
  </si>
  <si>
    <t>a</t>
  </si>
  <si>
    <t>c. Which company is in a riskier position? Why?</t>
  </si>
  <si>
    <t>What would be the returns on equity for Vanderheiden Press and Herrenhouse Publishing under these conditions?</t>
  </si>
  <si>
    <t xml:space="preserve">While the rate on new long-term debt rises to 16%. </t>
  </si>
  <si>
    <t xml:space="preserve">b. Assume that the short-term rate rises to 20%. </t>
  </si>
  <si>
    <t>and the rate on long-term debt is 13%?</t>
  </si>
  <si>
    <t>a. What is the return on equity for each firm if the interest rate on short-term debt is 10%</t>
  </si>
  <si>
    <t>, and the effective federal plus-state tax rate is 40%.</t>
  </si>
  <si>
    <t>Earnings before interest and taxes for both firms are $30 million</t>
  </si>
  <si>
    <t>Total liabilities and equity</t>
  </si>
  <si>
    <t>Retained earnings</t>
  </si>
  <si>
    <t>Common stock</t>
  </si>
  <si>
    <t xml:space="preserve">Long-term debt </t>
  </si>
  <si>
    <t>Short-term debt</t>
  </si>
  <si>
    <t>Total assets</t>
  </si>
  <si>
    <t xml:space="preserve">Fixed assets (net) </t>
  </si>
  <si>
    <t xml:space="preserve">Current assets </t>
  </si>
  <si>
    <t>had the following balance sheets as of December 31, 2014 (thousands of dollars):</t>
  </si>
  <si>
    <t xml:space="preserve">Vanderheiden Press Inc. and Herrenhouse Publishing Company </t>
  </si>
  <si>
    <t>July</t>
  </si>
  <si>
    <t>June</t>
  </si>
  <si>
    <t>May</t>
  </si>
  <si>
    <t>Total collections</t>
  </si>
  <si>
    <t>Collections</t>
  </si>
  <si>
    <t>d. If the yield to maturity for each bond remains at 9%, what will be the price of each bond 1 year from now? What is the expected capital gains yield for each bond? What is the expected total return for each bond?</t>
  </si>
  <si>
    <t>c. Calculate the current yield for each of the three bonds.</t>
  </si>
  <si>
    <t>a. Before calculating the prices of the bonds, indicate whether each bond is trading at a premium, at a discount, or at par.</t>
  </si>
  <si>
    <t>BOND VALUATION Clifford Clark is a recent retiree who is interested in investing some of his savings in corporate bonds. His financial planner has suggested the following bonds:</t>
  </si>
  <si>
    <t xml:space="preserve">If the yield curve is horizontal and interest rates remain at their current level, </t>
  </si>
  <si>
    <t>Conclusion</t>
  </si>
  <si>
    <t>DCF5</t>
  </si>
  <si>
    <t>PV (9th year)=</t>
  </si>
  <si>
    <t>PV (8th year)=</t>
  </si>
  <si>
    <t>PV (7th year)=</t>
  </si>
  <si>
    <t>PV (6th year)=</t>
  </si>
  <si>
    <t>PV (5th year)=</t>
  </si>
  <si>
    <t>higher</t>
  </si>
  <si>
    <t>Calling price (9th year)=</t>
  </si>
  <si>
    <t>Calling price (8th year)=</t>
  </si>
  <si>
    <t>Calling price (7th year)=</t>
  </si>
  <si>
    <t>lower</t>
  </si>
  <si>
    <t>Calling price (6th year)=</t>
  </si>
  <si>
    <t>Calling price (5th year)=</t>
  </si>
  <si>
    <t>2. Let us calculate cost at the calling prices:</t>
  </si>
  <si>
    <t>IRR=</t>
  </si>
  <si>
    <t>1. Let us calculate IRR:</t>
  </si>
  <si>
    <t>when is the latest that investors might expect the firm to call the bonds?</t>
  </si>
  <si>
    <t xml:space="preserve"> and so forth. If the yield curve is horizontal and interest rates remain at their current level, </t>
  </si>
  <si>
    <t>Thus, in Year 6, they may be called at 108% of face value; in Year 7, they may be called at 107% of face value;</t>
  </si>
  <si>
    <t xml:space="preserve">but in each of the next 4 years, the call percentage will decline by 1%. </t>
  </si>
  <si>
    <t xml:space="preserve">In Year 5, the bonds may be called at 109% of face value; </t>
  </si>
  <si>
    <t xml:space="preserve">of each year beginning in Year 5. </t>
  </si>
  <si>
    <t xml:space="preserve">d. The bond’s indenture indicates that the call provision gives the firm the right to call the bonds at the end </t>
  </si>
  <si>
    <t>c. Which yield might investors expect to earn on these bonds? Why?</t>
  </si>
  <si>
    <t>b. What is the yield to call if they are called in 5 years?</t>
  </si>
  <si>
    <t>a. What is the yield to maturity?</t>
  </si>
  <si>
    <t>The bonds may be called in 5 years at 109% of face value (Call price = $1090).</t>
  </si>
  <si>
    <t xml:space="preserve">They have an 11% annual coupon payment, and their current price is $1175. </t>
  </si>
  <si>
    <t xml:space="preserve"> Kaufman Enterprises has bonds outstanding with a $1000 face value and 10 years left until maturity. </t>
  </si>
  <si>
    <t>YIELD TO MATURITY AND YIELD TO CALL</t>
  </si>
  <si>
    <t>df</t>
  </si>
  <si>
    <t>DCF*Per number</t>
  </si>
  <si>
    <t>Crossover rate = IRR
(Project S - Project L)=</t>
  </si>
  <si>
    <t>Maximum available for investment</t>
  </si>
  <si>
    <t>Maximum required loan (shown as a negative)</t>
  </si>
  <si>
    <t>Surplus cash (or loan needed): Row 37 - Row 39</t>
  </si>
  <si>
    <t>Terget cash balance</t>
  </si>
  <si>
    <t>Cash surplus (or loan requirement)</t>
  </si>
  <si>
    <t>Cumulative NCF: Prior month's cum NCF plus this month's NCF</t>
  </si>
  <si>
    <t>Net cash flow (NCF) for month: Row 25 minus Row 34</t>
  </si>
  <si>
    <t>Net cash flows:</t>
  </si>
  <si>
    <t>Total payments</t>
  </si>
  <si>
    <t>Payments for plant construction</t>
  </si>
  <si>
    <t>Taxes</t>
  </si>
  <si>
    <t>Other expenses</t>
  </si>
  <si>
    <t>Lease payments</t>
  </si>
  <si>
    <t>Wages and salaries</t>
  </si>
  <si>
    <t>Payments</t>
  </si>
  <si>
    <t>During 2nd month after sale: 0,1(sales 2 months ago)</t>
  </si>
  <si>
    <t>During 1st month after sale: 0,7(prior month's sales)</t>
  </si>
  <si>
    <t>During month of sale: 0,2(Sales)(0,98)</t>
  </si>
  <si>
    <t>Sales (gross)</t>
  </si>
  <si>
    <t>Dec</t>
  </si>
  <si>
    <t>Nov</t>
  </si>
  <si>
    <t>Oct</t>
  </si>
  <si>
    <t>Sept</t>
  </si>
  <si>
    <t>August</t>
  </si>
  <si>
    <t>THE CASH BUDGET</t>
  </si>
  <si>
    <t>% increase or decrease from base to see effects</t>
  </si>
  <si>
    <t>Sales adjustment factor (change from base)</t>
  </si>
  <si>
    <t>Can change to see effects</t>
  </si>
  <si>
    <t>Target cash balance</t>
  </si>
  <si>
    <t>Construction cost for new plant (Oct)</t>
  </si>
  <si>
    <t>Purchases as a % of next month's sales</t>
  </si>
  <si>
    <t>Discount on first month collections</t>
  </si>
  <si>
    <t>Prcent of debts</t>
  </si>
  <si>
    <t>Equal to 100%-(20%+70%) - Bad debt %</t>
  </si>
  <si>
    <t>Collections during 2nd month after sale</t>
  </si>
  <si>
    <t>Assumed constant. Don't change</t>
  </si>
  <si>
    <t>Collections during 1st month after sale</t>
  </si>
  <si>
    <t>Collections during month of sale</t>
  </si>
  <si>
    <t>Imput data</t>
  </si>
  <si>
    <t xml:space="preserve">Payments for materials: Last month's prchases </t>
  </si>
  <si>
    <t>D/E (relaxed policy)=</t>
  </si>
  <si>
    <t>D/E (moderate policy)=</t>
  </si>
  <si>
    <t>D/E (restricted policy)=</t>
  </si>
  <si>
    <t>Financial risk will be not affected by the Current Assets financing policy.</t>
  </si>
  <si>
    <t>Expected sales are independent of the current assets investment policy</t>
  </si>
  <si>
    <t>ROE (relaxed policy)=</t>
  </si>
  <si>
    <t>ROE (moderate policy)=</t>
  </si>
  <si>
    <t>ROE (restricted policy)=</t>
  </si>
  <si>
    <t>Equity (relaxed policy)=</t>
  </si>
  <si>
    <t>Equity (moderate policy)=</t>
  </si>
  <si>
    <t>Equity (restricted policy)=</t>
  </si>
  <si>
    <t>Net income (relaxed policy)=</t>
  </si>
  <si>
    <t>Net income (moderate policy)=</t>
  </si>
  <si>
    <t>Net income (restricted policy)=</t>
  </si>
  <si>
    <t>Tax (relaxed policy)=</t>
  </si>
  <si>
    <t>Tax (moderate policy)=</t>
  </si>
  <si>
    <t>Tax (restricted policy)=</t>
  </si>
  <si>
    <t>EBT (relaxed policy)=</t>
  </si>
  <si>
    <t>EBT (moderate policy)=</t>
  </si>
  <si>
    <t>EBT (restricted policy)=</t>
  </si>
  <si>
    <t>Interest (relaxed policy)=</t>
  </si>
  <si>
    <t>Interest (moderate policy)=</t>
  </si>
  <si>
    <t>Interest (restricted policy)=</t>
  </si>
  <si>
    <t>EBIT=</t>
  </si>
  <si>
    <t>Debt (relaxed policy)=</t>
  </si>
  <si>
    <t>Debt (moderate policy)=</t>
  </si>
  <si>
    <t>Debt (restricted policy)=</t>
  </si>
  <si>
    <t>Total assets (relaxed policy)=</t>
  </si>
  <si>
    <t>Total assets (moderate policy)=</t>
  </si>
  <si>
    <t>Total assets (restricted policy)=</t>
  </si>
  <si>
    <t>Current assets (relaxed policy)=</t>
  </si>
  <si>
    <t>Current assets (moderate policy)=</t>
  </si>
  <si>
    <t>Current assets (restricted policy)=</t>
  </si>
  <si>
    <t>ROE=?</t>
  </si>
  <si>
    <t>T=</t>
  </si>
  <si>
    <t>of sales</t>
  </si>
  <si>
    <t>Relaxed policy</t>
  </si>
  <si>
    <t>Moderate policy</t>
  </si>
  <si>
    <t>Restricted policy</t>
  </si>
  <si>
    <t>Debt-to-assets ratio=</t>
  </si>
  <si>
    <t>c. How would the firm’s risk be affected by the different policies?</t>
  </si>
  <si>
    <t>Is this a valid assumption? Why or why not?</t>
  </si>
  <si>
    <t xml:space="preserve">b. In this problem, we assume that expected sales are independent of the current assets investment policy. </t>
  </si>
  <si>
    <t>a. What is the expected return on equity under each current assets level?</t>
  </si>
  <si>
    <t>(3) a relaxed policy where current assets would be 60% of sales. Earnings before interest and taxes should be 12% of total sales, and the federal-plus-state tax rate is 40%.</t>
  </si>
  <si>
    <t xml:space="preserve">(2) a moderate policy where current assets would be 50% of sales, and </t>
  </si>
  <si>
    <t xml:space="preserve"> (1) a restricted policy where current assets would be only 45% of projected sales, </t>
  </si>
  <si>
    <t>Three alternatives regarding the projected current assets level are  under consideration:</t>
  </si>
  <si>
    <t xml:space="preserve">Rentz’s interest rate is currently 8% on both short-term and longer-term debt (which the firm uses in its permanent structure). </t>
  </si>
  <si>
    <t xml:space="preserve">Fixed assets total $1 million, and the firm plans to maintain a 60% debt-to-assets ratio. </t>
  </si>
  <si>
    <t xml:space="preserve">Management expects sales to increase to approximately $2 million as a result of an asset expansion presently being undertaken. </t>
  </si>
  <si>
    <t xml:space="preserve">Rentz Corporation is investigating the optimal level of current assets for the coming year. </t>
  </si>
  <si>
    <t>WC (30 days)=</t>
  </si>
  <si>
    <t>WC (1 day)=</t>
  </si>
  <si>
    <t>day</t>
  </si>
  <si>
    <t>WC=?</t>
  </si>
  <si>
    <t>Inventory conversation period=</t>
  </si>
  <si>
    <t>Cost of goods (for 1 item) (per day)=</t>
  </si>
  <si>
    <t>batteries per day</t>
  </si>
  <si>
    <t>Production amount (per day)=</t>
  </si>
  <si>
    <t>d)</t>
  </si>
  <si>
    <t>WC (reduction)=</t>
  </si>
  <si>
    <t>WC (27 days)=</t>
  </si>
  <si>
    <t>WC (32 days)=</t>
  </si>
  <si>
    <t>Cost of goods (per day)=</t>
  </si>
  <si>
    <t>new production process is implemented?</t>
  </si>
  <si>
    <t>what will be the length of its cash conversion cycle and its working capital financing requirement if the</t>
  </si>
  <si>
    <t xml:space="preserve"> Assuming the change does not affect the average collection period (40 days) or the payables deferral period (30 days), </t>
  </si>
  <si>
    <t>However, the new process would cause the cost of materials and labor to increase to $7.</t>
  </si>
  <si>
    <t xml:space="preserve"> and to increase its daily production to 1800 batteries. </t>
  </si>
  <si>
    <t xml:space="preserve"> The new production process would allow Prestopino to decrease its inventory conversion period to 20 days</t>
  </si>
  <si>
    <t>d. Prestopino’s management is trying to analyze the effect of a proposed new production process on its working capital investment.</t>
  </si>
  <si>
    <t>c. By what amount could Prestopino reduce its working capital financing needs if it was able to stretch its payables deferral period to 35 days?</t>
  </si>
  <si>
    <t>b. At a steady state in which Prestopino produces 1500 batteries a day, what amount of working capital must it finance?</t>
  </si>
  <si>
    <t>a. What is the length of Prestopino’s cash conversion cycle?</t>
  </si>
  <si>
    <t xml:space="preserve"> Prestopino allows its customers 40 days in which to pay for the batteries, and the firm generally pays its suppliers in 30 days.</t>
  </si>
  <si>
    <t xml:space="preserve"> It takes the firm 22 days to convert raw materials into a battery.</t>
  </si>
  <si>
    <t>Prestopino turns out 1 500 batteries a day at a cost of $6 per battery for materials and labor.</t>
  </si>
  <si>
    <t>Prestopino Corporation produces motorcycle batteries.</t>
  </si>
  <si>
    <t>Our company will turn over its inventory 6,49 times in one year.</t>
  </si>
  <si>
    <t>Turn over (inventory)=</t>
  </si>
  <si>
    <t>Cost of goods sold per day=</t>
  </si>
  <si>
    <t>Accounts receiables=</t>
  </si>
  <si>
    <t>Average sales (per day)=</t>
  </si>
  <si>
    <t>Accounts receiables=?</t>
  </si>
  <si>
    <t xml:space="preserve">a) </t>
  </si>
  <si>
    <t>Inventory turnover rate=?</t>
  </si>
  <si>
    <t>Accounts receivable=?</t>
  </si>
  <si>
    <t>Annual sales=</t>
  </si>
  <si>
    <t>Assume that cost of goods  sold is 75% of sales.</t>
  </si>
  <si>
    <t xml:space="preserve">c. How many times per year does Zocco turn over its inventory?  </t>
  </si>
  <si>
    <t>what is the investment  in accounts receivable?</t>
  </si>
  <si>
    <t xml:space="preserve">b. If Zocco’s annual sales are $3,421,875 and all sales are on credit, </t>
  </si>
  <si>
    <t>a. What is the length of the cash conversion cycle?</t>
  </si>
  <si>
    <t>collection period of 38 days, and a payables deferral period of 30 days.</t>
  </si>
  <si>
    <t xml:space="preserve">Zocco Corporation has an inventory conversion period of 75 days, an average </t>
  </si>
  <si>
    <t>(average time from sending items until receiving payment for these items)</t>
  </si>
  <si>
    <t>DSO=?</t>
  </si>
  <si>
    <t>Accounts receivales=</t>
  </si>
  <si>
    <t>Pyment period=</t>
  </si>
  <si>
    <t>What is Lamar’s DSO, what would it be if all customers paid on time, and how much capital would be released if Lamar could take action that led to on-time payments?</t>
  </si>
  <si>
    <t xml:space="preserve"> and its accounts receivable are $2 million. </t>
  </si>
  <si>
    <t>Lamar Lumber Company has sales of $10 million per year, all on credit terms calling for payment within 30 days;</t>
  </si>
  <si>
    <t>Our actual sales hugher than BEP value by 33%.</t>
  </si>
  <si>
    <t>Safety margin=</t>
  </si>
  <si>
    <t>BEP=</t>
  </si>
  <si>
    <t>Safety margin=?</t>
  </si>
  <si>
    <t>CM=</t>
  </si>
  <si>
    <t>Fixed costs=</t>
  </si>
  <si>
    <t>d) $50000</t>
  </si>
  <si>
    <t>c) $30000</t>
  </si>
  <si>
    <t>b) $25000</t>
  </si>
  <si>
    <t>a) $20000</t>
  </si>
  <si>
    <t>Bowl Corp has fixed costs of $20000 and a contribution margin ratio of 40%. Currently, sales are $75000. What is Bowl's margin of safety?</t>
  </si>
  <si>
    <t>3.</t>
  </si>
  <si>
    <t>DTL</t>
  </si>
  <si>
    <t>DOL</t>
  </si>
  <si>
    <t>DTL=</t>
  </si>
  <si>
    <t>EPS</t>
  </si>
  <si>
    <t>Sales</t>
  </si>
  <si>
    <t>DOL=</t>
  </si>
  <si>
    <t>DFL</t>
  </si>
  <si>
    <t>DFL=</t>
  </si>
  <si>
    <t>CM ratio=</t>
  </si>
  <si>
    <t>DTL=?</t>
  </si>
  <si>
    <t>DFL=?</t>
  </si>
  <si>
    <t>DOL=?</t>
  </si>
  <si>
    <t>BEP=?</t>
  </si>
  <si>
    <t>Taxes@ 50%</t>
  </si>
  <si>
    <t>Interest Expense</t>
  </si>
  <si>
    <t>Fixed Costs</t>
  </si>
  <si>
    <t>Variable Costs</t>
  </si>
  <si>
    <t>EBIT/(EBIT-Interest)</t>
  </si>
  <si>
    <t>Degree of financial leverage</t>
  </si>
  <si>
    <t>D/E</t>
  </si>
  <si>
    <t>Financial leverage</t>
  </si>
  <si>
    <t>Suppose you are given the following information:</t>
  </si>
  <si>
    <t>2.</t>
  </si>
  <si>
    <t>Own equity equals 13,36%</t>
  </si>
  <si>
    <t>r(lev)=</t>
  </si>
  <si>
    <t>Beta (levered Co)=</t>
  </si>
  <si>
    <t>V(lev)=</t>
  </si>
  <si>
    <t>Total capital=</t>
  </si>
  <si>
    <t>Debt capital=</t>
  </si>
  <si>
    <t>Share capital=</t>
  </si>
  <si>
    <t>r(e-ul)=</t>
  </si>
  <si>
    <t>r(e-l)=?</t>
  </si>
  <si>
    <t>Loan=</t>
  </si>
  <si>
    <t>Market return=</t>
  </si>
  <si>
    <t>Risk-free rate=</t>
  </si>
  <si>
    <t>Company's beta=</t>
  </si>
  <si>
    <t>Calculate the cost of company's own equity at including debt, if the corporate tax rate is 40%.</t>
  </si>
  <si>
    <t xml:space="preserve"> In the future, the company plans to introduce loans for 4 million rubles into the capital structure, buying back its own shares at their expense.</t>
  </si>
  <si>
    <t xml:space="preserve"> The company's beta is 1,2, the risk-free rate is 10%, and the market return is 12%.</t>
  </si>
  <si>
    <t>All profits are paid out to shareholders, and profit growth is not expected in the near future.</t>
  </si>
  <si>
    <t xml:space="preserve">The Delta company does not use financial leverage, the share capital is 10 million rubles. </t>
  </si>
  <si>
    <t>1.</t>
  </si>
  <si>
    <t>We must produce 750 units to receive operational profit of $30000</t>
  </si>
  <si>
    <t>units</t>
  </si>
  <si>
    <t>Sales to be achieved (units)=</t>
  </si>
  <si>
    <t>Contrib margin per unit=</t>
  </si>
  <si>
    <t>Units to be sold (sales)=</t>
  </si>
  <si>
    <t>Contrib margin ratio=</t>
  </si>
  <si>
    <t>Sales to be achieved (units)=?</t>
  </si>
  <si>
    <t>Units to be sold (sales)=?</t>
  </si>
  <si>
    <t>Target profit=</t>
  </si>
  <si>
    <t>Fixed expenses=</t>
  </si>
  <si>
    <t>per unit</t>
  </si>
  <si>
    <t>Variable costs=</t>
  </si>
  <si>
    <t>one unit</t>
  </si>
  <si>
    <t>P=</t>
  </si>
  <si>
    <t>the sales amount to acheve the target profit</t>
  </si>
  <si>
    <t>the units to be sold to acheve the target profit</t>
  </si>
  <si>
    <t>Please, calculate:</t>
  </si>
  <si>
    <t>The company would like to achieve a profit of $30000 next year.</t>
  </si>
  <si>
    <t>The company's monthly fixed expense will be $60000.</t>
  </si>
  <si>
    <t>Co. sells only one product with selling price $200 and variable cost of $80 per unit.</t>
  </si>
  <si>
    <t>Number of units, that is necessary to produce for covering of variable and fixed costs and receiving "0" in operating profit.</t>
  </si>
  <si>
    <t>BEP (units)=</t>
  </si>
  <si>
    <t>BEP (sales)=</t>
  </si>
  <si>
    <t>BEP (units)=?</t>
  </si>
  <si>
    <t>BEP (sales)=?</t>
  </si>
  <si>
    <t>BEP in units and sales = ?</t>
  </si>
  <si>
    <t>Company's monthly fixed expense equals $60000</t>
  </si>
  <si>
    <t xml:space="preserve">Lowman corporation sells only one product with selling price of $200 and variable costs $80 per unit. </t>
  </si>
  <si>
    <t>RONA=</t>
  </si>
  <si>
    <t>Equity=</t>
  </si>
  <si>
    <t>Debt=</t>
  </si>
  <si>
    <t xml:space="preserve"> Economic profitability - 25%, income tax rate - 20%.</t>
  </si>
  <si>
    <t>, the amount of equity capital is 9000 thousand rubles.</t>
  </si>
  <si>
    <t>Calculate the effect of financial leverage arising from the attraction of borrowed capital in the amount of 5000 thousand rubles. at 20% per annum</t>
  </si>
  <si>
    <t>Unfortunately we have no info regarding fixed assets (long-term asssets)</t>
  </si>
  <si>
    <t>RONA=?</t>
  </si>
  <si>
    <t>NWC=</t>
  </si>
  <si>
    <t>Current liabilities=</t>
  </si>
  <si>
    <t>Net Income=</t>
  </si>
  <si>
    <t>Total expenses=</t>
  </si>
  <si>
    <t>Revenue=</t>
  </si>
  <si>
    <t>How much will be company's RONA?</t>
  </si>
  <si>
    <t>The company has current assets of $400 million and current liabilities of $200 million, giving it net working capital of $200 million.</t>
  </si>
  <si>
    <t xml:space="preserve">Assume a company has revenue of $1 billion and total expenses including taxes of $800 million, giving it a net income of $200 million. </t>
  </si>
  <si>
    <t>The current level of output is 25% higher than critical.</t>
  </si>
  <si>
    <t>The safety margin describes the ratio between the actual and critical volume of output.</t>
  </si>
  <si>
    <t>The payback of fixed and variable costs is achieved at sales level of 2,25 mln RUB.</t>
  </si>
  <si>
    <t>Below this volume, output becomes unprofitable.</t>
  </si>
  <si>
    <t xml:space="preserve">The break-even point characterizes the volume of production at which the payback of fixed and variable costs is achieved. </t>
  </si>
  <si>
    <t>1% increase in sales will cause 4% increase in EBIT</t>
  </si>
  <si>
    <t xml:space="preserve">DOL=4. </t>
  </si>
  <si>
    <t>Conclusions:</t>
  </si>
  <si>
    <t>Profit=</t>
  </si>
  <si>
    <t>Sales volume=</t>
  </si>
  <si>
    <t>Profit</t>
  </si>
  <si>
    <t>Variable costs</t>
  </si>
  <si>
    <t>Fixed costs</t>
  </si>
  <si>
    <t>Sales volume</t>
  </si>
  <si>
    <t>RUR</t>
  </si>
  <si>
    <t>Indicators</t>
  </si>
  <si>
    <t>Based on the following data, calculate the break-even point, the margin safety and degree of operating leverage:</t>
  </si>
  <si>
    <t>Share's price (new)=</t>
  </si>
  <si>
    <t>per share</t>
  </si>
  <si>
    <t>Div (1)=</t>
  </si>
  <si>
    <t>Dividend amount=</t>
  </si>
  <si>
    <t>attributable to shareholders</t>
  </si>
  <si>
    <t>Interest=</t>
  </si>
  <si>
    <t>After recapitalization</t>
  </si>
  <si>
    <t>Share's price (initial)=</t>
  </si>
  <si>
    <t>will be used for dividends payment.</t>
  </si>
  <si>
    <t>Payout amount=</t>
  </si>
  <si>
    <t>Cost of equity (1)=</t>
  </si>
  <si>
    <t>of debt</t>
  </si>
  <si>
    <t>Issue</t>
  </si>
  <si>
    <t>N (shares)=</t>
  </si>
  <si>
    <t>per year</t>
  </si>
  <si>
    <t>g(net income)=</t>
  </si>
  <si>
    <t>Payout ratio=</t>
  </si>
  <si>
    <t>Initial capital structure:</t>
  </si>
  <si>
    <t>b. Assuming that the company maintains the same payout ratio, what will be its stock price following the recapitalization? Assume that shares are repurchased at the price calculated in Part a.</t>
  </si>
  <si>
    <t>a. What is the stock’s current price per share (before the recapitalization)?</t>
  </si>
  <si>
    <t xml:space="preserve"> Investment bankers have estimated that if the company goes through with the recapitalization, its before-tax cost of debt will be 11% and its cost of equity will rise to 14,5%.</t>
  </si>
  <si>
    <t>The company is considering a recapitalization where it will issue $1 million in debt and use the proceeds to repurchase stock.</t>
  </si>
  <si>
    <t xml:space="preserve"> Net income is expected to grow at a constant rate of 5% per year, 200,000 shares of stock are outstanding, and the current WACC is 13 40%.</t>
  </si>
  <si>
    <t>, and distributes 40% of its earnings as dividends.</t>
  </si>
  <si>
    <t xml:space="preserve"> is in the 40% federal-plus-state tax bracket, has a net income of $1 million</t>
  </si>
  <si>
    <t>Tapley Inc. currently has total capital equal to $5 million, has zero debt,</t>
  </si>
  <si>
    <t>Betta (L2)=</t>
  </si>
  <si>
    <t>Betta (U)=</t>
  </si>
  <si>
    <t>Betta (L1)=</t>
  </si>
  <si>
    <t>Cost of equity (1)=?</t>
  </si>
  <si>
    <t>Cost of equity (0)=</t>
  </si>
  <si>
    <t>MRP=</t>
  </si>
  <si>
    <t>Rf=</t>
  </si>
  <si>
    <t xml:space="preserve"> What would be Cyclone’s estimated cost of equity if it changed its capital structure to 50% debt and 50% equity?</t>
  </si>
  <si>
    <t xml:space="preserve"> Currently, Cyclone’s cost of equity is 14%, which is determined by the CAPM.</t>
  </si>
  <si>
    <t>however, the CEO believes that the firm should use more debt. The risk-free rate, rRF, is 5%; the market risk premium, RPM, is 6%; and the firm’s tax rate is 40%.</t>
  </si>
  <si>
    <t xml:space="preserve"> Its current capital structure consists of 25% debt and 75% equity; </t>
  </si>
  <si>
    <t>Cyclone Software Co. is trying to establish its optimal capital structure.</t>
  </si>
  <si>
    <t>ROE(LL new)=</t>
  </si>
  <si>
    <t>Net income (LL)=</t>
  </si>
  <si>
    <t>EBT(LL)=</t>
  </si>
  <si>
    <t>Equity(LL)=</t>
  </si>
  <si>
    <t>Debt(LL)=</t>
  </si>
  <si>
    <t>LL new</t>
  </si>
  <si>
    <t>LL</t>
  </si>
  <si>
    <t>T</t>
  </si>
  <si>
    <t>R(d)</t>
  </si>
  <si>
    <t>Debt-to-Capital ratio</t>
  </si>
  <si>
    <t xml:space="preserve">Invested capital </t>
  </si>
  <si>
    <t>Company</t>
  </si>
  <si>
    <t>ROE(LL)=</t>
  </si>
  <si>
    <t>ROE(HL)=</t>
  </si>
  <si>
    <t>Net income(LL)=</t>
  </si>
  <si>
    <t>Net income(HL)=</t>
  </si>
  <si>
    <t>EBT(HL)=</t>
  </si>
  <si>
    <t>Equity(HL)=</t>
  </si>
  <si>
    <t>Debt(HL)=</t>
  </si>
  <si>
    <t>ROIC(LL)=</t>
  </si>
  <si>
    <t>ROIC(HL)=</t>
  </si>
  <si>
    <t>ROE(LL)=?</t>
  </si>
  <si>
    <t>ROE(HL)=?</t>
  </si>
  <si>
    <t>ROIC(LL)=?</t>
  </si>
  <si>
    <t>ROIC(HL)=?</t>
  </si>
  <si>
    <t>HL</t>
  </si>
  <si>
    <t>Calculate the new ROE for LL.</t>
  </si>
  <si>
    <t xml:space="preserve">c. Observing that HL has a higher ROE, LL’s treasurer is thinking of raising the debt-to-capital ratio from 30% to 60% even though that would increase LL’s interest rate on all debt to 15%. </t>
  </si>
  <si>
    <t>b. Calculate the return on equity (ROE) for each firm.</t>
  </si>
  <si>
    <t>a. Calculate the return on invested capital (ROIC) for each firm.</t>
  </si>
  <si>
    <t>Neither firm uses preferred stock in its capital structure.</t>
  </si>
  <si>
    <t xml:space="preserve">Firm HL, however, has a debt-to-capital ratio of 50% and pays 12% interest on its debt, whereas LL has a 30% debt-to-capital ratio and pays only 10% interest on its debt. </t>
  </si>
  <si>
    <t xml:space="preserve">Each has $20 million in invested capital, has $4 million of EBIT, and is in the 40% federal-plus-state tax bracket. </t>
  </si>
  <si>
    <t xml:space="preserve">Firms HL and LL are identical except for their financial leverage ratios and the interest rates they pay on debt. </t>
  </si>
  <si>
    <t>investors might expect that the last year, when the firm will be willing to call the bonds is the 6th year.</t>
  </si>
  <si>
    <t xml:space="preserve">Last year Joan purchased a $1000 face value corporate bond with an 11% annual coupon rate and a 10-year maturity. </t>
  </si>
  <si>
    <t>At the time of the purchase, it had an expected yield to maturity of 9,79%.</t>
  </si>
  <si>
    <t xml:space="preserve"> If Joan sold the bond today for $1060,49, what rate of return would she have earned for the past year?</t>
  </si>
  <si>
    <t>Price (in 1 year)=</t>
  </si>
  <si>
    <t>Return (1 year)=?</t>
  </si>
  <si>
    <t xml:space="preserve">Bond </t>
  </si>
  <si>
    <t>Purchase price=</t>
  </si>
  <si>
    <t>Income after 1 year holding:</t>
  </si>
  <si>
    <t>Coupon (1 time)=</t>
  </si>
  <si>
    <t>Total income=</t>
  </si>
  <si>
    <t>Return (1 year)=</t>
  </si>
  <si>
    <t>cash on handy</t>
  </si>
  <si>
    <t>Current yield=</t>
  </si>
  <si>
    <t>(for one year)</t>
  </si>
  <si>
    <t>Coupon payment=</t>
  </si>
  <si>
    <t>Quarters</t>
  </si>
  <si>
    <t>Curent yield=?</t>
  </si>
  <si>
    <t>Coupon rate=</t>
  </si>
  <si>
    <t>What will be the current yield?</t>
  </si>
  <si>
    <t>An investor buys a bond for $1,100. Face value 1000 US dollars. Coupon rate 10% (paid quarterly).</t>
  </si>
  <si>
    <t>4.3</t>
  </si>
  <si>
    <t>An investor buys a 6% coupon bond (nominal value of $1,000) at a premium for $1,100. What will be the current yield?</t>
  </si>
  <si>
    <t>4.2</t>
  </si>
  <si>
    <t>An investor buys a 6% coupon bond (nominal value of $1,000) at a discount for $900. What will be the current yield?</t>
  </si>
  <si>
    <t>r(CorpBond)=r(*)+IP(1-2-3)+MRP(3)+DRP+LP=</t>
  </si>
  <si>
    <t>LP(3-year)=</t>
  </si>
  <si>
    <t>MRP(3)=</t>
  </si>
  <si>
    <t>IP(1-2-3)=</t>
  </si>
  <si>
    <t>C)</t>
  </si>
  <si>
    <t>r(TBond)=r(*)+IP(1-2-3)+MRP(3)=</t>
  </si>
  <si>
    <t>r(TBill)=r(*)+IP(1)+MRP(1)=</t>
  </si>
  <si>
    <t>MRP(1)=</t>
  </si>
  <si>
    <t>r(CorpBond)=?</t>
  </si>
  <si>
    <t>r(Tbond)=?</t>
  </si>
  <si>
    <t>r(TBill)=?</t>
  </si>
  <si>
    <t>DRP(3-year)=</t>
  </si>
  <si>
    <t>%</t>
  </si>
  <si>
    <t>0,1*(t-1)</t>
  </si>
  <si>
    <t>IP(3)=</t>
  </si>
  <si>
    <t>IP(2)=</t>
  </si>
  <si>
    <t>IP(1)=</t>
  </si>
  <si>
    <t>(within 3 years)</t>
  </si>
  <si>
    <t>r(*)=</t>
  </si>
  <si>
    <t>c. What is the yield on a 3-year corporate bond?</t>
  </si>
  <si>
    <t>b. What is the yield on a 3-year T-bond?</t>
  </si>
  <si>
    <t>a. What is the yield on a 1-year T-bill?</t>
  </si>
  <si>
    <t>The liquidity premium on relevant 3-year securities is 0,25% and the default risk premium on relevant 3-year securities is 0,6%.</t>
  </si>
  <si>
    <t xml:space="preserve">The maturity risk premium is estimated to be 0,1*(t-1)%, where t = number of years to maturity. </t>
  </si>
  <si>
    <t xml:space="preserve">Inflation is expected to be 3% next year, 3,5% the following year, and 4% the third year. </t>
  </si>
  <si>
    <t>The real rate of interest is 2% and is expected to remain constant for the next 3 years.</t>
  </si>
  <si>
    <t>PV(growing annuity)=</t>
  </si>
  <si>
    <t>PMT</t>
  </si>
  <si>
    <t>PMT(1)=</t>
  </si>
  <si>
    <t>If the discount rate equals 10%, what is the present value of this project?</t>
  </si>
  <si>
    <t xml:space="preserve">At that, this costs will grow annually at the inflation rate of 5%. </t>
  </si>
  <si>
    <t xml:space="preserve">The estimated building time is 5 years. The costs are estimated at the level of $1,5 mln. each year. </t>
  </si>
  <si>
    <t xml:space="preserve">Assume, our company consider the project concerning building of the new plant. </t>
  </si>
  <si>
    <t>PV(growing perpetuity)=</t>
  </si>
  <si>
    <t>year</t>
  </si>
  <si>
    <t>3rd</t>
  </si>
  <si>
    <t>Growing perpetuinty since the year</t>
  </si>
  <si>
    <t>4th</t>
  </si>
  <si>
    <t>First payment since the year</t>
  </si>
  <si>
    <t xml:space="preserve"> What will be the present value?</t>
  </si>
  <si>
    <t xml:space="preserve">It will be growing perpetuity since third year. At that, it is necessary to take into that sturting sum must be corrected with the growing rate of 4% annually. </t>
  </si>
  <si>
    <t xml:space="preserve">If our firm plans to make first donation since the 4th year. </t>
  </si>
  <si>
    <t>1.2</t>
  </si>
  <si>
    <t>What will be the present value of such donations, if we have no time limitation and our donations will grow annually at the rate of 4%. At that, discount rate will be equal 10%.</t>
  </si>
  <si>
    <t xml:space="preserve">Unfortunately, it is made no allowance for the growth in salaries and other costs, which will probably average about 4% a year starting in the year 1. </t>
  </si>
  <si>
    <t xml:space="preserve">A company plans to donate $1 million in year to fight malaria and other infectious diseases. </t>
  </si>
  <si>
    <t>1.1</t>
  </si>
  <si>
    <t>Discounted CFs</t>
  </si>
  <si>
    <t>Discunt factor</t>
  </si>
  <si>
    <t>PV(3 years)=</t>
  </si>
  <si>
    <t>PMT=</t>
  </si>
  <si>
    <t>Initial date:</t>
  </si>
  <si>
    <t>The discount rate equals 10%.</t>
  </si>
  <si>
    <r>
      <t xml:space="preserve">What will be the Present Value o the ordiary annuity with </t>
    </r>
    <r>
      <rPr>
        <sz val="14"/>
        <color rgb="FFFF0000"/>
        <rFont val="Calibri"/>
        <family val="2"/>
        <charset val="204"/>
        <scheme val="minor"/>
      </rPr>
      <t>PMT = $1000</t>
    </r>
    <r>
      <rPr>
        <sz val="14"/>
        <color rgb="FF000000"/>
        <rFont val="Calibri"/>
        <family val="2"/>
        <charset val="204"/>
        <scheme val="minor"/>
      </rPr>
      <t xml:space="preserve">, which will begin since the 1st year and will end at the 3rd (three payments, ordinary annuity). </t>
    </r>
  </si>
  <si>
    <t>8.2</t>
  </si>
  <si>
    <t>PV(initial)=</t>
  </si>
  <si>
    <t>CF(first)</t>
  </si>
  <si>
    <t>CF(1)</t>
  </si>
  <si>
    <t>PV(perpetity)=</t>
  </si>
  <si>
    <r>
      <t xml:space="preserve">What will be the Present Value o the Perpetuity with </t>
    </r>
    <r>
      <rPr>
        <sz val="14"/>
        <color rgb="FFFF0000"/>
        <rFont val="Calibri"/>
        <family val="2"/>
        <charset val="204"/>
        <scheme val="minor"/>
      </rPr>
      <t>PMT = $1000</t>
    </r>
    <r>
      <rPr>
        <sz val="14"/>
        <color rgb="FF000000"/>
        <rFont val="Calibri"/>
        <family val="2"/>
        <charset val="204"/>
        <scheme val="minor"/>
      </rPr>
      <t xml:space="preserve">, which will begin since the </t>
    </r>
    <r>
      <rPr>
        <b/>
        <sz val="14"/>
        <color rgb="FFFF0000"/>
        <rFont val="Calibri"/>
        <family val="2"/>
        <charset val="204"/>
        <scheme val="minor"/>
      </rPr>
      <t>3</t>
    </r>
    <r>
      <rPr>
        <b/>
        <vertAlign val="superscript"/>
        <sz val="14"/>
        <color rgb="FFFF0000"/>
        <rFont val="Calibri"/>
        <family val="2"/>
        <charset val="204"/>
        <scheme val="minor"/>
      </rPr>
      <t>rd</t>
    </r>
    <r>
      <rPr>
        <sz val="14"/>
        <color rgb="FF000000"/>
        <rFont val="Calibri"/>
        <family val="2"/>
        <charset val="204"/>
        <scheme val="minor"/>
      </rPr>
      <t xml:space="preserve"> year after now. </t>
    </r>
  </si>
  <si>
    <t>8.1</t>
  </si>
  <si>
    <t>PMT=?</t>
  </si>
  <si>
    <t>CF(0)=</t>
  </si>
  <si>
    <t>If he/she will withdraw interest payments each year forever, without withdrawing of invested sum, how much money he/she will receive and for what period?</t>
  </si>
  <si>
    <t>Assume, investor have deposited $1000 at the interest rate of 10% annually.</t>
  </si>
  <si>
    <t>7</t>
  </si>
  <si>
    <t>Cash flows</t>
  </si>
  <si>
    <t>What is the PV of the series of three payments of $100 (annuity due) if discount rate equals 5%?</t>
  </si>
  <si>
    <t>6.2</t>
  </si>
  <si>
    <t>What is the PV of the series of three payments of $100 (ordinary annuity) if discount rate equals 5%?</t>
  </si>
  <si>
    <t>6.1</t>
  </si>
  <si>
    <t>NPV= Sum (Discouted CFs)=</t>
  </si>
  <si>
    <t>NPV=?</t>
  </si>
  <si>
    <t>CF(2)=</t>
  </si>
  <si>
    <t>CF(1)=</t>
  </si>
  <si>
    <t>CF(0) (investment)=</t>
  </si>
  <si>
    <r>
      <t xml:space="preserve">Should investor accept the project, if the </t>
    </r>
    <r>
      <rPr>
        <sz val="14"/>
        <color rgb="FFFF0000"/>
        <rFont val="Calibri"/>
        <family val="2"/>
        <charset val="204"/>
        <scheme val="minor"/>
      </rPr>
      <t>opportunity costs of capital equals 12%</t>
    </r>
    <r>
      <rPr>
        <sz val="14"/>
        <color rgb="FF000000"/>
        <rFont val="Calibri"/>
        <family val="2"/>
        <charset val="204"/>
        <scheme val="minor"/>
      </rPr>
      <t>?</t>
    </r>
  </si>
  <si>
    <t>He suggests that you rent out the building for two years at $20,000 a year, and predicts that at the end of that time you will be able to sell the building for $400,000.</t>
  </si>
  <si>
    <t xml:space="preserve">Assume, your real estate adviser has come back with some revised forecasts. </t>
  </si>
  <si>
    <t xml:space="preserve">The total cost of buying the land and constructing the building is $370,000. </t>
  </si>
  <si>
    <t>FV=</t>
  </si>
  <si>
    <t>CF(0) (investmens)=</t>
  </si>
  <si>
    <t>Should investor accept the project?</t>
  </si>
  <si>
    <t>Suppose that the rate of interest on U.S. government securities is r=5% per year.</t>
  </si>
  <si>
    <t xml:space="preserve">You should go ahead with the project if the present value (PV) of the cash inflows is greater than the $370,000 investment. </t>
  </si>
  <si>
    <t>The total cost of buying the land and constructing the building is $370,000, but your real estate adviser forecasts a shortage of office space a year from now and predicts that you will be able sell the building for $420,000.</t>
  </si>
  <si>
    <t>EAR=</t>
  </si>
  <si>
    <t>FV=?</t>
  </si>
  <si>
    <t>How much will be $100 one year later, if 8% charged infinite times in year? (continuous compouning)</t>
  </si>
  <si>
    <t>FV (12 charges)=</t>
  </si>
  <si>
    <t>FV (4 charges)=</t>
  </si>
  <si>
    <t>FV (2 charges)=</t>
  </si>
  <si>
    <t>FV (1 charge)=</t>
  </si>
  <si>
    <t>12 times in year</t>
  </si>
  <si>
    <t>4 times in year</t>
  </si>
  <si>
    <t>2 times in year</t>
  </si>
  <si>
    <t>1 time in year</t>
  </si>
  <si>
    <t>EAR</t>
  </si>
  <si>
    <t>Periodic rate</t>
  </si>
  <si>
    <t>Number of compounding</t>
  </si>
  <si>
    <t>Periodic rate=</t>
  </si>
  <si>
    <t>8% charged twelve times in year?</t>
  </si>
  <si>
    <t>8% charged four times in year?</t>
  </si>
  <si>
    <t>8% charged two times in year?</t>
  </si>
  <si>
    <t>8% charged once in year?</t>
  </si>
  <si>
    <t>How much will be $100 one year later, if</t>
  </si>
  <si>
    <t>(1+r)^t=</t>
  </si>
  <si>
    <t>t=?</t>
  </si>
  <si>
    <t>How long does it take to double $5,000 at a compound rate of 12% per year (approx.)?</t>
  </si>
  <si>
    <t>At that, the interest rate equals 9%. How much money is necessary to invest now to receive $1824,04 in 7 years?</t>
  </si>
  <si>
    <t xml:space="preserve">Assume, if you have proposition to receive $1824,04 in 7 years. </t>
  </si>
  <si>
    <t>How much will you receive at the end of 7th year from now?</t>
  </si>
  <si>
    <t xml:space="preserve">Assume, you have made deposit of $1000 now for 7 year at the 9% annually. </t>
  </si>
  <si>
    <t>PV (CF0)=</t>
  </si>
  <si>
    <t xml:space="preserve"> How much will you receive at the end of third year?</t>
  </si>
  <si>
    <t>Assume, you deposit $100 into a three-year bank certificate of deposit (CD) that pays 5% annual interest.</t>
  </si>
  <si>
    <t>outstanding balance for the loan after the second payment=</t>
  </si>
  <si>
    <t>Ending Balance</t>
  </si>
  <si>
    <t>Principal Component</t>
  </si>
  <si>
    <t>Interest Component</t>
  </si>
  <si>
    <t>Payment</t>
  </si>
  <si>
    <t>Beginning balance</t>
  </si>
  <si>
    <t>Period</t>
  </si>
  <si>
    <t>Let us construct schedule table:</t>
  </si>
  <si>
    <t>Periodic rate=10/2=</t>
  </si>
  <si>
    <t>payments/periods</t>
  </si>
  <si>
    <t>k= number of PMTs= 2*10=</t>
  </si>
  <si>
    <t>outstanding balance for the loan after the second payment=?</t>
  </si>
  <si>
    <t>semianually</t>
  </si>
  <si>
    <t>compounding:</t>
  </si>
  <si>
    <t>Calculate the amount of the outstanding balance for the loan after the second payment is made.</t>
  </si>
  <si>
    <t xml:space="preserve">Suppose you borrowed $10000 at 10% interest to be paid semiannually over ten years. </t>
  </si>
  <si>
    <t>NPV at 18% discount rate</t>
  </si>
  <si>
    <t>NPV at 14% discount rate</t>
  </si>
  <si>
    <t>NPV at 16% discount rate</t>
  </si>
  <si>
    <t>DCF at 18% discount rate</t>
  </si>
  <si>
    <t>DCF at 14% discount rate</t>
  </si>
  <si>
    <t>DCF at 16% discount rate</t>
  </si>
  <si>
    <t>18% discount rate</t>
  </si>
  <si>
    <t>14% discount rate</t>
  </si>
  <si>
    <t>16% discount rate</t>
  </si>
  <si>
    <t>CFs</t>
  </si>
  <si>
    <t>Time period</t>
  </si>
  <si>
    <t>discount rate greater than IRR=</t>
  </si>
  <si>
    <t>discount rate lower than IRR=</t>
  </si>
  <si>
    <t>If discount rate equals IRR=</t>
  </si>
  <si>
    <t>IRR=?</t>
  </si>
  <si>
    <t>CF3=</t>
  </si>
  <si>
    <t>CF2=</t>
  </si>
  <si>
    <t>CF1=</t>
  </si>
  <si>
    <t>initial cost (present value)=</t>
  </si>
  <si>
    <t xml:space="preserve">What is the IRR for the investment? </t>
  </si>
  <si>
    <t xml:space="preserve">We have an investment project with an initial cost of $5 million and positive cash flows of $1.6 million at the end of Year 1, $2.4 million at the end of Year 2, and $2.8 million at the end of Year 3. </t>
  </si>
  <si>
    <t>TWR=</t>
  </si>
  <si>
    <t>HPR2=</t>
  </si>
  <si>
    <t>HPR1=</t>
  </si>
  <si>
    <t>TWR=?</t>
  </si>
  <si>
    <t>HPR2=?</t>
  </si>
  <si>
    <t>HPR1=?</t>
  </si>
  <si>
    <t>P1=</t>
  </si>
  <si>
    <t>P0=</t>
  </si>
  <si>
    <t>(Dec. 31 - August 15)</t>
  </si>
  <si>
    <t>HPR 2</t>
  </si>
  <si>
    <t>HPR 1</t>
  </si>
  <si>
    <t xml:space="preserve">By the end of the year, the portfolio has decreased in value to $1,003,440. </t>
  </si>
  <si>
    <t>At that point (August 15), she withdraws $100,000 from Mutual Fund A, bringing the total value down to $1,062,484.</t>
  </si>
  <si>
    <t xml:space="preserve">On August 15 of the following year, her portfolio is valued at $1,162,484. </t>
  </si>
  <si>
    <t xml:space="preserve">Investor 2 invests $1 million into Mutual Fund A on December 31. </t>
  </si>
  <si>
    <t>By the end of the year, the portfolio has decreased in value to $1,192,328. </t>
  </si>
  <si>
    <t>Investor 1 invests $1 million into Mutual Fund A on December 31. On August 15 of the following year, his portfolio is valued at $1,162,484. At that point (August 15), he adds $100,000 to Mutual Fund A, bringing the total value to $1,262,484.</t>
  </si>
  <si>
    <t>CAGR=</t>
  </si>
  <si>
    <t>CAGR=?</t>
  </si>
  <si>
    <t>return4</t>
  </si>
  <si>
    <t>return3</t>
  </si>
  <si>
    <t>return2</t>
  </si>
  <si>
    <t>return1</t>
  </si>
  <si>
    <t>Your stock portfolio had the following returns in the four quarters of a given year: +8%, -5%, +6%, +4%. How did it compare against the benchmark index, which had total returns of 12% over the year?</t>
  </si>
  <si>
    <t>Annuallized HPR for Fund B=</t>
  </si>
  <si>
    <t>Annuallized HPR for Fund A=</t>
  </si>
  <si>
    <t>Annuallized HPR for Fund B=?</t>
  </si>
  <si>
    <t>Annuallized HPR for Fund A=?</t>
  </si>
  <si>
    <t>HPR (Fund B)=</t>
  </si>
  <si>
    <t>HPR (Fund A)=</t>
  </si>
  <si>
    <t>Calculation of annualized HPR (for previous task):</t>
  </si>
  <si>
    <t>HPR (Fund B)=?</t>
  </si>
  <si>
    <t>HPR (Fund A)=?</t>
  </si>
  <si>
    <t>DIV1=</t>
  </si>
  <si>
    <t>Mutual Fund A</t>
  </si>
  <si>
    <t>Which investment performed better: Mutual Fund A, which was held for three years and appreciated from $100 to $150, providing $5 in distributions, or Mutual Fund B, which went from $200 to $320 and generated $10 in distributions over four years?</t>
  </si>
  <si>
    <t>HPR=</t>
  </si>
  <si>
    <t>HPR=?</t>
  </si>
  <si>
    <t>What is the HPR for an investor, who bought a stock a year ago at $50 and received $5 in dividends over the year, if the stock is now trading at $60?</t>
  </si>
  <si>
    <t>PMT (1)=</t>
  </si>
  <si>
    <t>PV (1) as ordinary annuity=</t>
  </si>
  <si>
    <t>FV(1) as ordinary annuity=</t>
  </si>
  <si>
    <t xml:space="preserve"> PV (2) as annuity due will be FV (1) for the ordinary annuity (1).</t>
  </si>
  <si>
    <t>Part 1</t>
  </si>
  <si>
    <t>PV(2) as annuity due=</t>
  </si>
  <si>
    <t>PV(2) as ordinary annuity=</t>
  </si>
  <si>
    <t>Part 2</t>
  </si>
  <si>
    <t>PV(2)=?</t>
  </si>
  <si>
    <t>annuity due</t>
  </si>
  <si>
    <t>PMT(1)=?</t>
  </si>
  <si>
    <t>ordinary annuity</t>
  </si>
  <si>
    <t>t1</t>
  </si>
  <si>
    <t>How much must he deposit at the end of each year for the next 25 years in order to be able to withdraw $25,000 per year at the beginning of each year for 30 years?</t>
  </si>
  <si>
    <t>He expects to earn 12.5% on her investments prior to her retirement and 10% thereafter.</t>
  </si>
  <si>
    <t xml:space="preserve">Assume a 35-year-old investor wants to retire in 25 years at the age of 60. </t>
  </si>
  <si>
    <t>If the firm used the discounted payback rule  with a cutoff period of two years, it would accept only project C</t>
  </si>
  <si>
    <t>Conclusion:</t>
  </si>
  <si>
    <t>Discountd Payback period (C)=</t>
  </si>
  <si>
    <t>none</t>
  </si>
  <si>
    <t>Discountd Payback period (B)=</t>
  </si>
  <si>
    <t>Discountd Payback period (A)=</t>
  </si>
  <si>
    <t>Number of days</t>
  </si>
  <si>
    <t>Number of years</t>
  </si>
  <si>
    <t>Cumulative DCF C</t>
  </si>
  <si>
    <t>Cumulative DCF B</t>
  </si>
  <si>
    <t>Cumulative DCF A</t>
  </si>
  <si>
    <t>DCF C</t>
  </si>
  <si>
    <t>DCF B</t>
  </si>
  <si>
    <t>DCF A</t>
  </si>
  <si>
    <t>discount factor</t>
  </si>
  <si>
    <t>Project C</t>
  </si>
  <si>
    <t>Which project/projects are possible to accept using discounted Payback rule?</t>
  </si>
  <si>
    <t>Cutoff period=</t>
  </si>
  <si>
    <t xml:space="preserve"> Consider the following three projects using discounted payback period:</t>
  </si>
  <si>
    <t>If the firm used the  payback rule  with a cutoff period of two years, it would accept only projects B and C</t>
  </si>
  <si>
    <t>Payback period (C)=</t>
  </si>
  <si>
    <t>Payback period (B)=</t>
  </si>
  <si>
    <t>Payback period (A)=</t>
  </si>
  <si>
    <t>Cumuladed CF (C)</t>
  </si>
  <si>
    <t>Cumuladed CF (B)</t>
  </si>
  <si>
    <t>Cumuladed CF (A)</t>
  </si>
  <si>
    <t>Which project/projects are possible to accept using Payback rule?</t>
  </si>
  <si>
    <t xml:space="preserve"> Consider the following three projects using payback period:</t>
  </si>
  <si>
    <t>PI</t>
  </si>
  <si>
    <t>Investment</t>
  </si>
  <si>
    <t>NPV C</t>
  </si>
  <si>
    <t>NPV B</t>
  </si>
  <si>
    <t>NPV A</t>
  </si>
  <si>
    <t>Discount factor (10%)</t>
  </si>
  <si>
    <t>Maximum spending amount:</t>
  </si>
  <si>
    <t xml:space="preserve">How it is possible to make optimal decision? </t>
  </si>
  <si>
    <t xml:space="preserve">Assume, we have three attractive projects: A, B, C. At that, the firm is limited to spending $10 million. </t>
  </si>
  <si>
    <t>PMT (Project B)=</t>
  </si>
  <si>
    <t>PMT (Project A)=</t>
  </si>
  <si>
    <t>Two-year annuity factor=</t>
  </si>
  <si>
    <t>Three-year annuity factor=</t>
  </si>
  <si>
    <t>project B (Sum of DCF)</t>
  </si>
  <si>
    <t>project A (Sum of DCF)</t>
  </si>
  <si>
    <t>project B (DCF)</t>
  </si>
  <si>
    <t>project A (DCF)</t>
  </si>
  <si>
    <t>discount factor (11%)</t>
  </si>
  <si>
    <t>project B (CF)</t>
  </si>
  <si>
    <t>project A (CF)</t>
  </si>
  <si>
    <t>nominal discount rate=</t>
  </si>
  <si>
    <t>inflation rate=</t>
  </si>
  <si>
    <t>real rate=</t>
  </si>
  <si>
    <t>Life period=</t>
  </si>
  <si>
    <t>Cost of run (per year)=</t>
  </si>
  <si>
    <t>Cost of machine=</t>
  </si>
  <si>
    <t>machine B</t>
  </si>
  <si>
    <t>machine A</t>
  </si>
  <si>
    <t>2.3</t>
  </si>
  <si>
    <t>Nominal cash flow</t>
  </si>
  <si>
    <t>Real annuity</t>
  </si>
  <si>
    <t>discount infl. factor</t>
  </si>
  <si>
    <t>Which project is preferable?</t>
  </si>
  <si>
    <t>discount factor (6%)</t>
  </si>
  <si>
    <t>Which machine would be preferable at the required rate of terun of 6%?</t>
  </si>
  <si>
    <t>Machine B is an economy model costing only $10000, but it will last only two years and costs $6000 per year to run.</t>
  </si>
  <si>
    <t>Machine A costs $15000 and will last three years. It costs $5000 per year to run.</t>
  </si>
  <si>
    <t>Suppose the firm is forced to choose between two machines, A and B. The two machines are designed differently but have identical capacity and do exactly the same job.</t>
  </si>
  <si>
    <t>NPV=</t>
  </si>
  <si>
    <t>How much additional revenue does it take to cover the $400 million investment?</t>
  </si>
  <si>
    <t>The new equipment lasts for 25 years, and does not change raw-material and operating costs.</t>
  </si>
  <si>
    <t>A real (inflation-adjusted) cost of capital equals 7%.</t>
  </si>
  <si>
    <t>The introduction of new equipment requires an investment of $ 400 million.</t>
  </si>
  <si>
    <t>The company is considering introducing new equipment into production.</t>
  </si>
  <si>
    <t>Div (4)=</t>
  </si>
  <si>
    <t>Div (3)=</t>
  </si>
  <si>
    <t>Div (2)=</t>
  </si>
  <si>
    <t>Share's price=?</t>
  </si>
  <si>
    <t>inf.</t>
  </si>
  <si>
    <t>Div (0)=</t>
  </si>
  <si>
    <t>Calculate the share's price</t>
  </si>
  <si>
    <t xml:space="preserve">Thereafter is it expected that dividends growth rate will stabilize at the level of 5% forever. The company's cost of equity capital is 7%. </t>
  </si>
  <si>
    <t>Analysts expected that dividends will grow at the rate of 20% per year within the next three years.</t>
  </si>
  <si>
    <t xml:space="preserve">Assume Company X paid a dividend of $1.50 per share this year. </t>
  </si>
  <si>
    <t xml:space="preserve">Price per share = </t>
  </si>
  <si>
    <t xml:space="preserve"> The company expects dividends to grow in perpetuity at 5 percent per year, and the company's cost of equity capital is 7%. </t>
  </si>
  <si>
    <t>Assume Company X paid a dividend of $1.80 per share this year.</t>
  </si>
  <si>
    <t>How long does it take to triple $10,000 at a compound rate of 13% per year (approximately)?</t>
  </si>
  <si>
    <t>10</t>
  </si>
  <si>
    <t>PMT (ordinary annuity)=</t>
  </si>
  <si>
    <t>Rest</t>
  </si>
  <si>
    <t>Principal amount</t>
  </si>
  <si>
    <t>Interest</t>
  </si>
  <si>
    <t>Loan</t>
  </si>
  <si>
    <t>initial data:</t>
  </si>
  <si>
    <t>Calculate the amount of the payment that the company must make in order to fully amortize this loan in five years.</t>
  </si>
  <si>
    <t xml:space="preserve">The company’s bank will lend the money at a rate of 9% and requires that the loan be paid off in five equal end-of-year payments. </t>
  </si>
  <si>
    <t xml:space="preserve">A company plans to borrow $50,000 for five years. </t>
  </si>
  <si>
    <t>Loan payment calculation: Annual payments</t>
  </si>
  <si>
    <t>9</t>
  </si>
  <si>
    <t>PV (ordinary annuity)=</t>
  </si>
  <si>
    <t>Ordinary annuity at continuous compounding</t>
  </si>
  <si>
    <t>r (at cont. comp.)=</t>
  </si>
  <si>
    <t>PV (ordinary annuity)=?</t>
  </si>
  <si>
    <t>r(annually compounded)=</t>
  </si>
  <si>
    <t xml:space="preserve">Initial data </t>
  </si>
  <si>
    <t>Calculate the present value of this annuity.</t>
  </si>
  <si>
    <t>Now we must use the continuously compounded rate.</t>
  </si>
  <si>
    <t xml:space="preserve">Previously, we used the annually compounded rate of 10%; </t>
  </si>
  <si>
    <t xml:space="preserve">For instance, suppose that you have thought again about your donation and have decided to fund a vaccination program in emerging countries, which will cost $1 billion a year, starting at the end of year, and spread evenly over 20 years. </t>
  </si>
  <si>
    <t>8</t>
  </si>
  <si>
    <t>infinite</t>
  </si>
  <si>
    <t>PMT (growing annuity)=</t>
  </si>
  <si>
    <t>PMT (one year)=</t>
  </si>
  <si>
    <t>PMT (ten years)=</t>
  </si>
  <si>
    <t>WINNER variant B</t>
  </si>
  <si>
    <r>
      <t xml:space="preserve">If the interest rate is 12%, </t>
    </r>
    <r>
      <rPr>
        <b/>
        <sz val="14"/>
        <color theme="1"/>
        <rFont val="Calibri"/>
        <family val="2"/>
        <charset val="204"/>
        <scheme val="minor"/>
      </rPr>
      <t>which is the most valuable prize?</t>
    </r>
  </si>
  <si>
    <r>
      <t>E.</t>
    </r>
    <r>
      <rPr>
        <sz val="7"/>
        <color theme="1"/>
        <rFont val="Times New Roman"/>
        <family val="1"/>
        <charset val="204"/>
      </rPr>
      <t xml:space="preserve">     </t>
    </r>
    <r>
      <rPr>
        <sz val="14"/>
        <color theme="1"/>
        <rFont val="Calibri"/>
        <family val="2"/>
        <charset val="204"/>
        <scheme val="minor"/>
      </rPr>
      <t>$6500 next year and increasing thereafter by 5% a year forever.</t>
    </r>
  </si>
  <si>
    <r>
      <t>D.</t>
    </r>
    <r>
      <rPr>
        <sz val="7"/>
        <color theme="1"/>
        <rFont val="Times New Roman"/>
        <family val="1"/>
        <charset val="204"/>
      </rPr>
      <t xml:space="preserve">    </t>
    </r>
    <r>
      <rPr>
        <sz val="14"/>
        <color theme="1"/>
        <rFont val="Calibri"/>
        <family val="2"/>
        <charset val="204"/>
        <scheme val="minor"/>
      </rPr>
      <t>$19000 for each of 10 years.</t>
    </r>
  </si>
  <si>
    <r>
      <t>C.</t>
    </r>
    <r>
      <rPr>
        <sz val="7"/>
        <color theme="1"/>
        <rFont val="Times New Roman"/>
        <family val="1"/>
        <charset val="204"/>
      </rPr>
      <t xml:space="preserve">     </t>
    </r>
    <r>
      <rPr>
        <sz val="14"/>
        <color theme="1"/>
        <rFont val="Calibri"/>
        <family val="2"/>
        <charset val="204"/>
        <scheme val="minor"/>
      </rPr>
      <t>$11400 a year forever.</t>
    </r>
  </si>
  <si>
    <r>
      <t>B.</t>
    </r>
    <r>
      <rPr>
        <sz val="7"/>
        <color theme="1"/>
        <rFont val="Times New Roman"/>
        <family val="1"/>
        <charset val="204"/>
      </rPr>
      <t xml:space="preserve">     </t>
    </r>
    <r>
      <rPr>
        <sz val="14"/>
        <color theme="1"/>
        <rFont val="Calibri"/>
        <family val="2"/>
        <charset val="204"/>
        <scheme val="minor"/>
      </rPr>
      <t>$180000 at the end of five years.</t>
    </r>
  </si>
  <si>
    <r>
      <t>A.</t>
    </r>
    <r>
      <rPr>
        <sz val="7"/>
        <color theme="1"/>
        <rFont val="Times New Roman"/>
        <family val="1"/>
        <charset val="204"/>
      </rPr>
      <t xml:space="preserve">    </t>
    </r>
    <r>
      <rPr>
        <sz val="14"/>
        <color theme="1"/>
        <rFont val="Calibri"/>
        <family val="2"/>
        <charset val="204"/>
        <scheme val="minor"/>
      </rPr>
      <t>$100000 now.</t>
    </r>
  </si>
  <si>
    <t>As winner of a breakfast cereal competition, you can choose one of the following prizes:</t>
  </si>
  <si>
    <t>Annuity factor=</t>
  </si>
  <si>
    <t>t (retirement period)=</t>
  </si>
  <si>
    <t>Future expenditure amount=</t>
  </si>
  <si>
    <t>(retirement years)</t>
  </si>
  <si>
    <t>t (until retirement)=</t>
  </si>
  <si>
    <t>infl=</t>
  </si>
  <si>
    <t>t3=</t>
  </si>
  <si>
    <t>She assumes her consumption expenditures will increase with the rate of inflation, 3,5%, until she retires. Upon retiring, she will have end-of-year expenditures equal to her consumption expenditure at age 69. The minimum amount that she must accumulate by age 69 in order to fund her retirement is closest to____.</t>
  </si>
  <si>
    <t>Expected return on investment: 9%</t>
  </si>
  <si>
    <t>Expected inflation rate of current expenditures until retirement: 3,5%</t>
  </si>
  <si>
    <t>Current annual expenditures: $35000</t>
  </si>
  <si>
    <t>Life expectancy: 95</t>
  </si>
  <si>
    <t>Expected retirement age: 69</t>
  </si>
  <si>
    <t>Current age: 27</t>
  </si>
  <si>
    <t>It is using the following information to plan her retirement:</t>
  </si>
  <si>
    <t>FV(growing annuity)=</t>
  </si>
  <si>
    <t>period=</t>
  </si>
  <si>
    <t>We have growing annuity:</t>
  </si>
  <si>
    <t>If the discount rate is 9%, what is the FV of these salary payments?</t>
  </si>
  <si>
    <t>Max is 27 years of age and his salary next year will be $35000. Max forecasts that his salary will increase at a steady rate of 7% per annum until his retirement at age 62.</t>
  </si>
  <si>
    <t>5</t>
  </si>
  <si>
    <t>(2nd variant of solution)</t>
  </si>
  <si>
    <t>PV (growing annuity)=Σ(DCF)=</t>
  </si>
  <si>
    <t>(1st variant of solution)</t>
  </si>
  <si>
    <t>If the discount rate is 8%, what is the PV of these future salary payments?</t>
  </si>
  <si>
    <t>Mike forecasts that his salary will increase at a steady rate of 5% per annum until his retirement at age 60.</t>
  </si>
  <si>
    <t xml:space="preserve">Mike Polanski is 30 years of age and his salary next year will be $40,000. </t>
  </si>
  <si>
    <t>PV (annuity due)=</t>
  </si>
  <si>
    <t>(2st variant of solution)</t>
  </si>
  <si>
    <r>
      <t>PV (annuity due)=</t>
    </r>
    <r>
      <rPr>
        <sz val="14"/>
        <color theme="1"/>
        <rFont val="Calibri"/>
        <family val="2"/>
        <charset val="204"/>
      </rPr>
      <t>Σ(DCF)=</t>
    </r>
  </si>
  <si>
    <t>Type of annuity</t>
  </si>
  <si>
    <t>time</t>
  </si>
  <si>
    <t>Number of payments in year</t>
  </si>
  <si>
    <t>What premium should Maxwell be willing to pay for this annuity, assuming an effective rate of interest of 13%?</t>
  </si>
  <si>
    <t xml:space="preserve">He is to receive level payments at the beginning of every year. </t>
  </si>
  <si>
    <t xml:space="preserve">Maxwell buys an annuity that pays a regular series of payments each amounting to $230 per year for a period of 18 years. </t>
  </si>
  <si>
    <t>EAR=?</t>
  </si>
  <si>
    <t xml:space="preserve">stated annual rate with interest to be paid continuously= </t>
  </si>
  <si>
    <t>Using a stated rate of 10%, compute EARs for continuous compounding.</t>
  </si>
  <si>
    <t>EAR(4)=</t>
  </si>
  <si>
    <t>EAR(3)=</t>
  </si>
  <si>
    <t>EAR(2)=</t>
  </si>
  <si>
    <t>EAR(1)=</t>
  </si>
  <si>
    <t>Effective Annual Rate</t>
  </si>
  <si>
    <t>Number of payments in one year</t>
  </si>
  <si>
    <t>Stated Annual Rate</t>
  </si>
  <si>
    <t>EAR(1), EAR(2), EAR(3), EAR(4)=?</t>
  </si>
  <si>
    <t>4) stated annual rate with interest to be paid daily=</t>
  </si>
  <si>
    <t xml:space="preserve">3) stated ratewith interest to be paid monthly= </t>
  </si>
  <si>
    <t xml:space="preserve">2) stated annual rate with interest to be paid quarterly= </t>
  </si>
  <si>
    <t xml:space="preserve">1) stated annual rate with interest to be paid semiannually= </t>
  </si>
  <si>
    <t>Using a stated rate of 8%, compute EARs for semiannual, quarterly, monthly, and daily compounding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</si>
</sst>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44" formatCode="_-* #,##0.00\ &quot;₽&quot;_-;\-* #,##0.00\ &quot;₽&quot;_-;_-* &quot;-&quot;??\ &quot;₽&quot;_-;_-@_-"/>
    <numFmt numFmtId="164" formatCode="[$$-409]#,##0.00"/>
    <numFmt numFmtId="165" formatCode="0.000"/>
    <numFmt numFmtId="166" formatCode="0.0%"/>
    <numFmt numFmtId="167" formatCode="#,##0.00\ &quot;₽&quot;"/>
    <numFmt numFmtId="168" formatCode="[$$-409]#,##0"/>
    <numFmt numFmtId="169" formatCode="[$$-409]#,##0.0"/>
    <numFmt numFmtId="170" formatCode="#,##0.0"/>
    <numFmt numFmtId="171" formatCode="0.0000"/>
    <numFmt numFmtId="172" formatCode="#,##0\ &quot;₽&quot;"/>
    <numFmt numFmtId="173" formatCode="0.000%"/>
    <numFmt numFmtId="174" formatCode="[$$-409]#,##0.000"/>
    <numFmt numFmtId="175" formatCode="0.0"/>
    <numFmt numFmtId="176" formatCode="[$$-45D]#,##0.00"/>
    <numFmt numFmtId="177" formatCode="_-[$$-409]* #,##0.00_ ;_-[$$-409]* \-#,##0.00\ ;_-[$$-409]* &quot;-&quot;??_ ;_-@_ "/>
    <numFmt numFmtId="178" formatCode="#,##0.00_ ;\-#,##0.00\ "/>
    <numFmt numFmtId="179" formatCode="[$$-409]#,##0.00_ ;\-[$$-409]#,##0.00\ "/>
  </numFmts>
  <fonts count="5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4"/>
      <color theme="1"/>
      <name val="Calibri"/>
      <family val="2"/>
      <scheme val="minor"/>
    </font>
    <font>
      <sz val="14"/>
      <color theme="1"/>
      <name val="Calibri"/>
      <family val="2"/>
      <charset val="204"/>
      <scheme val="minor"/>
    </font>
    <font>
      <b/>
      <sz val="14"/>
      <color theme="1"/>
      <name val="Calibri"/>
      <family val="2"/>
      <charset val="204"/>
      <scheme val="minor"/>
    </font>
    <font>
      <sz val="11"/>
      <color theme="1"/>
      <name val="Calibri"/>
      <family val="2"/>
      <scheme val="minor"/>
    </font>
    <font>
      <sz val="14"/>
      <name val="Calibri"/>
      <family val="2"/>
      <scheme val="minor"/>
    </font>
    <font>
      <i/>
      <sz val="14"/>
      <color theme="1"/>
      <name val="Calibri"/>
      <family val="2"/>
      <charset val="204"/>
      <scheme val="minor"/>
    </font>
    <font>
      <sz val="14"/>
      <color theme="1"/>
      <name val="Calibri"/>
      <family val="2"/>
      <charset val="204"/>
    </font>
    <font>
      <sz val="14"/>
      <color theme="1"/>
      <name val="Arial"/>
      <family val="2"/>
      <charset val="204"/>
    </font>
    <font>
      <sz val="14"/>
      <color rgb="FF000000"/>
      <name val="Calibri"/>
      <family val="2"/>
      <charset val="204"/>
      <scheme val="minor"/>
    </font>
    <font>
      <b/>
      <sz val="14"/>
      <color theme="1"/>
      <name val="Calibri"/>
      <family val="2"/>
      <scheme val="minor"/>
    </font>
    <font>
      <sz val="14"/>
      <color rgb="FFFF0000"/>
      <name val="Calibri"/>
      <family val="2"/>
      <scheme val="minor"/>
    </font>
    <font>
      <sz val="18"/>
      <color theme="1"/>
      <name val="Calibri"/>
      <family val="2"/>
      <scheme val="minor"/>
    </font>
    <font>
      <i/>
      <sz val="14"/>
      <color theme="1"/>
      <name val="Calibri"/>
      <family val="2"/>
      <scheme val="minor"/>
    </font>
    <font>
      <sz val="14"/>
      <color rgb="FF00B0F0"/>
      <name val="Calibri"/>
      <family val="2"/>
      <scheme val="minor"/>
    </font>
    <font>
      <i/>
      <sz val="14"/>
      <color rgb="FF000000"/>
      <name val="Calibri"/>
      <family val="2"/>
      <charset val="204"/>
      <scheme val="minor"/>
    </font>
    <font>
      <b/>
      <sz val="14"/>
      <color rgb="FF000000"/>
      <name val="Calibri"/>
      <family val="2"/>
      <charset val="204"/>
      <scheme val="minor"/>
    </font>
    <font>
      <sz val="16"/>
      <color theme="1"/>
      <name val="Calibri"/>
      <family val="2"/>
      <scheme val="minor"/>
    </font>
    <font>
      <b/>
      <sz val="16"/>
      <color theme="1"/>
      <name val="Calibri"/>
      <family val="2"/>
      <charset val="204"/>
      <scheme val="minor"/>
    </font>
    <font>
      <sz val="18"/>
      <color rgb="FF000000"/>
      <name val="Calibri"/>
      <family val="2"/>
      <charset val="204"/>
      <scheme val="minor"/>
    </font>
    <font>
      <sz val="16"/>
      <color theme="1"/>
      <name val="Calibri"/>
      <family val="2"/>
      <charset val="204"/>
      <scheme val="minor"/>
    </font>
    <font>
      <sz val="16"/>
      <color rgb="FF000000"/>
      <name val="Calibri"/>
      <family val="2"/>
      <charset val="204"/>
      <scheme val="minor"/>
    </font>
    <font>
      <sz val="14"/>
      <color rgb="FF000000"/>
      <name val="Calibri"/>
      <family val="2"/>
    </font>
    <font>
      <sz val="14"/>
      <color rgb="FF000000"/>
      <name val="Calibri"/>
      <family val="2"/>
      <charset val="204"/>
    </font>
    <font>
      <b/>
      <sz val="14"/>
      <color rgb="FF000000"/>
      <name val="Calibri"/>
      <family val="2"/>
      <charset val="204"/>
    </font>
    <font>
      <b/>
      <sz val="14"/>
      <color rgb="FF000000"/>
      <name val="Calibri"/>
      <family val="2"/>
    </font>
    <font>
      <b/>
      <i/>
      <sz val="14"/>
      <color theme="1"/>
      <name val="Calibri"/>
      <family val="2"/>
      <charset val="204"/>
      <scheme val="minor"/>
    </font>
    <font>
      <sz val="16"/>
      <color rgb="FFFF0000"/>
      <name val="Calibri"/>
      <family val="2"/>
      <scheme val="minor"/>
    </font>
    <font>
      <sz val="16"/>
      <color rgb="FF111111"/>
      <name val="Calibri"/>
      <family val="2"/>
      <scheme val="minor"/>
    </font>
    <font>
      <sz val="14"/>
      <color rgb="FFFF0000"/>
      <name val="Calibri"/>
      <family val="2"/>
      <charset val="204"/>
      <scheme val="minor"/>
    </font>
    <font>
      <b/>
      <sz val="14"/>
      <color rgb="FFFF0000"/>
      <name val="Calibri"/>
      <family val="2"/>
      <charset val="204"/>
      <scheme val="minor"/>
    </font>
    <font>
      <b/>
      <vertAlign val="superscript"/>
      <sz val="14"/>
      <color rgb="FFFF0000"/>
      <name val="Calibri"/>
      <family val="2"/>
      <charset val="204"/>
      <scheme val="minor"/>
    </font>
    <font>
      <sz val="14"/>
      <color theme="0"/>
      <name val="Calibri"/>
      <family val="2"/>
      <scheme val="minor"/>
    </font>
    <font>
      <b/>
      <sz val="14"/>
      <color theme="0"/>
      <name val="Calibri"/>
      <family val="2"/>
      <scheme val="minor"/>
    </font>
    <font>
      <sz val="14"/>
      <name val="Calibri"/>
      <family val="2"/>
      <charset val="204"/>
      <scheme val="minor"/>
    </font>
    <font>
      <sz val="14"/>
      <name val="Calibri"/>
      <family val="2"/>
      <charset val="204"/>
    </font>
    <font>
      <b/>
      <sz val="14"/>
      <name val="Calibri"/>
      <family val="2"/>
      <scheme val="minor"/>
    </font>
    <font>
      <sz val="14"/>
      <color rgb="FF000000"/>
      <name val="Calibri"/>
      <family val="2"/>
      <scheme val="minor"/>
    </font>
    <font>
      <b/>
      <i/>
      <sz val="14"/>
      <name val="Calibri"/>
      <family val="2"/>
      <scheme val="minor"/>
    </font>
    <font>
      <b/>
      <sz val="14"/>
      <color theme="3" tint="0.39997558519241921"/>
      <name val="Calibri"/>
      <family val="2"/>
      <scheme val="minor"/>
    </font>
    <font>
      <sz val="14"/>
      <name val="Calibri"/>
      <family val="2"/>
    </font>
    <font>
      <sz val="14"/>
      <color theme="9" tint="-0.249977111117893"/>
      <name val="Calibri"/>
      <family val="2"/>
      <scheme val="minor"/>
    </font>
    <font>
      <sz val="14"/>
      <color rgb="FF00B050"/>
      <name val="Calibri"/>
      <family val="2"/>
      <scheme val="minor"/>
    </font>
    <font>
      <sz val="14"/>
      <color rgb="FF9C0006"/>
      <name val="Calibri"/>
      <family val="2"/>
      <charset val="204"/>
      <scheme val="minor"/>
    </font>
    <font>
      <sz val="14"/>
      <color rgb="FF006100"/>
      <name val="Calibri"/>
      <family val="2"/>
      <charset val="204"/>
      <scheme val="minor"/>
    </font>
    <font>
      <b/>
      <sz val="14"/>
      <name val="Calibri"/>
      <family val="2"/>
      <charset val="204"/>
      <scheme val="minor"/>
    </font>
    <font>
      <b/>
      <sz val="14"/>
      <name val="Calibri"/>
      <family val="2"/>
    </font>
    <font>
      <sz val="14"/>
      <color rgb="FF111111"/>
      <name val="Calibri"/>
      <family val="2"/>
      <charset val="204"/>
      <scheme val="minor"/>
    </font>
    <font>
      <sz val="7"/>
      <color theme="1"/>
      <name val="Times New Roman"/>
      <family val="1"/>
      <charset val="204"/>
    </font>
  </fonts>
  <fills count="21">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9" tint="0.39997558519241921"/>
        <bgColor indexed="64"/>
      </patternFill>
    </fill>
    <fill>
      <patternFill patternType="solid">
        <fgColor rgb="FF00B0F0"/>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FF00"/>
        <bgColor rgb="FF000000"/>
      </patternFill>
    </fill>
    <fill>
      <patternFill patternType="solid">
        <fgColor theme="8" tint="0.59999389629810485"/>
        <bgColor indexed="64"/>
      </patternFill>
    </fill>
    <fill>
      <patternFill patternType="solid">
        <fgColor theme="9" tint="-0.249977111117893"/>
        <bgColor indexed="64"/>
      </patternFill>
    </fill>
    <fill>
      <patternFill patternType="solid">
        <fgColor rgb="FF92D050"/>
        <bgColor rgb="FF000000"/>
      </patternFill>
    </fill>
    <fill>
      <patternFill patternType="solid">
        <fgColor rgb="FFFF0000"/>
        <bgColor rgb="FF000000"/>
      </patternFill>
    </fill>
    <fill>
      <patternFill patternType="solid">
        <fgColor rgb="FFFABF8F"/>
        <bgColor rgb="FF000000"/>
      </patternFill>
    </fill>
    <fill>
      <patternFill patternType="solid">
        <fgColor theme="7" tint="0.39997558519241921"/>
        <bgColor indexed="64"/>
      </patternFill>
    </fill>
    <fill>
      <patternFill patternType="solid">
        <fgColor rgb="FFC6EFCE"/>
      </patternFill>
    </fill>
    <fill>
      <patternFill patternType="solid">
        <fgColor rgb="FFFFC7CE"/>
      </patternFill>
    </fill>
    <fill>
      <patternFill patternType="solid">
        <fgColor rgb="FFFFFFFF"/>
        <bgColor indexed="64"/>
      </patternFill>
    </fill>
    <fill>
      <patternFill patternType="solid">
        <fgColor theme="0" tint="-0.34998626667073579"/>
        <bgColor indexed="64"/>
      </patternFill>
    </fill>
    <fill>
      <patternFill patternType="solid">
        <fgColor theme="8"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s>
  <cellStyleXfs count="10">
    <xf numFmtId="0" fontId="0" fillId="0" borderId="0"/>
    <xf numFmtId="9" fontId="6" fillId="0" borderId="0" applyFont="0" applyFill="0" applyBorder="0" applyAlignment="0" applyProtection="0"/>
    <xf numFmtId="9" fontId="2" fillId="0" borderId="0" applyFont="0" applyFill="0" applyBorder="0" applyAlignment="0" applyProtection="0"/>
    <xf numFmtId="0" fontId="2" fillId="0" borderId="0"/>
    <xf numFmtId="0" fontId="1" fillId="0" borderId="0"/>
    <xf numFmtId="0" fontId="6" fillId="0" borderId="0"/>
    <xf numFmtId="9" fontId="1" fillId="0" borderId="0" applyFont="0" applyFill="0" applyBorder="0" applyAlignment="0" applyProtection="0"/>
    <xf numFmtId="44" fontId="6" fillId="0" borderId="0" applyFont="0" applyFill="0" applyBorder="0" applyAlignment="0" applyProtection="0"/>
    <xf numFmtId="0" fontId="45" fillId="17" borderId="0" applyNumberFormat="0" applyBorder="0" applyAlignment="0" applyProtection="0"/>
    <xf numFmtId="0" fontId="46" fillId="16" borderId="0" applyNumberFormat="0" applyBorder="0" applyAlignment="0" applyProtection="0"/>
  </cellStyleXfs>
  <cellXfs count="596">
    <xf numFmtId="0" fontId="0" fillId="0" borderId="0" xfId="0"/>
    <xf numFmtId="0" fontId="3" fillId="0" borderId="0" xfId="0" applyFont="1"/>
    <xf numFmtId="0" fontId="4" fillId="0" borderId="0" xfId="0" applyFont="1" applyAlignment="1">
      <alignment vertical="center"/>
    </xf>
    <xf numFmtId="0" fontId="5" fillId="0" borderId="0" xfId="0" applyFont="1"/>
    <xf numFmtId="9" fontId="3" fillId="0" borderId="0" xfId="0" applyNumberFormat="1" applyFont="1"/>
    <xf numFmtId="164" fontId="3" fillId="0" borderId="0" xfId="0" applyNumberFormat="1" applyFont="1"/>
    <xf numFmtId="0" fontId="3" fillId="0" borderId="1" xfId="0" applyFont="1" applyBorder="1"/>
    <xf numFmtId="164" fontId="3" fillId="0" borderId="1" xfId="0" applyNumberFormat="1" applyFont="1" applyBorder="1"/>
    <xf numFmtId="0" fontId="3" fillId="0" borderId="0" xfId="0" applyFont="1" applyAlignment="1">
      <alignment horizontal="center"/>
    </xf>
    <xf numFmtId="10" fontId="3" fillId="0" borderId="0" xfId="0" applyNumberFormat="1" applyFont="1"/>
    <xf numFmtId="0" fontId="4" fillId="0" borderId="0" xfId="0" applyFont="1"/>
    <xf numFmtId="164" fontId="3" fillId="0" borderId="1" xfId="0" applyNumberFormat="1" applyFont="1" applyBorder="1" applyAlignment="1">
      <alignment horizontal="center"/>
    </xf>
    <xf numFmtId="165" fontId="3" fillId="0" borderId="1" xfId="0" applyNumberFormat="1" applyFont="1" applyBorder="1" applyAlignment="1">
      <alignment horizontal="center"/>
    </xf>
    <xf numFmtId="2" fontId="3" fillId="0" borderId="1" xfId="0" applyNumberFormat="1" applyFont="1" applyBorder="1" applyAlignment="1">
      <alignment horizontal="center"/>
    </xf>
    <xf numFmtId="3" fontId="3" fillId="0" borderId="0" xfId="0" applyNumberFormat="1" applyFont="1"/>
    <xf numFmtId="2" fontId="3" fillId="0" borderId="0" xfId="0" applyNumberFormat="1" applyFont="1" applyAlignment="1">
      <alignment horizontal="center"/>
    </xf>
    <xf numFmtId="164" fontId="3" fillId="0" borderId="0" xfId="0" applyNumberFormat="1" applyFont="1" applyAlignment="1">
      <alignment horizontal="center"/>
    </xf>
    <xf numFmtId="164" fontId="3" fillId="2" borderId="1" xfId="0" applyNumberFormat="1" applyFont="1" applyFill="1" applyBorder="1" applyAlignment="1">
      <alignment horizontal="center"/>
    </xf>
    <xf numFmtId="164" fontId="3" fillId="3" borderId="0" xfId="0" applyNumberFormat="1" applyFont="1" applyFill="1"/>
    <xf numFmtId="0" fontId="3" fillId="4" borderId="1" xfId="0" applyFont="1" applyFill="1" applyBorder="1" applyAlignment="1">
      <alignment horizontal="center"/>
    </xf>
    <xf numFmtId="9" fontId="3" fillId="0" borderId="0" xfId="1" applyFont="1"/>
    <xf numFmtId="164" fontId="3" fillId="0" borderId="0" xfId="0" applyNumberFormat="1"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xf>
    <xf numFmtId="1" fontId="3" fillId="0" borderId="0" xfId="0" applyNumberFormat="1" applyFont="1" applyAlignment="1">
      <alignment horizontal="right" vertical="center"/>
    </xf>
    <xf numFmtId="0" fontId="5" fillId="0" borderId="0" xfId="0" applyFont="1" applyAlignment="1">
      <alignment horizontal="left"/>
    </xf>
    <xf numFmtId="0" fontId="7" fillId="0" borderId="0" xfId="0" applyFont="1"/>
    <xf numFmtId="2" fontId="7" fillId="0" borderId="0" xfId="0" applyNumberFormat="1" applyFont="1"/>
    <xf numFmtId="0" fontId="4" fillId="0" borderId="0" xfId="0" applyFont="1" applyAlignment="1">
      <alignment horizontal="left" vertical="center"/>
    </xf>
    <xf numFmtId="10" fontId="3" fillId="0" borderId="0" xfId="0" applyNumberFormat="1" applyFont="1" applyAlignment="1">
      <alignment horizontal="right" vertical="center"/>
    </xf>
    <xf numFmtId="0" fontId="8" fillId="0" borderId="0" xfId="0" applyFont="1"/>
    <xf numFmtId="0" fontId="3" fillId="0" borderId="0" xfId="0" applyFont="1" applyAlignment="1">
      <alignment horizontal="left" wrapText="1" indent="1"/>
    </xf>
    <xf numFmtId="0" fontId="3" fillId="2" borderId="1" xfId="0" applyFont="1" applyFill="1" applyBorder="1" applyAlignment="1">
      <alignment horizontal="center"/>
    </xf>
    <xf numFmtId="167" fontId="3" fillId="0" borderId="0" xfId="0" applyNumberFormat="1" applyFont="1" applyAlignment="1">
      <alignment horizontal="center"/>
    </xf>
    <xf numFmtId="168" fontId="3" fillId="0" borderId="0" xfId="0" applyNumberFormat="1" applyFont="1" applyAlignment="1">
      <alignment horizontal="right" vertical="center"/>
    </xf>
    <xf numFmtId="166" fontId="3" fillId="0" borderId="0" xfId="1" applyNumberFormat="1" applyFont="1" applyFill="1" applyBorder="1" applyAlignment="1">
      <alignment horizontal="right" vertical="center"/>
    </xf>
    <xf numFmtId="168" fontId="3" fillId="0" borderId="0" xfId="0" applyNumberFormat="1" applyFont="1"/>
    <xf numFmtId="0" fontId="4" fillId="0" borderId="1" xfId="0" applyFont="1" applyBorder="1"/>
    <xf numFmtId="0" fontId="9" fillId="0" borderId="1" xfId="0" applyFont="1" applyBorder="1"/>
    <xf numFmtId="164" fontId="4" fillId="0" borderId="1" xfId="0" applyNumberFormat="1" applyFont="1" applyBorder="1" applyAlignment="1">
      <alignment horizontal="center"/>
    </xf>
    <xf numFmtId="0" fontId="10" fillId="0" borderId="0" xfId="0" applyFont="1" applyAlignment="1">
      <alignment horizontal="left" vertical="center" indent="2" readingOrder="1"/>
    </xf>
    <xf numFmtId="2" fontId="3" fillId="3" borderId="0" xfId="1" applyNumberFormat="1" applyFont="1" applyFill="1" applyBorder="1" applyAlignment="1">
      <alignment horizontal="right" vertical="center"/>
    </xf>
    <xf numFmtId="164" fontId="3" fillId="2" borderId="0" xfId="0" applyNumberFormat="1" applyFont="1" applyFill="1"/>
    <xf numFmtId="0" fontId="3" fillId="0" borderId="0" xfId="0" applyFont="1" applyAlignment="1">
      <alignment vertical="center"/>
    </xf>
    <xf numFmtId="0" fontId="12" fillId="0" borderId="0" xfId="0" applyFont="1"/>
    <xf numFmtId="1" fontId="3" fillId="0" borderId="0" xfId="0" applyNumberFormat="1" applyFont="1"/>
    <xf numFmtId="0" fontId="5" fillId="0" borderId="0" xfId="0" applyFont="1" applyAlignment="1">
      <alignment horizontal="right"/>
    </xf>
    <xf numFmtId="10" fontId="3" fillId="0" borderId="0" xfId="1" applyNumberFormat="1" applyFont="1"/>
    <xf numFmtId="10" fontId="3" fillId="5" borderId="0" xfId="0" applyNumberFormat="1" applyFont="1" applyFill="1"/>
    <xf numFmtId="10" fontId="3" fillId="5" borderId="0" xfId="1" applyNumberFormat="1" applyFont="1" applyFill="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9" fontId="3" fillId="0" borderId="8" xfId="0" applyNumberFormat="1" applyFont="1" applyBorder="1"/>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0" xfId="0" applyFont="1" applyFill="1"/>
    <xf numFmtId="164" fontId="3" fillId="7" borderId="0" xfId="0" applyNumberFormat="1" applyFont="1" applyFill="1"/>
    <xf numFmtId="2" fontId="3" fillId="0" borderId="0" xfId="0" applyNumberFormat="1" applyFont="1" applyAlignment="1">
      <alignment horizontal="center" vertical="center"/>
    </xf>
    <xf numFmtId="0" fontId="3" fillId="0" borderId="1" xfId="0" applyFont="1" applyBorder="1" applyAlignment="1">
      <alignment horizontal="center"/>
    </xf>
    <xf numFmtId="0" fontId="11" fillId="0" borderId="0" xfId="0" applyFont="1" applyAlignment="1">
      <alignment horizontal="left" vertical="center" readingOrder="1"/>
    </xf>
    <xf numFmtId="1" fontId="3" fillId="8" borderId="0" xfId="0" applyNumberFormat="1" applyFont="1" applyFill="1"/>
    <xf numFmtId="1" fontId="3" fillId="3" borderId="0" xfId="0" applyNumberFormat="1" applyFont="1" applyFill="1"/>
    <xf numFmtId="9" fontId="4" fillId="0" borderId="0" xfId="0" applyNumberFormat="1" applyFont="1" applyAlignment="1">
      <alignment horizontal="right"/>
    </xf>
    <xf numFmtId="9" fontId="3" fillId="3" borderId="0" xfId="1" applyFont="1" applyFill="1"/>
    <xf numFmtId="2" fontId="3" fillId="3" borderId="0" xfId="0" applyNumberFormat="1" applyFont="1" applyFill="1"/>
    <xf numFmtId="169" fontId="3" fillId="0" borderId="0" xfId="0" applyNumberFormat="1" applyFont="1"/>
    <xf numFmtId="169" fontId="8" fillId="0" borderId="1" xfId="0" applyNumberFormat="1" applyFont="1" applyBorder="1"/>
    <xf numFmtId="0" fontId="8" fillId="0" borderId="1" xfId="0" applyFont="1" applyBorder="1"/>
    <xf numFmtId="168" fontId="3" fillId="0" borderId="1" xfId="0" applyNumberFormat="1" applyFont="1" applyBorder="1"/>
    <xf numFmtId="169" fontId="3" fillId="0" borderId="1" xfId="0" applyNumberFormat="1" applyFont="1" applyBorder="1"/>
    <xf numFmtId="170" fontId="3" fillId="0" borderId="0" xfId="0" applyNumberFormat="1" applyFont="1"/>
    <xf numFmtId="170" fontId="3" fillId="3" borderId="0" xfId="0" applyNumberFormat="1" applyFont="1" applyFill="1"/>
    <xf numFmtId="168" fontId="4" fillId="0" borderId="0" xfId="0" applyNumberFormat="1" applyFont="1" applyAlignment="1">
      <alignment horizontal="right"/>
    </xf>
    <xf numFmtId="0" fontId="3" fillId="8" borderId="0" xfId="0" applyFont="1" applyFill="1"/>
    <xf numFmtId="9" fontId="3" fillId="0" borderId="1" xfId="0" applyNumberFormat="1" applyFont="1" applyBorder="1" applyAlignment="1">
      <alignment horizontal="center"/>
    </xf>
    <xf numFmtId="168" fontId="3" fillId="0" borderId="1" xfId="0" applyNumberFormat="1" applyFont="1" applyBorder="1" applyAlignment="1">
      <alignment horizontal="center"/>
    </xf>
    <xf numFmtId="49" fontId="3" fillId="0" borderId="0" xfId="0" applyNumberFormat="1" applyFont="1" applyAlignment="1">
      <alignment horizontal="right"/>
    </xf>
    <xf numFmtId="2" fontId="3" fillId="0" borderId="0" xfId="1" applyNumberFormat="1" applyFont="1" applyFill="1" applyBorder="1" applyAlignment="1">
      <alignment horizontal="right" vertical="center"/>
    </xf>
    <xf numFmtId="164" fontId="4" fillId="0" borderId="0" xfId="0" applyNumberFormat="1" applyFont="1" applyAlignment="1">
      <alignment horizontal="center"/>
    </xf>
    <xf numFmtId="0" fontId="9" fillId="0" borderId="0" xfId="0" applyFont="1"/>
    <xf numFmtId="164" fontId="3" fillId="0" borderId="0" xfId="1" applyNumberFormat="1" applyFont="1" applyFill="1" applyBorder="1" applyAlignment="1">
      <alignment horizontal="center"/>
    </xf>
    <xf numFmtId="9" fontId="3" fillId="0" borderId="0" xfId="0" applyNumberFormat="1" applyFont="1" applyAlignment="1">
      <alignment horizontal="center"/>
    </xf>
    <xf numFmtId="1" fontId="3" fillId="0" borderId="0" xfId="0" applyNumberFormat="1" applyFont="1" applyAlignment="1">
      <alignment horizontal="center"/>
    </xf>
    <xf numFmtId="2" fontId="3" fillId="0" borderId="0" xfId="0" applyNumberFormat="1" applyFont="1"/>
    <xf numFmtId="168" fontId="3" fillId="0" borderId="0" xfId="0" applyNumberFormat="1" applyFont="1" applyAlignment="1">
      <alignment horizontal="center"/>
    </xf>
    <xf numFmtId="9" fontId="3" fillId="0" borderId="0" xfId="1" applyFont="1" applyFill="1" applyBorder="1" applyAlignment="1">
      <alignment horizontal="right" vertical="center"/>
    </xf>
    <xf numFmtId="164" fontId="3" fillId="0" borderId="1" xfId="1" applyNumberFormat="1" applyFont="1" applyFill="1" applyBorder="1" applyAlignment="1">
      <alignment horizontal="center"/>
    </xf>
    <xf numFmtId="1" fontId="3" fillId="0" borderId="1" xfId="0" applyNumberFormat="1" applyFont="1" applyBorder="1" applyAlignment="1">
      <alignment horizontal="center"/>
    </xf>
    <xf numFmtId="9" fontId="3" fillId="0" borderId="0" xfId="1" applyFont="1" applyFill="1" applyBorder="1"/>
    <xf numFmtId="164" fontId="13" fillId="0" borderId="0" xfId="0" applyNumberFormat="1" applyFont="1" applyAlignment="1">
      <alignment horizontal="center"/>
    </xf>
    <xf numFmtId="2" fontId="3" fillId="2" borderId="0" xfId="1" applyNumberFormat="1" applyFont="1" applyFill="1" applyBorder="1" applyAlignment="1">
      <alignment horizontal="right" vertical="center"/>
    </xf>
    <xf numFmtId="172" fontId="3" fillId="0" borderId="0" xfId="0" applyNumberFormat="1" applyFont="1"/>
    <xf numFmtId="167" fontId="3" fillId="0" borderId="1" xfId="0" applyNumberFormat="1" applyFont="1" applyBorder="1" applyAlignment="1">
      <alignment horizontal="center"/>
    </xf>
    <xf numFmtId="172" fontId="3" fillId="0" borderId="0" xfId="0" applyNumberFormat="1" applyFont="1" applyAlignment="1">
      <alignment horizontal="right" vertical="center"/>
    </xf>
    <xf numFmtId="0" fontId="14" fillId="0" borderId="0" xfId="0" applyFont="1"/>
    <xf numFmtId="9" fontId="3" fillId="0" borderId="0" xfId="0" applyNumberFormat="1" applyFont="1" applyAlignment="1">
      <alignment horizontal="right" vertical="center"/>
    </xf>
    <xf numFmtId="167" fontId="3" fillId="0" borderId="1" xfId="1" applyNumberFormat="1" applyFont="1" applyFill="1" applyBorder="1" applyAlignment="1">
      <alignment horizontal="center"/>
    </xf>
    <xf numFmtId="2" fontId="7" fillId="8" borderId="0" xfId="0" applyNumberFormat="1" applyFont="1" applyFill="1"/>
    <xf numFmtId="164" fontId="3" fillId="8" borderId="0" xfId="0" applyNumberFormat="1" applyFont="1" applyFill="1" applyAlignment="1">
      <alignment horizontal="right" vertical="center"/>
    </xf>
    <xf numFmtId="10" fontId="3" fillId="0" borderId="0" xfId="1" applyNumberFormat="1" applyFont="1" applyFill="1" applyBorder="1" applyAlignment="1">
      <alignment horizontal="right" vertical="center"/>
    </xf>
    <xf numFmtId="0" fontId="3" fillId="0" borderId="0" xfId="0" applyFont="1" applyAlignment="1">
      <alignment horizontal="left" wrapText="1"/>
    </xf>
    <xf numFmtId="0" fontId="4" fillId="0" borderId="0" xfId="0" applyFont="1" applyAlignment="1">
      <alignment horizontal="center"/>
    </xf>
    <xf numFmtId="0" fontId="4" fillId="0" borderId="0" xfId="0" applyFont="1" applyAlignment="1">
      <alignment horizontal="left" wrapText="1"/>
    </xf>
    <xf numFmtId="0" fontId="3" fillId="0" borderId="0" xfId="0" applyFont="1" applyAlignment="1">
      <alignment wrapText="1"/>
    </xf>
    <xf numFmtId="168" fontId="3" fillId="8" borderId="0" xfId="0" applyNumberFormat="1" applyFont="1" applyFill="1" applyAlignment="1">
      <alignment horizontal="right" vertical="center"/>
    </xf>
    <xf numFmtId="0" fontId="10" fillId="0" borderId="0" xfId="0" applyFont="1" applyAlignment="1">
      <alignment horizontal="left" vertical="center" indent="5" readingOrder="1"/>
    </xf>
    <xf numFmtId="166" fontId="3" fillId="0" borderId="0" xfId="1" applyNumberFormat="1" applyFont="1" applyFill="1"/>
    <xf numFmtId="164" fontId="3" fillId="8" borderId="0" xfId="1" applyNumberFormat="1" applyFont="1" applyFill="1"/>
    <xf numFmtId="164" fontId="3" fillId="0" borderId="0" xfId="1" applyNumberFormat="1" applyFont="1" applyFill="1" applyBorder="1" applyAlignment="1">
      <alignment horizontal="right" vertical="center"/>
    </xf>
    <xf numFmtId="164" fontId="3" fillId="8" borderId="0" xfId="0" applyNumberFormat="1" applyFont="1" applyFill="1"/>
    <xf numFmtId="10" fontId="3" fillId="0" borderId="0" xfId="0" applyNumberFormat="1" applyFont="1" applyAlignment="1">
      <alignment horizontal="center"/>
    </xf>
    <xf numFmtId="10" fontId="3" fillId="0" borderId="0" xfId="1" applyNumberFormat="1" applyFont="1" applyFill="1" applyBorder="1" applyAlignment="1">
      <alignment horizontal="center"/>
    </xf>
    <xf numFmtId="164" fontId="3" fillId="0" borderId="0" xfId="1" applyNumberFormat="1" applyFont="1" applyFill="1"/>
    <xf numFmtId="0" fontId="3" fillId="0" borderId="0" xfId="0" applyFont="1" applyAlignment="1">
      <alignment horizontal="right"/>
    </xf>
    <xf numFmtId="0" fontId="12" fillId="0" borderId="0" xfId="0" applyFont="1" applyAlignment="1">
      <alignment horizontal="left"/>
    </xf>
    <xf numFmtId="0" fontId="3" fillId="0" borderId="0" xfId="0" applyFont="1" applyAlignment="1">
      <alignment horizontal="left"/>
    </xf>
    <xf numFmtId="10" fontId="3" fillId="8" borderId="0" xfId="1" applyNumberFormat="1" applyFont="1" applyFill="1" applyBorder="1" applyAlignment="1">
      <alignment horizontal="right" vertical="center"/>
    </xf>
    <xf numFmtId="0" fontId="12" fillId="0" borderId="0" xfId="0" applyFont="1" applyAlignment="1">
      <alignment horizontal="center"/>
    </xf>
    <xf numFmtId="10" fontId="3" fillId="0" borderId="1" xfId="0" applyNumberFormat="1" applyFont="1" applyBorder="1"/>
    <xf numFmtId="0" fontId="12" fillId="0" borderId="0" xfId="0" applyFont="1" applyAlignment="1">
      <alignment horizontal="center" vertical="center"/>
    </xf>
    <xf numFmtId="0" fontId="12" fillId="0" borderId="0" xfId="0" applyFont="1" applyAlignment="1">
      <alignment horizontal="left" indent="2"/>
    </xf>
    <xf numFmtId="0" fontId="12" fillId="0" borderId="0" xfId="0" applyFont="1" applyAlignment="1">
      <alignment horizontal="left" vertical="center" indent="1"/>
    </xf>
    <xf numFmtId="0" fontId="15" fillId="0" borderId="0" xfId="0" applyFont="1"/>
    <xf numFmtId="0" fontId="4" fillId="0" borderId="0" xfId="4" applyFont="1"/>
    <xf numFmtId="10" fontId="4" fillId="0" borderId="0" xfId="4" applyNumberFormat="1" applyFont="1"/>
    <xf numFmtId="173" fontId="4" fillId="0" borderId="0" xfId="4" applyNumberFormat="1" applyFont="1"/>
    <xf numFmtId="0" fontId="5" fillId="0" borderId="0" xfId="5" applyFont="1"/>
    <xf numFmtId="0" fontId="1" fillId="0" borderId="0" xfId="4"/>
    <xf numFmtId="164" fontId="4" fillId="0" borderId="0" xfId="4" applyNumberFormat="1" applyFont="1"/>
    <xf numFmtId="0" fontId="4" fillId="0" borderId="0" xfId="4" applyFont="1" applyAlignment="1">
      <alignment horizontal="center"/>
    </xf>
    <xf numFmtId="10" fontId="4" fillId="0" borderId="0" xfId="6" applyNumberFormat="1" applyFont="1" applyBorder="1"/>
    <xf numFmtId="166" fontId="4" fillId="0" borderId="0" xfId="4" applyNumberFormat="1" applyFont="1"/>
    <xf numFmtId="173" fontId="4" fillId="0" borderId="0" xfId="6" applyNumberFormat="1" applyFont="1" applyFill="1"/>
    <xf numFmtId="0" fontId="5" fillId="0" borderId="0" xfId="4" applyFont="1"/>
    <xf numFmtId="0" fontId="3" fillId="0" borderId="0" xfId="5" applyFont="1"/>
    <xf numFmtId="9" fontId="3" fillId="0" borderId="0" xfId="5" applyNumberFormat="1" applyFont="1" applyAlignment="1">
      <alignment horizontal="center"/>
    </xf>
    <xf numFmtId="10" fontId="3" fillId="0" borderId="0" xfId="5" applyNumberFormat="1" applyFont="1" applyAlignment="1">
      <alignment horizontal="center"/>
    </xf>
    <xf numFmtId="4" fontId="3" fillId="0" borderId="0" xfId="5" applyNumberFormat="1" applyFont="1" applyAlignment="1">
      <alignment horizontal="center"/>
    </xf>
    <xf numFmtId="2" fontId="3" fillId="0" borderId="0" xfId="5" applyNumberFormat="1" applyFont="1" applyAlignment="1">
      <alignment horizontal="center"/>
    </xf>
    <xf numFmtId="0" fontId="3" fillId="0" borderId="0" xfId="5" applyFont="1" applyAlignment="1">
      <alignment horizontal="center"/>
    </xf>
    <xf numFmtId="10" fontId="4" fillId="0" borderId="0" xfId="6" applyNumberFormat="1" applyFont="1" applyFill="1"/>
    <xf numFmtId="0" fontId="4" fillId="0" borderId="0" xfId="4" applyFont="1" applyAlignment="1">
      <alignment vertical="center"/>
    </xf>
    <xf numFmtId="3" fontId="3" fillId="0" borderId="0" xfId="5" applyNumberFormat="1" applyFont="1" applyAlignment="1">
      <alignment horizontal="center"/>
    </xf>
    <xf numFmtId="164" fontId="4" fillId="0" borderId="0" xfId="4" applyNumberFormat="1" applyFont="1" applyAlignment="1">
      <alignment horizontal="center"/>
    </xf>
    <xf numFmtId="9" fontId="4" fillId="0" borderId="0" xfId="4" applyNumberFormat="1" applyFont="1"/>
    <xf numFmtId="10" fontId="5" fillId="2" borderId="0" xfId="6" applyNumberFormat="1" applyFont="1" applyFill="1"/>
    <xf numFmtId="0" fontId="3" fillId="0" borderId="0" xfId="4" applyFont="1"/>
    <xf numFmtId="10" fontId="3" fillId="0" borderId="0" xfId="6" applyNumberFormat="1" applyFont="1"/>
    <xf numFmtId="0" fontId="12" fillId="0" borderId="0" xfId="4" applyFont="1"/>
    <xf numFmtId="9" fontId="3" fillId="0" borderId="0" xfId="4" applyNumberFormat="1" applyFont="1"/>
    <xf numFmtId="2" fontId="5" fillId="0" borderId="0" xfId="6" applyNumberFormat="1" applyFont="1" applyAlignment="1">
      <alignment horizontal="center"/>
    </xf>
    <xf numFmtId="9" fontId="5" fillId="0" borderId="0" xfId="6" applyFont="1" applyAlignment="1">
      <alignment horizontal="center"/>
    </xf>
    <xf numFmtId="0" fontId="3" fillId="0" borderId="0" xfId="4" applyFont="1" applyAlignment="1">
      <alignment horizontal="center"/>
    </xf>
    <xf numFmtId="164" fontId="5" fillId="0" borderId="0" xfId="4" applyNumberFormat="1" applyFont="1" applyAlignment="1">
      <alignment horizontal="center"/>
    </xf>
    <xf numFmtId="164" fontId="3" fillId="0" borderId="0" xfId="4" applyNumberFormat="1" applyFont="1" applyAlignment="1">
      <alignment horizontal="center"/>
    </xf>
    <xf numFmtId="0" fontId="10" fillId="0" borderId="0" xfId="4" applyFont="1" applyAlignment="1">
      <alignment horizontal="left" vertical="center" indent="5" readingOrder="1"/>
    </xf>
    <xf numFmtId="2" fontId="3" fillId="0" borderId="0" xfId="4" applyNumberFormat="1" applyFont="1" applyAlignment="1">
      <alignment horizontal="center"/>
    </xf>
    <xf numFmtId="0" fontId="16" fillId="0" borderId="0" xfId="4" applyFont="1" applyAlignment="1">
      <alignment horizontal="center"/>
    </xf>
    <xf numFmtId="0" fontId="17" fillId="0" borderId="0" xfId="4" applyFont="1" applyAlignment="1">
      <alignment horizontal="left" vertical="center" readingOrder="1"/>
    </xf>
    <xf numFmtId="0" fontId="10" fillId="0" borderId="0" xfId="4" applyFont="1" applyAlignment="1">
      <alignment horizontal="left" vertical="center" indent="2" readingOrder="1"/>
    </xf>
    <xf numFmtId="164" fontId="3" fillId="0" borderId="0" xfId="4" applyNumberFormat="1" applyFont="1"/>
    <xf numFmtId="0" fontId="11" fillId="0" borderId="0" xfId="4" applyFont="1" applyAlignment="1">
      <alignment horizontal="left" vertical="center" readingOrder="1"/>
    </xf>
    <xf numFmtId="164" fontId="4" fillId="2" borderId="0" xfId="4" applyNumberFormat="1" applyFont="1" applyFill="1"/>
    <xf numFmtId="164" fontId="4" fillId="0" borderId="0" xfId="6" applyNumberFormat="1" applyFont="1" applyFill="1"/>
    <xf numFmtId="164" fontId="4" fillId="0" borderId="1" xfId="4" applyNumberFormat="1" applyFont="1" applyBorder="1" applyAlignment="1">
      <alignment horizontal="center"/>
    </xf>
    <xf numFmtId="0" fontId="4" fillId="0" borderId="1" xfId="4" applyFont="1" applyBorder="1" applyAlignment="1">
      <alignment horizontal="center"/>
    </xf>
    <xf numFmtId="0" fontId="4" fillId="0" borderId="1" xfId="4" applyFont="1" applyBorder="1"/>
    <xf numFmtId="2" fontId="4" fillId="0" borderId="1" xfId="4" applyNumberFormat="1" applyFont="1" applyBorder="1" applyAlignment="1">
      <alignment horizontal="center"/>
    </xf>
    <xf numFmtId="0" fontId="5" fillId="0" borderId="1" xfId="4" applyFont="1" applyBorder="1"/>
    <xf numFmtId="9" fontId="3" fillId="0" borderId="0" xfId="6" applyFont="1"/>
    <xf numFmtId="164" fontId="5" fillId="2" borderId="0" xfId="6" applyNumberFormat="1" applyFont="1" applyFill="1"/>
    <xf numFmtId="164" fontId="3" fillId="0" borderId="0" xfId="6" applyNumberFormat="1" applyFont="1"/>
    <xf numFmtId="10" fontId="4" fillId="0" borderId="0" xfId="6" applyNumberFormat="1" applyFont="1" applyFill="1" applyBorder="1"/>
    <xf numFmtId="10" fontId="4" fillId="0" borderId="0" xfId="6" applyNumberFormat="1" applyFont="1"/>
    <xf numFmtId="3" fontId="3" fillId="0" borderId="0" xfId="4" applyNumberFormat="1" applyFont="1"/>
    <xf numFmtId="10" fontId="4" fillId="5" borderId="1" xfId="4" applyNumberFormat="1" applyFont="1" applyFill="1" applyBorder="1" applyAlignment="1">
      <alignment horizontal="center"/>
    </xf>
    <xf numFmtId="10" fontId="4" fillId="0" borderId="1" xfId="4" applyNumberFormat="1" applyFont="1" applyBorder="1" applyAlignment="1">
      <alignment horizontal="center"/>
    </xf>
    <xf numFmtId="164" fontId="4" fillId="5" borderId="1" xfId="4" applyNumberFormat="1" applyFont="1" applyFill="1" applyBorder="1" applyAlignment="1">
      <alignment horizontal="center"/>
    </xf>
    <xf numFmtId="2" fontId="4" fillId="5" borderId="1" xfId="4" applyNumberFormat="1" applyFont="1" applyFill="1" applyBorder="1" applyAlignment="1">
      <alignment horizontal="center"/>
    </xf>
    <xf numFmtId="0" fontId="4" fillId="5" borderId="0" xfId="4" applyFont="1" applyFill="1"/>
    <xf numFmtId="2" fontId="4" fillId="5" borderId="0" xfId="4" applyNumberFormat="1" applyFont="1" applyFill="1"/>
    <xf numFmtId="1" fontId="4" fillId="0" borderId="0" xfId="4" applyNumberFormat="1" applyFont="1"/>
    <xf numFmtId="168" fontId="4" fillId="0" borderId="1" xfId="4" applyNumberFormat="1" applyFont="1" applyBorder="1" applyAlignment="1">
      <alignment horizontal="center"/>
    </xf>
    <xf numFmtId="168" fontId="3" fillId="0" borderId="1" xfId="4" applyNumberFormat="1" applyFont="1" applyBorder="1" applyAlignment="1">
      <alignment horizontal="center"/>
    </xf>
    <xf numFmtId="0" fontId="3" fillId="2" borderId="1" xfId="4" applyFont="1" applyFill="1" applyBorder="1" applyAlignment="1">
      <alignment horizontal="center"/>
    </xf>
    <xf numFmtId="0" fontId="4" fillId="2" borderId="1" xfId="4" applyFont="1" applyFill="1" applyBorder="1" applyAlignment="1">
      <alignment horizontal="center"/>
    </xf>
    <xf numFmtId="0" fontId="3" fillId="0" borderId="1" xfId="4" applyFont="1" applyBorder="1" applyAlignment="1">
      <alignment horizontal="center"/>
    </xf>
    <xf numFmtId="0" fontId="3" fillId="0" borderId="1" xfId="4" applyFont="1" applyBorder="1"/>
    <xf numFmtId="10" fontId="5" fillId="0" borderId="0" xfId="6" applyNumberFormat="1" applyFont="1" applyFill="1"/>
    <xf numFmtId="168" fontId="3" fillId="0" borderId="0" xfId="6" applyNumberFormat="1" applyFont="1" applyFill="1"/>
    <xf numFmtId="10" fontId="4" fillId="5" borderId="0" xfId="4" applyNumberFormat="1" applyFont="1" applyFill="1"/>
    <xf numFmtId="10" fontId="4" fillId="5" borderId="0" xfId="6" applyNumberFormat="1" applyFont="1" applyFill="1"/>
    <xf numFmtId="164" fontId="4" fillId="2" borderId="1" xfId="4" applyNumberFormat="1" applyFont="1" applyFill="1" applyBorder="1" applyAlignment="1">
      <alignment horizontal="center"/>
    </xf>
    <xf numFmtId="0" fontId="8" fillId="0" borderId="1" xfId="4" applyFont="1" applyBorder="1"/>
    <xf numFmtId="2" fontId="4" fillId="0" borderId="0" xfId="4" applyNumberFormat="1" applyFont="1"/>
    <xf numFmtId="165" fontId="4" fillId="0" borderId="0" xfId="4" applyNumberFormat="1" applyFont="1"/>
    <xf numFmtId="4" fontId="4" fillId="0" borderId="0" xfId="4" applyNumberFormat="1" applyFont="1"/>
    <xf numFmtId="164" fontId="4" fillId="5" borderId="0" xfId="4" applyNumberFormat="1" applyFont="1" applyFill="1"/>
    <xf numFmtId="168" fontId="4" fillId="0" borderId="0" xfId="4" applyNumberFormat="1" applyFont="1" applyAlignment="1">
      <alignment horizontal="center"/>
    </xf>
    <xf numFmtId="10" fontId="3" fillId="0" borderId="0" xfId="6" applyNumberFormat="1" applyFont="1" applyFill="1"/>
    <xf numFmtId="2" fontId="5" fillId="0" borderId="0" xfId="6" applyNumberFormat="1" applyFont="1" applyFill="1" applyAlignment="1">
      <alignment horizontal="center"/>
    </xf>
    <xf numFmtId="9" fontId="5" fillId="0" borderId="0" xfId="6" applyFont="1" applyFill="1" applyAlignment="1">
      <alignment horizontal="center"/>
    </xf>
    <xf numFmtId="9" fontId="3" fillId="0" borderId="0" xfId="4" applyNumberFormat="1" applyFont="1" applyAlignment="1">
      <alignment horizontal="center"/>
    </xf>
    <xf numFmtId="0" fontId="19" fillId="0" borderId="0" xfId="0" applyFont="1"/>
    <xf numFmtId="168" fontId="19" fillId="2" borderId="0" xfId="0" applyNumberFormat="1" applyFont="1" applyFill="1"/>
    <xf numFmtId="0" fontId="20" fillId="0" borderId="0" xfId="0" applyFont="1"/>
    <xf numFmtId="3" fontId="19" fillId="0" borderId="0" xfId="0" applyNumberFormat="1" applyFont="1"/>
    <xf numFmtId="0" fontId="19" fillId="0" borderId="0" xfId="0" applyFont="1" applyAlignment="1">
      <alignment horizontal="right"/>
    </xf>
    <xf numFmtId="49" fontId="19" fillId="0" borderId="0" xfId="0" applyNumberFormat="1" applyFont="1" applyAlignment="1">
      <alignment horizontal="right"/>
    </xf>
    <xf numFmtId="168" fontId="19" fillId="0" borderId="0" xfId="0" applyNumberFormat="1" applyFont="1"/>
    <xf numFmtId="0" fontId="21" fillId="0" borderId="0" xfId="0" applyFont="1" applyAlignment="1">
      <alignment horizontal="left" vertical="center" readingOrder="1"/>
    </xf>
    <xf numFmtId="0" fontId="22" fillId="0" borderId="0" xfId="0" applyFont="1"/>
    <xf numFmtId="0" fontId="23" fillId="0" borderId="0" xfId="0" applyFont="1" applyAlignment="1">
      <alignment horizontal="left" vertical="center" readingOrder="1"/>
    </xf>
    <xf numFmtId="3" fontId="19" fillId="2" borderId="0" xfId="0" applyNumberFormat="1" applyFont="1" applyFill="1"/>
    <xf numFmtId="164" fontId="19" fillId="2" borderId="0" xfId="0" applyNumberFormat="1" applyFont="1" applyFill="1"/>
    <xf numFmtId="164" fontId="19" fillId="0" borderId="0" xfId="0" applyNumberFormat="1" applyFont="1"/>
    <xf numFmtId="0" fontId="23" fillId="0" borderId="0" xfId="0" applyFont="1"/>
    <xf numFmtId="0" fontId="24" fillId="0" borderId="0" xfId="0" applyFont="1"/>
    <xf numFmtId="0" fontId="26" fillId="0" borderId="0" xfId="0" applyFont="1"/>
    <xf numFmtId="9" fontId="24" fillId="0" borderId="0" xfId="1" applyFont="1" applyFill="1" applyBorder="1"/>
    <xf numFmtId="164" fontId="24" fillId="0" borderId="0" xfId="0" applyNumberFormat="1" applyFont="1"/>
    <xf numFmtId="9" fontId="24" fillId="0" borderId="0" xfId="0" applyNumberFormat="1" applyFont="1"/>
    <xf numFmtId="0" fontId="24" fillId="0" borderId="1" xfId="0" applyFont="1" applyBorder="1" applyAlignment="1">
      <alignment horizontal="center"/>
    </xf>
    <xf numFmtId="0" fontId="24" fillId="0" borderId="1" xfId="0" applyFont="1" applyBorder="1"/>
    <xf numFmtId="164" fontId="24" fillId="0" borderId="1" xfId="0" applyNumberFormat="1" applyFont="1" applyBorder="1" applyAlignment="1">
      <alignment horizontal="center"/>
    </xf>
    <xf numFmtId="164" fontId="24" fillId="9" borderId="0" xfId="0" applyNumberFormat="1" applyFont="1" applyFill="1"/>
    <xf numFmtId="0" fontId="24" fillId="0" borderId="0" xfId="0" applyFont="1" applyAlignment="1">
      <alignment vertical="center"/>
    </xf>
    <xf numFmtId="0" fontId="27" fillId="0" borderId="0" xfId="0" applyFont="1"/>
    <xf numFmtId="0" fontId="3" fillId="2" borderId="0" xfId="0" applyFont="1" applyFill="1"/>
    <xf numFmtId="9" fontId="3" fillId="2" borderId="0" xfId="1" applyFont="1" applyFill="1"/>
    <xf numFmtId="0" fontId="3" fillId="2" borderId="1" xfId="0" applyFont="1" applyFill="1" applyBorder="1"/>
    <xf numFmtId="9" fontId="3" fillId="0" borderId="1" xfId="0" applyNumberFormat="1" applyFont="1" applyBorder="1"/>
    <xf numFmtId="10" fontId="3" fillId="2" borderId="1" xfId="1" applyNumberFormat="1" applyFont="1" applyFill="1" applyBorder="1"/>
    <xf numFmtId="164" fontId="3" fillId="10" borderId="1" xfId="0" applyNumberFormat="1" applyFont="1" applyFill="1" applyBorder="1"/>
    <xf numFmtId="0" fontId="3" fillId="10" borderId="1" xfId="0" applyFont="1" applyFill="1" applyBorder="1"/>
    <xf numFmtId="0" fontId="28" fillId="0" borderId="0" xfId="0" applyFont="1"/>
    <xf numFmtId="164" fontId="3" fillId="0" borderId="0" xfId="0" applyNumberFormat="1" applyFont="1" applyFill="1" applyBorder="1" applyAlignment="1">
      <alignment horizontal="center"/>
    </xf>
    <xf numFmtId="0" fontId="3" fillId="0" borderId="0" xfId="0" applyFont="1" applyBorder="1" applyAlignment="1">
      <alignment horizontal="center"/>
    </xf>
    <xf numFmtId="167" fontId="3" fillId="0" borderId="0" xfId="0" applyNumberFormat="1" applyFont="1"/>
    <xf numFmtId="0" fontId="3" fillId="0" borderId="0" xfId="0" applyFont="1" applyAlignment="1">
      <alignment horizontal="left" indent="2"/>
    </xf>
    <xf numFmtId="164" fontId="3" fillId="2" borderId="0" xfId="0" applyNumberFormat="1" applyFont="1" applyFill="1" applyAlignment="1">
      <alignment horizontal="center"/>
    </xf>
    <xf numFmtId="168" fontId="3" fillId="2" borderId="0" xfId="0" applyNumberFormat="1" applyFont="1" applyFill="1" applyAlignment="1">
      <alignment horizontal="center"/>
    </xf>
    <xf numFmtId="0" fontId="28" fillId="0" borderId="0" xfId="0" applyFont="1" applyAlignment="1">
      <alignment horizontal="left" indent="2"/>
    </xf>
    <xf numFmtId="0" fontId="3" fillId="0" borderId="12" xfId="0" applyFont="1" applyBorder="1"/>
    <xf numFmtId="164" fontId="3" fillId="0" borderId="12" xfId="0" applyNumberFormat="1" applyFont="1" applyBorder="1" applyAlignment="1">
      <alignment horizontal="center"/>
    </xf>
    <xf numFmtId="0" fontId="28" fillId="0" borderId="12" xfId="0" applyFont="1" applyBorder="1" applyAlignment="1">
      <alignment horizontal="left" indent="2"/>
    </xf>
    <xf numFmtId="164" fontId="3" fillId="2" borderId="12" xfId="0" applyNumberFormat="1" applyFont="1" applyFill="1" applyBorder="1" applyAlignment="1">
      <alignment horizontal="center"/>
    </xf>
    <xf numFmtId="0" fontId="5" fillId="0" borderId="12" xfId="0" applyFont="1" applyBorder="1"/>
    <xf numFmtId="164" fontId="3" fillId="0" borderId="8" xfId="0" applyNumberFormat="1" applyFont="1" applyBorder="1" applyAlignment="1">
      <alignment horizontal="center"/>
    </xf>
    <xf numFmtId="0" fontId="3" fillId="0" borderId="0" xfId="0" applyFont="1" applyFill="1" applyBorder="1"/>
    <xf numFmtId="0" fontId="5" fillId="0" borderId="0" xfId="0" applyFont="1" applyFill="1" applyBorder="1"/>
    <xf numFmtId="164" fontId="3" fillId="0" borderId="0" xfId="0" applyNumberFormat="1" applyFont="1" applyFill="1" applyBorder="1" applyAlignment="1">
      <alignment horizontal="left"/>
    </xf>
    <xf numFmtId="168" fontId="3" fillId="0" borderId="0" xfId="0" applyNumberFormat="1" applyFont="1" applyFill="1" applyBorder="1" applyAlignment="1">
      <alignment horizontal="right"/>
    </xf>
    <xf numFmtId="9" fontId="3" fillId="0" borderId="0" xfId="1" applyFont="1" applyFill="1" applyBorder="1" applyAlignment="1">
      <alignment horizontal="right"/>
    </xf>
    <xf numFmtId="0" fontId="4" fillId="0" borderId="0" xfId="0" applyFont="1" applyFill="1" applyBorder="1"/>
    <xf numFmtId="0" fontId="3" fillId="0" borderId="0" xfId="0" applyFont="1" applyFill="1" applyBorder="1" applyAlignment="1">
      <alignment horizontal="center"/>
    </xf>
    <xf numFmtId="168" fontId="3" fillId="5" borderId="0" xfId="0" applyNumberFormat="1" applyFont="1" applyFill="1" applyBorder="1"/>
    <xf numFmtId="168" fontId="3" fillId="0" borderId="0" xfId="0" applyNumberFormat="1" applyFont="1" applyFill="1" applyBorder="1"/>
    <xf numFmtId="3" fontId="3" fillId="5" borderId="0" xfId="0" applyNumberFormat="1" applyFont="1" applyFill="1" applyBorder="1"/>
    <xf numFmtId="3" fontId="3" fillId="0" borderId="0" xfId="0" applyNumberFormat="1" applyFont="1" applyFill="1" applyBorder="1" applyAlignment="1">
      <alignment horizontal="right"/>
    </xf>
    <xf numFmtId="3" fontId="3" fillId="0" borderId="0" xfId="0" applyNumberFormat="1" applyFont="1" applyFill="1" applyBorder="1"/>
    <xf numFmtId="9" fontId="3" fillId="0" borderId="0" xfId="0" applyNumberFormat="1" applyFont="1" applyFill="1" applyBorder="1"/>
    <xf numFmtId="164" fontId="3" fillId="0" borderId="0" xfId="0" applyNumberFormat="1" applyFont="1" applyFill="1" applyBorder="1"/>
    <xf numFmtId="2" fontId="3" fillId="5" borderId="0" xfId="0" applyNumberFormat="1" applyFont="1" applyFill="1" applyBorder="1"/>
    <xf numFmtId="164" fontId="3" fillId="5" borderId="0" xfId="0" applyNumberFormat="1" applyFont="1" applyFill="1" applyBorder="1"/>
    <xf numFmtId="3" fontId="3" fillId="5" borderId="0" xfId="0" applyNumberFormat="1" applyFont="1" applyFill="1" applyBorder="1" applyAlignment="1">
      <alignment horizontal="right"/>
    </xf>
    <xf numFmtId="0" fontId="28" fillId="0" borderId="0" xfId="0" applyFont="1" applyFill="1" applyBorder="1"/>
    <xf numFmtId="164" fontId="5" fillId="0" borderId="0" xfId="0" applyNumberFormat="1" applyFont="1" applyFill="1" applyBorder="1" applyAlignment="1">
      <alignment horizontal="center"/>
    </xf>
    <xf numFmtId="0" fontId="4" fillId="0" borderId="0" xfId="0" applyFont="1" applyFill="1" applyBorder="1" applyAlignment="1">
      <alignment horizontal="center"/>
    </xf>
    <xf numFmtId="1" fontId="4" fillId="0" borderId="0" xfId="0" applyNumberFormat="1" applyFont="1" applyFill="1" applyBorder="1"/>
    <xf numFmtId="164" fontId="5" fillId="0" borderId="0" xfId="0" applyNumberFormat="1" applyFont="1" applyFill="1" applyBorder="1"/>
    <xf numFmtId="164" fontId="3" fillId="0" borderId="0" xfId="0" applyNumberFormat="1" applyFont="1" applyFill="1" applyBorder="1" applyAlignment="1">
      <alignment horizontal="right"/>
    </xf>
    <xf numFmtId="9" fontId="3" fillId="5" borderId="0" xfId="0" applyNumberFormat="1" applyFont="1" applyFill="1"/>
    <xf numFmtId="9" fontId="3" fillId="0" borderId="0" xfId="1" applyFont="1" applyFill="1"/>
    <xf numFmtId="0" fontId="12" fillId="0" borderId="0" xfId="0" applyFont="1" applyAlignment="1">
      <alignment vertical="center"/>
    </xf>
    <xf numFmtId="0" fontId="3" fillId="11" borderId="0" xfId="0" applyFont="1" applyFill="1"/>
    <xf numFmtId="4" fontId="3" fillId="0" borderId="0" xfId="0" applyNumberFormat="1" applyFont="1"/>
    <xf numFmtId="0" fontId="13" fillId="6" borderId="0" xfId="0" applyFont="1" applyFill="1"/>
    <xf numFmtId="0" fontId="3" fillId="4" borderId="1" xfId="0" applyFont="1" applyFill="1" applyBorder="1"/>
    <xf numFmtId="0" fontId="3" fillId="6" borderId="1" xfId="0" applyFont="1" applyFill="1" applyBorder="1"/>
    <xf numFmtId="2" fontId="3" fillId="0" borderId="0" xfId="0" applyNumberFormat="1" applyFont="1" applyFill="1"/>
    <xf numFmtId="166" fontId="3" fillId="0" borderId="0" xfId="1" applyNumberFormat="1" applyFont="1"/>
    <xf numFmtId="175" fontId="3" fillId="0" borderId="0" xfId="0" applyNumberFormat="1" applyFont="1"/>
    <xf numFmtId="168" fontId="19" fillId="0" borderId="0" xfId="0" applyNumberFormat="1" applyFont="1" applyFill="1" applyBorder="1"/>
    <xf numFmtId="0" fontId="19" fillId="0" borderId="0" xfId="0" applyFont="1" applyFill="1" applyBorder="1"/>
    <xf numFmtId="0" fontId="19" fillId="2" borderId="0" xfId="0" applyFont="1" applyFill="1"/>
    <xf numFmtId="3" fontId="19" fillId="2" borderId="0" xfId="0" applyNumberFormat="1" applyFont="1" applyFill="1" applyBorder="1"/>
    <xf numFmtId="9" fontId="19" fillId="2" borderId="0" xfId="1" applyFont="1" applyFill="1"/>
    <xf numFmtId="0" fontId="19" fillId="0" borderId="0" xfId="0" applyFont="1" applyFill="1"/>
    <xf numFmtId="167" fontId="22" fillId="0" borderId="0" xfId="0" applyNumberFormat="1" applyFont="1" applyBorder="1" applyAlignment="1">
      <alignment vertical="center" wrapText="1"/>
    </xf>
    <xf numFmtId="9" fontId="22" fillId="0" borderId="0" xfId="1" applyFont="1" applyBorder="1" applyAlignment="1">
      <alignment vertical="center" wrapText="1"/>
    </xf>
    <xf numFmtId="164" fontId="22" fillId="0" borderId="0" xfId="0" applyNumberFormat="1" applyFont="1" applyBorder="1" applyAlignment="1">
      <alignment vertical="center" wrapText="1"/>
    </xf>
    <xf numFmtId="0" fontId="22" fillId="0" borderId="0" xfId="0" applyFont="1" applyBorder="1" applyAlignment="1">
      <alignment vertical="center" wrapText="1"/>
    </xf>
    <xf numFmtId="171" fontId="19" fillId="2" borderId="0" xfId="0" applyNumberFormat="1" applyFont="1" applyFill="1"/>
    <xf numFmtId="9" fontId="19" fillId="0" borderId="0" xfId="1" applyNumberFormat="1" applyFont="1" applyFill="1"/>
    <xf numFmtId="167" fontId="19" fillId="0" borderId="0" xfId="0" applyNumberFormat="1" applyFont="1" applyFill="1"/>
    <xf numFmtId="0" fontId="29" fillId="0" borderId="0" xfId="0" applyFont="1"/>
    <xf numFmtId="3" fontId="19" fillId="0" borderId="0" xfId="0" applyNumberFormat="1" applyFont="1" applyFill="1"/>
    <xf numFmtId="0" fontId="30" fillId="0" borderId="0" xfId="0" applyFont="1" applyAlignment="1">
      <alignment vertical="center"/>
    </xf>
    <xf numFmtId="0" fontId="11" fillId="0" borderId="0" xfId="0" applyFont="1"/>
    <xf numFmtId="9" fontId="19" fillId="2" borderId="0" xfId="1" applyNumberFormat="1" applyFont="1" applyFill="1"/>
    <xf numFmtId="167" fontId="19" fillId="2" borderId="0" xfId="0" applyNumberFormat="1" applyFont="1" applyFill="1"/>
    <xf numFmtId="9" fontId="19" fillId="0" borderId="0" xfId="1" applyFont="1"/>
    <xf numFmtId="167" fontId="4" fillId="0" borderId="0" xfId="0" applyNumberFormat="1" applyFont="1" applyBorder="1" applyAlignment="1">
      <alignment vertical="center" wrapText="1"/>
    </xf>
    <xf numFmtId="0" fontId="4" fillId="0" borderId="0" xfId="0" applyFont="1" applyBorder="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0" xfId="0" applyFont="1" applyFill="1"/>
    <xf numFmtId="9" fontId="19" fillId="0" borderId="0" xfId="0" applyNumberFormat="1" applyFont="1"/>
    <xf numFmtId="10" fontId="19" fillId="0" borderId="0" xfId="0" applyNumberFormat="1" applyFont="1"/>
    <xf numFmtId="1" fontId="19" fillId="0" borderId="0" xfId="0" applyNumberFormat="1" applyFont="1"/>
    <xf numFmtId="9" fontId="19" fillId="2" borderId="0" xfId="0" applyNumberFormat="1" applyFont="1" applyFill="1"/>
    <xf numFmtId="10" fontId="3" fillId="2" borderId="0" xfId="1" applyNumberFormat="1" applyFont="1" applyFill="1"/>
    <xf numFmtId="164" fontId="3" fillId="0" borderId="0" xfId="1" applyNumberFormat="1" applyFont="1"/>
    <xf numFmtId="9" fontId="3" fillId="0" borderId="1" xfId="1" applyFont="1" applyBorder="1" applyAlignment="1">
      <alignment horizontal="center"/>
    </xf>
    <xf numFmtId="176" fontId="3" fillId="0" borderId="0" xfId="0" applyNumberFormat="1" applyFont="1"/>
    <xf numFmtId="0" fontId="24" fillId="0" borderId="0" xfId="0" applyFont="1" applyFill="1" applyBorder="1"/>
    <xf numFmtId="0" fontId="25" fillId="0" borderId="0" xfId="0" applyFont="1" applyFill="1" applyBorder="1" applyAlignment="1">
      <alignment vertical="center"/>
    </xf>
    <xf numFmtId="0" fontId="25" fillId="0" borderId="0" xfId="0" applyFont="1" applyFill="1" applyBorder="1"/>
    <xf numFmtId="0" fontId="26" fillId="0" borderId="0" xfId="0" applyFont="1" applyFill="1" applyBorder="1"/>
    <xf numFmtId="164" fontId="24" fillId="0" borderId="0" xfId="0" applyNumberFormat="1" applyFont="1" applyFill="1" applyBorder="1"/>
    <xf numFmtId="9" fontId="24" fillId="0" borderId="0" xfId="0" applyNumberFormat="1" applyFont="1" applyFill="1" applyBorder="1"/>
    <xf numFmtId="10" fontId="24" fillId="0" borderId="0" xfId="0" applyNumberFormat="1" applyFont="1" applyFill="1" applyBorder="1"/>
    <xf numFmtId="0" fontId="26" fillId="0" borderId="1" xfId="0" applyFont="1" applyFill="1" applyBorder="1"/>
    <xf numFmtId="0" fontId="24" fillId="0" borderId="1" xfId="0" applyFont="1" applyFill="1" applyBorder="1" applyAlignment="1">
      <alignment horizontal="center"/>
    </xf>
    <xf numFmtId="0" fontId="24" fillId="0" borderId="1" xfId="0" applyFont="1" applyFill="1" applyBorder="1"/>
    <xf numFmtId="164" fontId="24" fillId="0" borderId="1" xfId="0" applyNumberFormat="1" applyFont="1" applyFill="1" applyBorder="1" applyAlignment="1">
      <alignment horizontal="center"/>
    </xf>
    <xf numFmtId="2" fontId="24" fillId="0" borderId="1" xfId="0" applyNumberFormat="1" applyFont="1" applyFill="1" applyBorder="1" applyAlignment="1">
      <alignment horizontal="center"/>
    </xf>
    <xf numFmtId="164" fontId="24" fillId="0" borderId="1" xfId="0" applyNumberFormat="1" applyFont="1" applyFill="1" applyBorder="1"/>
    <xf numFmtId="0" fontId="24" fillId="0" borderId="0" xfId="0" applyFont="1" applyFill="1" applyBorder="1" applyAlignment="1">
      <alignment horizontal="center"/>
    </xf>
    <xf numFmtId="164" fontId="24" fillId="9" borderId="0" xfId="0" applyNumberFormat="1" applyFont="1" applyFill="1" applyBorder="1"/>
    <xf numFmtId="2" fontId="24" fillId="0" borderId="0" xfId="0" applyNumberFormat="1" applyFont="1" applyFill="1" applyBorder="1" applyAlignment="1">
      <alignment horizontal="center"/>
    </xf>
    <xf numFmtId="164" fontId="24" fillId="0" borderId="0" xfId="0" applyNumberFormat="1" applyFont="1" applyFill="1" applyBorder="1" applyAlignment="1">
      <alignment horizontal="center"/>
    </xf>
    <xf numFmtId="0" fontId="24" fillId="12" borderId="0" xfId="0" applyFont="1" applyFill="1" applyBorder="1"/>
    <xf numFmtId="165" fontId="24" fillId="0" borderId="1" xfId="0" applyNumberFormat="1" applyFont="1" applyFill="1" applyBorder="1" applyAlignment="1">
      <alignment horizontal="center"/>
    </xf>
    <xf numFmtId="174" fontId="24" fillId="0" borderId="1" xfId="0" applyNumberFormat="1" applyFont="1" applyFill="1" applyBorder="1" applyAlignment="1">
      <alignment horizontal="center"/>
    </xf>
    <xf numFmtId="0" fontId="24" fillId="13" borderId="0" xfId="0" applyFont="1" applyFill="1" applyBorder="1"/>
    <xf numFmtId="174" fontId="24" fillId="0" borderId="0" xfId="0" applyNumberFormat="1" applyFont="1" applyFill="1" applyBorder="1"/>
    <xf numFmtId="174" fontId="24" fillId="0" borderId="0" xfId="0" applyNumberFormat="1" applyFont="1" applyFill="1" applyBorder="1" applyAlignment="1">
      <alignment horizontal="center"/>
    </xf>
    <xf numFmtId="0" fontId="4" fillId="0" borderId="0" xfId="4" applyFont="1" applyAlignment="1">
      <alignment horizontal="center"/>
    </xf>
    <xf numFmtId="164" fontId="26" fillId="0" borderId="0" xfId="0" applyNumberFormat="1" applyFont="1" applyFill="1" applyBorder="1"/>
    <xf numFmtId="10" fontId="24" fillId="0" borderId="0" xfId="1" applyNumberFormat="1" applyFont="1" applyFill="1" applyBorder="1"/>
    <xf numFmtId="10" fontId="24" fillId="14" borderId="0" xfId="0" applyNumberFormat="1" applyFont="1" applyFill="1" applyBorder="1"/>
    <xf numFmtId="164" fontId="3" fillId="0" borderId="0" xfId="0" applyNumberFormat="1" applyFont="1" applyFill="1" applyBorder="1" applyAlignment="1">
      <alignment horizontal="right" vertical="center"/>
    </xf>
    <xf numFmtId="164" fontId="13" fillId="0" borderId="0" xfId="0" applyNumberFormat="1" applyFont="1" applyFill="1" applyBorder="1" applyAlignment="1">
      <alignment horizontal="center"/>
    </xf>
    <xf numFmtId="0" fontId="3" fillId="0" borderId="0" xfId="0" applyFont="1" applyFill="1" applyBorder="1" applyAlignment="1">
      <alignment horizontal="center" vertical="center"/>
    </xf>
    <xf numFmtId="0" fontId="3" fillId="0" borderId="0" xfId="0" applyFont="1" applyFill="1" applyBorder="1" applyAlignment="1">
      <alignment horizontal="left" wrapText="1" indent="1"/>
    </xf>
    <xf numFmtId="0" fontId="8" fillId="0" borderId="0" xfId="0" applyFont="1" applyFill="1" applyBorder="1"/>
    <xf numFmtId="0" fontId="4" fillId="0" borderId="0" xfId="0" applyFont="1" applyFill="1" applyBorder="1" applyAlignment="1">
      <alignment horizontal="left" vertical="center"/>
    </xf>
    <xf numFmtId="9" fontId="3" fillId="0" borderId="0" xfId="0" applyNumberFormat="1" applyFont="1" applyFill="1" applyBorder="1" applyAlignment="1">
      <alignment horizontal="right" vertical="center"/>
    </xf>
    <xf numFmtId="0" fontId="11" fillId="0" borderId="0" xfId="0" applyFont="1" applyFill="1" applyBorder="1" applyAlignment="1">
      <alignment horizontal="left" vertical="center" readingOrder="1"/>
    </xf>
    <xf numFmtId="0" fontId="14" fillId="0" borderId="0" xfId="0" applyFont="1" applyFill="1" applyBorder="1"/>
    <xf numFmtId="2" fontId="3" fillId="0" borderId="0" xfId="0" applyNumberFormat="1" applyFont="1" applyFill="1" applyBorder="1" applyAlignment="1">
      <alignment horizontal="center"/>
    </xf>
    <xf numFmtId="164" fontId="3" fillId="0" borderId="0" xfId="0" applyNumberFormat="1" applyFont="1" applyFill="1" applyBorder="1" applyAlignment="1">
      <alignment horizontal="center" vertical="center"/>
    </xf>
    <xf numFmtId="0" fontId="13" fillId="0" borderId="0" xfId="0" applyFont="1" applyFill="1" applyBorder="1" applyAlignment="1">
      <alignment horizontal="center"/>
    </xf>
    <xf numFmtId="1" fontId="3" fillId="0" borderId="0" xfId="0" applyNumberFormat="1" applyFont="1" applyFill="1" applyBorder="1" applyAlignment="1">
      <alignment horizontal="center"/>
    </xf>
    <xf numFmtId="10" fontId="3" fillId="2" borderId="0" xfId="1" applyNumberFormat="1" applyFont="1" applyFill="1" applyBorder="1" applyAlignment="1">
      <alignment horizontal="right" vertical="center"/>
    </xf>
    <xf numFmtId="0" fontId="3" fillId="0" borderId="0" xfId="0" applyFont="1" applyFill="1" applyBorder="1" applyAlignment="1">
      <alignment horizontal="left" wrapText="1"/>
    </xf>
    <xf numFmtId="0" fontId="4" fillId="0" borderId="1" xfId="0" applyFont="1" applyBorder="1" applyAlignment="1">
      <alignment horizontal="center"/>
    </xf>
    <xf numFmtId="168" fontId="3" fillId="15" borderId="0" xfId="0" applyNumberFormat="1" applyFont="1" applyFill="1" applyBorder="1" applyAlignment="1">
      <alignment horizontal="right" vertical="center"/>
    </xf>
    <xf numFmtId="0" fontId="5" fillId="0" borderId="0" xfId="0" applyFont="1" applyFill="1" applyBorder="1" applyAlignment="1">
      <alignment horizontal="left"/>
    </xf>
    <xf numFmtId="0" fontId="3" fillId="0" borderId="0" xfId="0" applyFont="1" applyFill="1" applyBorder="1" applyAlignment="1">
      <alignment wrapText="1"/>
    </xf>
    <xf numFmtId="168" fontId="3" fillId="0" borderId="0" xfId="0" applyNumberFormat="1" applyFont="1" applyFill="1" applyBorder="1" applyAlignment="1">
      <alignment horizontal="right" vertical="center"/>
    </xf>
    <xf numFmtId="2" fontId="3" fillId="0" borderId="0" xfId="0" applyNumberFormat="1" applyFont="1" applyFill="1" applyBorder="1" applyAlignment="1"/>
    <xf numFmtId="0" fontId="3" fillId="0" borderId="0" xfId="0" applyFont="1" applyFill="1" applyBorder="1" applyAlignment="1">
      <alignment horizontal="left" vertical="center"/>
    </xf>
    <xf numFmtId="166" fontId="3" fillId="2" borderId="0" xfId="1" applyNumberFormat="1" applyFont="1" applyFill="1" applyBorder="1" applyAlignment="1">
      <alignment horizontal="right" vertical="center"/>
    </xf>
    <xf numFmtId="9" fontId="3" fillId="2" borderId="0" xfId="1" applyFont="1" applyFill="1" applyBorder="1" applyAlignment="1">
      <alignment horizontal="right" vertical="center"/>
    </xf>
    <xf numFmtId="10" fontId="3" fillId="0" borderId="0" xfId="0" applyNumberFormat="1" applyFont="1" applyFill="1" applyBorder="1" applyAlignment="1">
      <alignment horizontal="center"/>
    </xf>
    <xf numFmtId="9" fontId="3" fillId="0" borderId="0" xfId="0" applyNumberFormat="1" applyFont="1" applyFill="1" applyBorder="1" applyAlignment="1">
      <alignment horizontal="center"/>
    </xf>
    <xf numFmtId="0" fontId="12" fillId="0" borderId="0" xfId="0" applyFont="1" applyFill="1" applyBorder="1" applyAlignment="1">
      <alignment horizontal="left"/>
    </xf>
    <xf numFmtId="0" fontId="4" fillId="0" borderId="0" xfId="0" applyFont="1" applyFill="1" applyBorder="1" applyAlignment="1">
      <alignment horizontal="left"/>
    </xf>
    <xf numFmtId="166" fontId="3" fillId="0" borderId="0" xfId="0" applyNumberFormat="1" applyFont="1" applyFill="1" applyBorder="1" applyAlignment="1">
      <alignment horizontal="right" vertical="center"/>
    </xf>
    <xf numFmtId="9" fontId="3" fillId="0" borderId="0" xfId="0" applyNumberFormat="1" applyFont="1" applyAlignment="1">
      <alignment horizontal="right"/>
    </xf>
    <xf numFmtId="164" fontId="3" fillId="0" borderId="1" xfId="0" applyNumberFormat="1" applyFont="1" applyFill="1" applyBorder="1" applyAlignment="1">
      <alignment horizontal="center"/>
    </xf>
    <xf numFmtId="0" fontId="3" fillId="0" borderId="1" xfId="0" applyFont="1" applyFill="1" applyBorder="1"/>
    <xf numFmtId="0" fontId="3" fillId="0" borderId="0" xfId="0" applyFont="1" applyFill="1" applyBorder="1" applyAlignment="1">
      <alignment horizontal="left"/>
    </xf>
    <xf numFmtId="2" fontId="3" fillId="0" borderId="0" xfId="0" applyNumberFormat="1" applyFont="1" applyFill="1" applyBorder="1" applyAlignment="1">
      <alignment horizontal="center" vertical="center"/>
    </xf>
    <xf numFmtId="2" fontId="3" fillId="0" borderId="1" xfId="0" applyNumberFormat="1" applyFont="1" applyFill="1" applyBorder="1" applyAlignment="1">
      <alignment horizontal="center"/>
    </xf>
    <xf numFmtId="0" fontId="3" fillId="0" borderId="1" xfId="0" applyFont="1" applyFill="1" applyBorder="1" applyAlignment="1">
      <alignment horizontal="center"/>
    </xf>
    <xf numFmtId="0" fontId="12" fillId="0" borderId="0" xfId="0" applyFont="1" applyFill="1" applyBorder="1" applyAlignment="1">
      <alignment horizontal="center"/>
    </xf>
    <xf numFmtId="0" fontId="3" fillId="0" borderId="1" xfId="0" applyFont="1" applyFill="1" applyBorder="1" applyAlignment="1">
      <alignment horizontal="left"/>
    </xf>
    <xf numFmtId="2" fontId="3" fillId="0" borderId="1" xfId="0" applyNumberFormat="1" applyFont="1" applyFill="1" applyBorder="1" applyAlignment="1">
      <alignment horizontal="center" vertical="center"/>
    </xf>
    <xf numFmtId="0" fontId="3" fillId="2" borderId="10" xfId="0" applyFont="1" applyFill="1" applyBorder="1" applyAlignment="1">
      <alignment horizontal="center"/>
    </xf>
    <xf numFmtId="0" fontId="3" fillId="0" borderId="0" xfId="0" applyFont="1" applyFill="1" applyBorder="1" applyAlignment="1">
      <alignment horizontal="right" vertical="center"/>
    </xf>
    <xf numFmtId="0" fontId="12" fillId="0" borderId="0" xfId="0" applyFont="1" applyFill="1" applyBorder="1" applyAlignment="1">
      <alignment horizontal="left" indent="2"/>
    </xf>
    <xf numFmtId="0" fontId="12" fillId="0" borderId="0" xfId="0" applyFont="1" applyFill="1" applyBorder="1" applyAlignment="1">
      <alignment horizontal="left" indent="1"/>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12" fillId="0" borderId="0" xfId="0" applyFont="1" applyFill="1" applyBorder="1" applyAlignment="1">
      <alignment horizontal="center" vertical="center"/>
    </xf>
    <xf numFmtId="0" fontId="12" fillId="0" borderId="0" xfId="0" applyFont="1" applyFill="1" applyBorder="1" applyAlignment="1">
      <alignment horizontal="left" vertical="center" indent="1"/>
    </xf>
    <xf numFmtId="0" fontId="12" fillId="0" borderId="0" xfId="0" applyFont="1" applyFill="1" applyBorder="1"/>
    <xf numFmtId="0" fontId="15" fillId="0" borderId="0" xfId="0" applyFont="1" applyFill="1" applyBorder="1"/>
    <xf numFmtId="164" fontId="13" fillId="0" borderId="1" xfId="0" applyNumberFormat="1" applyFont="1" applyBorder="1" applyAlignment="1">
      <alignment horizontal="center"/>
    </xf>
    <xf numFmtId="0" fontId="14" fillId="0" borderId="1" xfId="0" applyFont="1" applyBorder="1"/>
    <xf numFmtId="164" fontId="3" fillId="0" borderId="1" xfId="0" applyNumberFormat="1" applyFont="1" applyBorder="1" applyAlignment="1">
      <alignment horizontal="center" vertical="center"/>
    </xf>
    <xf numFmtId="0" fontId="13" fillId="0" borderId="1" xfId="0" applyFont="1" applyBorder="1" applyAlignment="1">
      <alignment horizontal="center"/>
    </xf>
    <xf numFmtId="0" fontId="14" fillId="2" borderId="1" xfId="0" applyFont="1" applyFill="1" applyBorder="1"/>
    <xf numFmtId="0" fontId="14" fillId="5" borderId="1" xfId="0" applyFont="1" applyFill="1" applyBorder="1"/>
    <xf numFmtId="164" fontId="3" fillId="0" borderId="0" xfId="0" applyNumberFormat="1" applyFont="1" applyBorder="1" applyAlignment="1">
      <alignment horizontal="center"/>
    </xf>
    <xf numFmtId="1" fontId="3" fillId="0" borderId="0" xfId="0" applyNumberFormat="1" applyFont="1" applyBorder="1" applyAlignment="1">
      <alignment horizontal="center"/>
    </xf>
    <xf numFmtId="2" fontId="3" fillId="0" borderId="0" xfId="0" applyNumberFormat="1" applyFont="1" applyAlignment="1"/>
    <xf numFmtId="0" fontId="3" fillId="0" borderId="0" xfId="0" applyFont="1" applyBorder="1"/>
    <xf numFmtId="164" fontId="3" fillId="0" borderId="0" xfId="0" applyNumberFormat="1" applyFont="1" applyBorder="1"/>
    <xf numFmtId="10" fontId="3" fillId="0" borderId="1" xfId="1" applyNumberFormat="1" applyFont="1" applyBorder="1" applyAlignment="1">
      <alignment horizontal="center"/>
    </xf>
    <xf numFmtId="0" fontId="3" fillId="0" borderId="1" xfId="0" applyFont="1" applyFill="1" applyBorder="1" applyAlignment="1">
      <alignment horizontal="center" vertical="center"/>
    </xf>
    <xf numFmtId="3" fontId="3" fillId="0" borderId="0" xfId="0" applyNumberFormat="1" applyFont="1" applyFill="1" applyBorder="1" applyAlignment="1">
      <alignment horizontal="right" vertical="center"/>
    </xf>
    <xf numFmtId="0" fontId="8" fillId="0" borderId="1" xfId="4" applyFont="1" applyBorder="1" applyAlignment="1">
      <alignment horizontal="center"/>
    </xf>
    <xf numFmtId="0" fontId="4" fillId="0" borderId="1" xfId="4" applyFont="1" applyBorder="1" applyAlignment="1">
      <alignment horizontal="center"/>
    </xf>
    <xf numFmtId="0" fontId="4" fillId="0" borderId="1" xfId="4" applyFont="1" applyBorder="1" applyAlignment="1">
      <alignment horizontal="center" wrapText="1"/>
    </xf>
    <xf numFmtId="0" fontId="4" fillId="0" borderId="10" xfId="4" applyFont="1" applyBorder="1" applyAlignment="1">
      <alignment horizontal="center" vertical="center"/>
    </xf>
    <xf numFmtId="0" fontId="4" fillId="0" borderId="11" xfId="4" applyFont="1" applyBorder="1" applyAlignment="1">
      <alignment horizontal="center" vertical="center"/>
    </xf>
    <xf numFmtId="0" fontId="8" fillId="0" borderId="1" xfId="4" applyFont="1" applyBorder="1" applyAlignment="1">
      <alignment horizontal="center" wrapText="1"/>
    </xf>
    <xf numFmtId="0" fontId="3" fillId="0" borderId="1" xfId="4" applyFont="1" applyBorder="1" applyAlignment="1">
      <alignment horizontal="center"/>
    </xf>
    <xf numFmtId="0" fontId="4" fillId="0" borderId="0" xfId="4" applyFont="1" applyAlignment="1">
      <alignment horizontal="center" wrapText="1"/>
    </xf>
    <xf numFmtId="0" fontId="4" fillId="0" borderId="0" xfId="4" applyFont="1" applyAlignment="1">
      <alignment horizontal="center"/>
    </xf>
    <xf numFmtId="10" fontId="4" fillId="5" borderId="0" xfId="4" applyNumberFormat="1" applyFont="1" applyFill="1" applyAlignment="1">
      <alignment horizontal="center" vertical="center"/>
    </xf>
    <xf numFmtId="0" fontId="8" fillId="0" borderId="0" xfId="0" applyFont="1" applyAlignment="1">
      <alignment horizontal="center"/>
    </xf>
    <xf numFmtId="164" fontId="4" fillId="18" borderId="1" xfId="0" applyNumberFormat="1" applyFont="1" applyFill="1" applyBorder="1" applyAlignment="1">
      <alignment horizontal="center" vertical="center"/>
    </xf>
    <xf numFmtId="0" fontId="4" fillId="18" borderId="1" xfId="0" applyFont="1" applyFill="1" applyBorder="1" applyAlignment="1">
      <alignment horizontal="center" vertical="center"/>
    </xf>
    <xf numFmtId="164" fontId="4" fillId="0" borderId="1" xfId="0" applyNumberFormat="1" applyFont="1" applyBorder="1" applyAlignment="1">
      <alignment horizontal="center" vertical="center"/>
    </xf>
    <xf numFmtId="164" fontId="4" fillId="2" borderId="1" xfId="0" applyNumberFormat="1" applyFont="1" applyFill="1" applyBorder="1" applyAlignment="1">
      <alignment horizontal="center" vertical="center"/>
    </xf>
    <xf numFmtId="0" fontId="17" fillId="18" borderId="1" xfId="0" applyFont="1" applyFill="1" applyBorder="1" applyAlignment="1">
      <alignment horizontal="center" vertical="center" wrapText="1"/>
    </xf>
    <xf numFmtId="174" fontId="3" fillId="2" borderId="0" xfId="0" applyNumberFormat="1" applyFont="1" applyFill="1"/>
    <xf numFmtId="165" fontId="3" fillId="0" borderId="0" xfId="0" applyNumberFormat="1" applyFont="1"/>
    <xf numFmtId="165" fontId="3" fillId="0" borderId="0" xfId="0" applyNumberFormat="1" applyFont="1" applyAlignment="1">
      <alignment horizontal="center" vertical="center"/>
    </xf>
    <xf numFmtId="49" fontId="3" fillId="6" borderId="0" xfId="0" applyNumberFormat="1" applyFont="1" applyFill="1" applyAlignment="1">
      <alignment horizontal="center"/>
    </xf>
    <xf numFmtId="177" fontId="7" fillId="2" borderId="0" xfId="0" applyNumberFormat="1" applyFont="1" applyFill="1"/>
    <xf numFmtId="177" fontId="3" fillId="0" borderId="1" xfId="0" applyNumberFormat="1" applyFont="1" applyBorder="1"/>
    <xf numFmtId="9" fontId="12" fillId="0" borderId="0" xfId="0" applyNumberFormat="1" applyFont="1"/>
    <xf numFmtId="9" fontId="12" fillId="2" borderId="0" xfId="0" applyNumberFormat="1" applyFont="1" applyFill="1"/>
    <xf numFmtId="177" fontId="3" fillId="0" borderId="1" xfId="0" applyNumberFormat="1" applyFont="1" applyBorder="1" applyAlignment="1">
      <alignment horizontal="center"/>
    </xf>
    <xf numFmtId="171" fontId="3" fillId="0" borderId="0" xfId="0" applyNumberFormat="1" applyFont="1" applyAlignment="1">
      <alignment horizontal="center"/>
    </xf>
    <xf numFmtId="177" fontId="3" fillId="0" borderId="0" xfId="0" applyNumberFormat="1" applyFont="1"/>
    <xf numFmtId="10" fontId="7" fillId="2" borderId="0" xfId="0" applyNumberFormat="1" applyFont="1" applyFill="1"/>
    <xf numFmtId="10" fontId="7" fillId="0" borderId="0" xfId="0" applyNumberFormat="1" applyFont="1"/>
    <xf numFmtId="0" fontId="34" fillId="0" borderId="0" xfId="0" applyFont="1"/>
    <xf numFmtId="0" fontId="35" fillId="0" borderId="0" xfId="0" applyFont="1"/>
    <xf numFmtId="164" fontId="7" fillId="0" borderId="0" xfId="0" applyNumberFormat="1" applyFont="1"/>
    <xf numFmtId="0" fontId="36" fillId="0" borderId="0" xfId="0" applyFont="1"/>
    <xf numFmtId="0" fontId="27" fillId="0" borderId="0" xfId="0" applyFont="1" applyAlignment="1">
      <alignment vertical="center"/>
    </xf>
    <xf numFmtId="0" fontId="7" fillId="0" borderId="0" xfId="0" applyFont="1" applyAlignment="1">
      <alignment vertical="center"/>
    </xf>
    <xf numFmtId="0" fontId="37" fillId="0" borderId="0" xfId="0" applyFont="1" applyAlignment="1">
      <alignment vertical="center"/>
    </xf>
    <xf numFmtId="2" fontId="34" fillId="0" borderId="0" xfId="0" applyNumberFormat="1" applyFont="1" applyAlignment="1">
      <alignment horizontal="center"/>
    </xf>
    <xf numFmtId="2" fontId="7" fillId="0" borderId="0" xfId="0" applyNumberFormat="1" applyFont="1" applyAlignment="1">
      <alignment horizontal="center"/>
    </xf>
    <xf numFmtId="0" fontId="7" fillId="0" borderId="0" xfId="0" applyFont="1" applyAlignment="1">
      <alignment horizontal="left" vertical="center" readingOrder="1"/>
    </xf>
    <xf numFmtId="0" fontId="34" fillId="0" borderId="0" xfId="0" applyFont="1" applyAlignment="1">
      <alignment horizontal="center"/>
    </xf>
    <xf numFmtId="0" fontId="7" fillId="0" borderId="0" xfId="0" applyFont="1" applyAlignment="1">
      <alignment horizontal="center"/>
    </xf>
    <xf numFmtId="0" fontId="7" fillId="2" borderId="0" xfId="0" applyFont="1" applyFill="1"/>
    <xf numFmtId="0" fontId="38" fillId="0" borderId="0" xfId="0" applyFont="1"/>
    <xf numFmtId="171" fontId="34" fillId="0" borderId="0" xfId="0" applyNumberFormat="1" applyFont="1" applyAlignment="1">
      <alignment horizontal="center"/>
    </xf>
    <xf numFmtId="171" fontId="7" fillId="0" borderId="0" xfId="0" applyNumberFormat="1" applyFont="1" applyAlignment="1">
      <alignment horizontal="center"/>
    </xf>
    <xf numFmtId="10" fontId="7" fillId="0" borderId="0" xfId="0" applyNumberFormat="1" applyFont="1" applyAlignment="1">
      <alignment horizontal="right" vertical="center" readingOrder="1"/>
    </xf>
    <xf numFmtId="164" fontId="34" fillId="0" borderId="0" xfId="0" applyNumberFormat="1" applyFont="1" applyAlignment="1">
      <alignment horizontal="center"/>
    </xf>
    <xf numFmtId="164" fontId="7" fillId="0" borderId="0" xfId="0" applyNumberFormat="1" applyFont="1" applyAlignment="1">
      <alignment horizontal="center"/>
    </xf>
    <xf numFmtId="0" fontId="3" fillId="2" borderId="0" xfId="0" applyFont="1" applyFill="1" applyAlignment="1">
      <alignment horizontal="left"/>
    </xf>
    <xf numFmtId="2" fontId="34" fillId="0" borderId="0" xfId="0" applyNumberFormat="1" applyFont="1"/>
    <xf numFmtId="178" fontId="3" fillId="0" borderId="0" xfId="0" applyNumberFormat="1" applyFont="1"/>
    <xf numFmtId="0" fontId="39" fillId="0" borderId="0" xfId="0" applyFont="1" applyAlignment="1">
      <alignment horizontal="left" vertical="center" readingOrder="1"/>
    </xf>
    <xf numFmtId="0" fontId="40" fillId="0" borderId="0" xfId="0" applyFont="1" applyAlignment="1">
      <alignment horizontal="right"/>
    </xf>
    <xf numFmtId="0" fontId="40" fillId="0" borderId="0" xfId="0" applyFont="1"/>
    <xf numFmtId="177" fontId="7" fillId="0" borderId="0" xfId="0" applyNumberFormat="1" applyFont="1"/>
    <xf numFmtId="177" fontId="7" fillId="0" borderId="0" xfId="0" applyNumberFormat="1" applyFont="1" applyAlignment="1">
      <alignment horizontal="right" vertical="center"/>
    </xf>
    <xf numFmtId="0" fontId="41" fillId="0" borderId="0" xfId="0" applyFont="1"/>
    <xf numFmtId="0" fontId="3" fillId="6" borderId="0" xfId="0" applyFont="1" applyFill="1" applyAlignment="1">
      <alignment horizontal="center"/>
    </xf>
    <xf numFmtId="0" fontId="38" fillId="0" borderId="0" xfId="0" applyFont="1" applyAlignment="1">
      <alignment horizontal="left" vertical="center" readingOrder="1"/>
    </xf>
    <xf numFmtId="10" fontId="34" fillId="0" borderId="0" xfId="0" applyNumberFormat="1" applyFont="1"/>
    <xf numFmtId="179" fontId="7" fillId="0" borderId="0" xfId="0" applyNumberFormat="1" applyFont="1"/>
    <xf numFmtId="0" fontId="42" fillId="0" borderId="0" xfId="0" applyFont="1" applyAlignment="1">
      <alignment vertical="center"/>
    </xf>
    <xf numFmtId="165" fontId="34" fillId="0" borderId="0" xfId="0" applyNumberFormat="1" applyFont="1" applyAlignment="1">
      <alignment horizontal="center"/>
    </xf>
    <xf numFmtId="1" fontId="34" fillId="0" borderId="0" xfId="0" applyNumberFormat="1" applyFont="1" applyAlignment="1">
      <alignment horizontal="center"/>
    </xf>
    <xf numFmtId="164" fontId="7" fillId="2" borderId="0" xfId="0" applyNumberFormat="1" applyFont="1" applyFill="1"/>
    <xf numFmtId="0" fontId="38" fillId="2" borderId="0" xfId="0" applyFont="1" applyFill="1"/>
    <xf numFmtId="171" fontId="7" fillId="0" borderId="0" xfId="0" applyNumberFormat="1" applyFont="1" applyAlignment="1">
      <alignment horizontal="right"/>
    </xf>
    <xf numFmtId="164" fontId="34" fillId="0" borderId="0" xfId="0" applyNumberFormat="1" applyFont="1"/>
    <xf numFmtId="10" fontId="43" fillId="0" borderId="0" xfId="0" applyNumberFormat="1" applyFont="1"/>
    <xf numFmtId="0" fontId="43" fillId="0" borderId="0" xfId="0" applyFont="1"/>
    <xf numFmtId="10" fontId="44" fillId="0" borderId="0" xfId="0" applyNumberFormat="1" applyFont="1"/>
    <xf numFmtId="0" fontId="44" fillId="0" borderId="0" xfId="0" applyFont="1"/>
    <xf numFmtId="10" fontId="16" fillId="0" borderId="0" xfId="0" applyNumberFormat="1" applyFont="1"/>
    <xf numFmtId="0" fontId="16" fillId="0" borderId="0" xfId="0" applyFont="1"/>
    <xf numFmtId="10" fontId="13" fillId="0" borderId="0" xfId="0" applyNumberFormat="1" applyFont="1"/>
    <xf numFmtId="0" fontId="13" fillId="0" borderId="0" xfId="0" applyFont="1"/>
    <xf numFmtId="165" fontId="3" fillId="0" borderId="0" xfId="0" applyNumberFormat="1" applyFont="1" applyAlignment="1">
      <alignment horizontal="center"/>
    </xf>
    <xf numFmtId="177" fontId="3" fillId="0" borderId="0" xfId="0" applyNumberFormat="1" applyFont="1" applyAlignment="1">
      <alignment horizontal="center"/>
    </xf>
    <xf numFmtId="2" fontId="3" fillId="0" borderId="0" xfId="0" applyNumberFormat="1" applyFont="1" applyAlignment="1">
      <alignment horizontal="left" vertical="center"/>
    </xf>
    <xf numFmtId="165" fontId="3" fillId="19" borderId="0" xfId="0" applyNumberFormat="1" applyFont="1" applyFill="1" applyAlignment="1">
      <alignment horizontal="center" vertical="center"/>
    </xf>
    <xf numFmtId="10" fontId="3" fillId="19" borderId="0" xfId="0" applyNumberFormat="1" applyFont="1" applyFill="1"/>
    <xf numFmtId="0" fontId="3" fillId="19" borderId="0" xfId="0" applyFont="1" applyFill="1"/>
    <xf numFmtId="164" fontId="4" fillId="0" borderId="0" xfId="0" applyNumberFormat="1" applyFont="1" applyAlignment="1">
      <alignment horizontal="center" vertical="center"/>
    </xf>
    <xf numFmtId="0" fontId="4" fillId="0" borderId="0" xfId="0" applyFont="1" applyAlignment="1">
      <alignment horizontal="center" vertical="center"/>
    </xf>
    <xf numFmtId="0" fontId="17" fillId="0" borderId="0" xfId="0" applyFont="1" applyAlignment="1">
      <alignment horizontal="center" vertical="center" wrapText="1"/>
    </xf>
    <xf numFmtId="174" fontId="3" fillId="0" borderId="0" xfId="0" applyNumberFormat="1" applyFont="1"/>
    <xf numFmtId="49" fontId="3" fillId="0" borderId="0" xfId="0" applyNumberFormat="1" applyFont="1" applyAlignment="1">
      <alignment horizontal="center"/>
    </xf>
    <xf numFmtId="164" fontId="45" fillId="0" borderId="0" xfId="8" applyNumberFormat="1" applyFill="1" applyBorder="1"/>
    <xf numFmtId="0" fontId="7" fillId="0" borderId="0" xfId="8" applyFont="1" applyFill="1" applyBorder="1"/>
    <xf numFmtId="164" fontId="46" fillId="0" borderId="0" xfId="9" applyNumberFormat="1" applyFill="1" applyBorder="1"/>
    <xf numFmtId="0" fontId="7" fillId="0" borderId="0" xfId="9" applyFont="1" applyFill="1" applyBorder="1"/>
    <xf numFmtId="164" fontId="36" fillId="0" borderId="0" xfId="9" applyNumberFormat="1" applyFont="1" applyFill="1" applyBorder="1"/>
    <xf numFmtId="0" fontId="36" fillId="0" borderId="0" xfId="9" applyFont="1" applyFill="1" applyBorder="1"/>
    <xf numFmtId="169" fontId="7" fillId="0" borderId="0" xfId="0" applyNumberFormat="1" applyFont="1" applyAlignment="1">
      <alignment horizontal="right"/>
    </xf>
    <xf numFmtId="164" fontId="3" fillId="0" borderId="0" xfId="0" applyNumberFormat="1" applyFont="1" applyAlignment="1">
      <alignment horizontal="right"/>
    </xf>
    <xf numFmtId="2" fontId="7" fillId="0" borderId="0" xfId="0" applyNumberFormat="1" applyFont="1" applyAlignment="1">
      <alignment horizontal="right"/>
    </xf>
    <xf numFmtId="164" fontId="7" fillId="0" borderId="0" xfId="0" applyNumberFormat="1" applyFont="1" applyAlignment="1">
      <alignment horizontal="right"/>
    </xf>
    <xf numFmtId="0" fontId="5" fillId="2" borderId="0" xfId="0" applyFont="1" applyFill="1" applyAlignment="1">
      <alignment horizontal="left" vertical="center" readingOrder="1"/>
    </xf>
    <xf numFmtId="0" fontId="47" fillId="2" borderId="0" xfId="9" applyFont="1" applyFill="1" applyBorder="1"/>
    <xf numFmtId="1" fontId="3" fillId="0" borderId="1" xfId="0" applyNumberFormat="1" applyFont="1" applyBorder="1"/>
    <xf numFmtId="2" fontId="3" fillId="0" borderId="1" xfId="0" applyNumberFormat="1" applyFont="1" applyBorder="1" applyAlignment="1">
      <alignment horizontal="right"/>
    </xf>
    <xf numFmtId="175" fontId="3" fillId="0" borderId="1" xfId="0" applyNumberFormat="1" applyFont="1" applyBorder="1"/>
    <xf numFmtId="0" fontId="7" fillId="0" borderId="1" xfId="0" applyFont="1" applyBorder="1"/>
    <xf numFmtId="164" fontId="7" fillId="0" borderId="1" xfId="0" applyNumberFormat="1" applyFont="1" applyBorder="1"/>
    <xf numFmtId="164" fontId="7" fillId="11" borderId="1" xfId="0" applyNumberFormat="1" applyFont="1" applyFill="1" applyBorder="1" applyAlignment="1">
      <alignment horizontal="right"/>
    </xf>
    <xf numFmtId="164" fontId="7" fillId="0" borderId="1" xfId="0" applyNumberFormat="1" applyFont="1" applyBorder="1" applyAlignment="1">
      <alignment horizontal="right"/>
    </xf>
    <xf numFmtId="164" fontId="7" fillId="20" borderId="1" xfId="0" applyNumberFormat="1" applyFont="1" applyFill="1" applyBorder="1"/>
    <xf numFmtId="4" fontId="7" fillId="0" borderId="1" xfId="0" applyNumberFormat="1" applyFont="1" applyBorder="1" applyAlignment="1">
      <alignment horizontal="right"/>
    </xf>
    <xf numFmtId="4" fontId="7" fillId="11" borderId="1" xfId="0" applyNumberFormat="1" applyFont="1" applyFill="1" applyBorder="1" applyAlignment="1">
      <alignment horizontal="right"/>
    </xf>
    <xf numFmtId="164" fontId="3" fillId="20" borderId="1" xfId="0" applyNumberFormat="1" applyFont="1" applyFill="1" applyBorder="1" applyAlignment="1">
      <alignment horizontal="right"/>
    </xf>
    <xf numFmtId="164" fontId="3" fillId="0" borderId="1" xfId="0" applyNumberFormat="1" applyFont="1" applyBorder="1" applyAlignment="1">
      <alignment horizontal="right"/>
    </xf>
    <xf numFmtId="177" fontId="7" fillId="0" borderId="1" xfId="0" applyNumberFormat="1" applyFont="1" applyBorder="1"/>
    <xf numFmtId="164" fontId="0" fillId="0" borderId="1" xfId="0" applyNumberFormat="1" applyBorder="1"/>
    <xf numFmtId="164" fontId="3" fillId="0" borderId="1" xfId="7" applyNumberFormat="1" applyFont="1" applyFill="1" applyBorder="1"/>
    <xf numFmtId="0" fontId="4" fillId="0" borderId="1" xfId="0" applyFont="1" applyBorder="1" applyAlignment="1">
      <alignment vertical="center"/>
    </xf>
    <xf numFmtId="0" fontId="3" fillId="0" borderId="1" xfId="0" applyFont="1" applyBorder="1" applyAlignment="1">
      <alignment horizontal="center" vertical="center"/>
    </xf>
    <xf numFmtId="0" fontId="48" fillId="0" borderId="0" xfId="0" applyFont="1" applyAlignment="1">
      <alignment vertical="center"/>
    </xf>
    <xf numFmtId="165" fontId="7" fillId="0" borderId="0" xfId="0" applyNumberFormat="1" applyFont="1" applyAlignment="1">
      <alignment horizontal="center"/>
    </xf>
    <xf numFmtId="0" fontId="3" fillId="0" borderId="13" xfId="0" applyFont="1" applyBorder="1"/>
    <xf numFmtId="2" fontId="3" fillId="0" borderId="13" xfId="0" applyNumberFormat="1" applyFont="1" applyBorder="1"/>
    <xf numFmtId="169" fontId="7" fillId="0" borderId="1" xfId="0" applyNumberFormat="1" applyFont="1" applyBorder="1" applyAlignment="1">
      <alignment horizontal="right"/>
    </xf>
    <xf numFmtId="0" fontId="7" fillId="0" borderId="13" xfId="0" applyFont="1" applyBorder="1"/>
    <xf numFmtId="164" fontId="0" fillId="0" borderId="10" xfId="0" applyNumberFormat="1" applyBorder="1"/>
    <xf numFmtId="164" fontId="3" fillId="11" borderId="10" xfId="7" applyNumberFormat="1" applyFont="1" applyFill="1" applyBorder="1"/>
    <xf numFmtId="164" fontId="3" fillId="0" borderId="10" xfId="7" applyNumberFormat="1" applyFont="1" applyFill="1" applyBorder="1"/>
    <xf numFmtId="164" fontId="3" fillId="2" borderId="1" xfId="7" applyNumberFormat="1" applyFont="1" applyFill="1" applyBorder="1"/>
    <xf numFmtId="164" fontId="3" fillId="20" borderId="1" xfId="0" applyNumberFormat="1" applyFont="1" applyFill="1" applyBorder="1"/>
    <xf numFmtId="16" fontId="3" fillId="6" borderId="0" xfId="0" applyNumberFormat="1" applyFont="1" applyFill="1" applyAlignment="1">
      <alignment horizontal="center"/>
    </xf>
    <xf numFmtId="2" fontId="3" fillId="20" borderId="1" xfId="0" applyNumberFormat="1" applyFont="1" applyFill="1" applyBorder="1" applyAlignment="1">
      <alignment horizontal="center"/>
    </xf>
    <xf numFmtId="165" fontId="3" fillId="0" borderId="0" xfId="0" applyNumberFormat="1" applyFont="1" applyAlignment="1">
      <alignment horizontal="left" vertical="center"/>
    </xf>
    <xf numFmtId="164" fontId="3" fillId="0" borderId="0" xfId="7" applyNumberFormat="1" applyFont="1" applyFill="1" applyBorder="1"/>
    <xf numFmtId="164" fontId="45" fillId="17" borderId="0" xfId="8" applyNumberFormat="1"/>
    <xf numFmtId="0" fontId="7" fillId="17" borderId="0" xfId="8" applyFont="1" applyBorder="1"/>
    <xf numFmtId="164" fontId="46" fillId="16" borderId="0" xfId="9" applyNumberFormat="1"/>
    <xf numFmtId="0" fontId="7" fillId="16" borderId="0" xfId="9" applyFont="1" applyBorder="1"/>
    <xf numFmtId="164" fontId="36" fillId="0" borderId="1" xfId="9" applyNumberFormat="1" applyFont="1" applyFill="1" applyBorder="1"/>
    <xf numFmtId="0" fontId="36" fillId="0" borderId="1" xfId="9" applyFont="1" applyFill="1" applyBorder="1"/>
    <xf numFmtId="2" fontId="7" fillId="0" borderId="1" xfId="0" applyNumberFormat="1" applyFont="1" applyBorder="1" applyAlignment="1">
      <alignment horizontal="right"/>
    </xf>
    <xf numFmtId="0" fontId="7" fillId="0" borderId="1" xfId="0" applyFont="1" applyBorder="1" applyAlignment="1">
      <alignment horizontal="center"/>
    </xf>
    <xf numFmtId="164" fontId="7" fillId="3" borderId="1" xfId="0" applyNumberFormat="1" applyFont="1" applyFill="1" applyBorder="1"/>
    <xf numFmtId="164" fontId="7" fillId="10" borderId="1" xfId="0" applyNumberFormat="1" applyFont="1" applyFill="1" applyBorder="1" applyAlignment="1">
      <alignment horizontal="right"/>
    </xf>
    <xf numFmtId="4" fontId="7" fillId="0" borderId="1" xfId="0" applyNumberFormat="1" applyFont="1" applyBorder="1"/>
    <xf numFmtId="10" fontId="3" fillId="0" borderId="0" xfId="0" applyNumberFormat="1" applyFont="1" applyAlignment="1">
      <alignment horizontal="right"/>
    </xf>
    <xf numFmtId="164" fontId="45" fillId="0" borderId="0" xfId="8" applyNumberFormat="1" applyFill="1"/>
    <xf numFmtId="164" fontId="46" fillId="0" borderId="0" xfId="9" applyNumberFormat="1" applyFill="1"/>
    <xf numFmtId="4" fontId="7" fillId="0" borderId="0" xfId="0" applyNumberFormat="1" applyFont="1"/>
    <xf numFmtId="2" fontId="7" fillId="0" borderId="1" xfId="0" applyNumberFormat="1" applyFont="1" applyBorder="1" applyAlignment="1">
      <alignment horizontal="center"/>
    </xf>
    <xf numFmtId="2" fontId="7" fillId="0" borderId="1" xfId="0" applyNumberFormat="1" applyFont="1" applyBorder="1" applyAlignment="1">
      <alignment horizontal="left"/>
    </xf>
    <xf numFmtId="4" fontId="7" fillId="0" borderId="1" xfId="0" applyNumberFormat="1" applyFont="1" applyBorder="1" applyAlignment="1">
      <alignment horizontal="center"/>
    </xf>
    <xf numFmtId="164" fontId="7" fillId="0" borderId="1" xfId="0" applyNumberFormat="1" applyFont="1" applyBorder="1" applyAlignment="1">
      <alignment horizontal="left"/>
    </xf>
    <xf numFmtId="164" fontId="7" fillId="0" borderId="0" xfId="7" applyNumberFormat="1" applyFont="1" applyFill="1" applyBorder="1"/>
    <xf numFmtId="164" fontId="7" fillId="0" borderId="1" xfId="0" applyNumberFormat="1" applyFont="1" applyBorder="1" applyAlignment="1">
      <alignment horizontal="center"/>
    </xf>
    <xf numFmtId="0" fontId="7" fillId="2" borderId="1" xfId="0" applyFont="1" applyFill="1" applyBorder="1" applyAlignment="1">
      <alignment horizontal="center"/>
    </xf>
    <xf numFmtId="0" fontId="7" fillId="5" borderId="1" xfId="0" applyFont="1" applyFill="1" applyBorder="1" applyAlignment="1">
      <alignment horizontal="center"/>
    </xf>
    <xf numFmtId="164" fontId="39" fillId="0" borderId="0" xfId="0" applyNumberFormat="1" applyFont="1" applyAlignment="1">
      <alignment horizontal="right" vertical="center" readingOrder="1"/>
    </xf>
    <xf numFmtId="0" fontId="5" fillId="0" borderId="0" xfId="0" applyFont="1" applyAlignment="1">
      <alignment vertical="center"/>
    </xf>
    <xf numFmtId="0" fontId="49" fillId="0" borderId="0" xfId="0" applyFont="1" applyAlignment="1">
      <alignment vertical="center"/>
    </xf>
    <xf numFmtId="10" fontId="3" fillId="0" borderId="0" xfId="1" applyNumberFormat="1" applyFont="1" applyFill="1" applyBorder="1"/>
    <xf numFmtId="2" fontId="3" fillId="2" borderId="0" xfId="0" applyNumberFormat="1" applyFont="1" applyFill="1"/>
    <xf numFmtId="0" fontId="11" fillId="0" borderId="0" xfId="0" applyFont="1" applyAlignment="1">
      <alignment vertical="center"/>
    </xf>
    <xf numFmtId="0" fontId="25" fillId="0" borderId="0" xfId="0" applyFont="1" applyAlignment="1">
      <alignment vertical="center"/>
    </xf>
    <xf numFmtId="164" fontId="3" fillId="8" borderId="1" xfId="0" applyNumberFormat="1" applyFont="1" applyFill="1" applyBorder="1" applyAlignment="1">
      <alignment horizontal="center"/>
    </xf>
    <xf numFmtId="179" fontId="3" fillId="2" borderId="0" xfId="0" applyNumberFormat="1" applyFont="1" applyFill="1"/>
    <xf numFmtId="10" fontId="3" fillId="0" borderId="0" xfId="1" applyNumberFormat="1" applyFont="1" applyFill="1" applyBorder="1" applyAlignment="1"/>
    <xf numFmtId="179" fontId="3" fillId="0" borderId="0" xfId="0" applyNumberFormat="1" applyFont="1" applyAlignment="1">
      <alignment horizontal="right" vertical="center"/>
    </xf>
    <xf numFmtId="167" fontId="3" fillId="0" borderId="0" xfId="1" applyNumberFormat="1" applyFont="1" applyFill="1" applyBorder="1" applyAlignment="1">
      <alignment horizontal="center"/>
    </xf>
    <xf numFmtId="164" fontId="3" fillId="0" borderId="0" xfId="0" applyNumberFormat="1" applyFont="1" applyAlignment="1">
      <alignment horizontal="left" vertical="center"/>
    </xf>
    <xf numFmtId="0" fontId="4" fillId="0" borderId="0" xfId="0" applyFont="1" applyAlignment="1">
      <alignment horizontal="left" vertical="center" indent="5"/>
    </xf>
    <xf numFmtId="1" fontId="3" fillId="0" borderId="0" xfId="1" applyNumberFormat="1" applyFont="1" applyFill="1" applyBorder="1" applyAlignment="1">
      <alignment horizontal="right" vertical="center"/>
    </xf>
    <xf numFmtId="166" fontId="3" fillId="0" borderId="0" xfId="0" applyNumberFormat="1" applyFont="1"/>
    <xf numFmtId="9" fontId="7" fillId="0" borderId="0" xfId="0" applyNumberFormat="1" applyFont="1"/>
    <xf numFmtId="3" fontId="7" fillId="0" borderId="0" xfId="0" applyNumberFormat="1" applyFont="1"/>
    <xf numFmtId="164" fontId="3" fillId="0" borderId="13" xfId="0" applyNumberFormat="1" applyFont="1" applyBorder="1" applyAlignment="1">
      <alignment horizontal="center"/>
    </xf>
    <xf numFmtId="10" fontId="7" fillId="2" borderId="0" xfId="0" applyNumberFormat="1" applyFont="1" applyFill="1" applyAlignment="1">
      <alignment horizontal="center" vertical="center"/>
    </xf>
    <xf numFmtId="10" fontId="3" fillId="0" borderId="1" xfId="1" applyNumberFormat="1" applyFont="1" applyFill="1" applyBorder="1" applyAlignment="1">
      <alignment horizontal="center" vertical="center"/>
    </xf>
    <xf numFmtId="10" fontId="3" fillId="0" borderId="1" xfId="0" applyNumberFormat="1" applyFont="1" applyBorder="1" applyAlignment="1">
      <alignment horizontal="center"/>
    </xf>
    <xf numFmtId="10" fontId="3" fillId="0" borderId="0" xfId="0" applyNumberFormat="1" applyFont="1" applyAlignment="1">
      <alignment horizontal="center" vertical="center"/>
    </xf>
    <xf numFmtId="10" fontId="44" fillId="0" borderId="0" xfId="0" applyNumberFormat="1" applyFont="1" applyAlignment="1">
      <alignment horizontal="center" vertical="center"/>
    </xf>
    <xf numFmtId="10" fontId="16" fillId="0" borderId="0" xfId="0" applyNumberFormat="1" applyFont="1" applyAlignment="1">
      <alignment horizontal="center" vertical="center"/>
    </xf>
    <xf numFmtId="1" fontId="3" fillId="0" borderId="1" xfId="0" applyNumberFormat="1" applyFont="1" applyBorder="1" applyAlignment="1">
      <alignment horizontal="center" vertical="center"/>
    </xf>
    <xf numFmtId="10" fontId="13" fillId="0" borderId="0" xfId="0" applyNumberFormat="1" applyFont="1" applyAlignment="1">
      <alignment horizontal="center" vertical="center"/>
    </xf>
  </cellXfs>
  <cellStyles count="10">
    <cellStyle name="Денежный" xfId="7" builtinId="4"/>
    <cellStyle name="Обычный" xfId="0" builtinId="0"/>
    <cellStyle name="Обычный 2" xfId="3"/>
    <cellStyle name="Обычный 2 2" xfId="5"/>
    <cellStyle name="Обычный 3" xfId="4"/>
    <cellStyle name="Плохой 2" xfId="8"/>
    <cellStyle name="Процентный" xfId="1" builtinId="5"/>
    <cellStyle name="Процентный 2" xfId="2"/>
    <cellStyle name="Процентный 3" xfId="6"/>
    <cellStyle name="Хороший 2" xfId="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1.png"/><Relationship Id="rId18" Type="http://schemas.openxmlformats.org/officeDocument/2006/relationships/image" Target="../media/image26.png"/><Relationship Id="rId26" Type="http://schemas.openxmlformats.org/officeDocument/2006/relationships/image" Target="../media/image34.png"/><Relationship Id="rId3" Type="http://schemas.openxmlformats.org/officeDocument/2006/relationships/image" Target="../media/image11.png"/><Relationship Id="rId21" Type="http://schemas.openxmlformats.org/officeDocument/2006/relationships/image" Target="../media/image29.png"/><Relationship Id="rId7" Type="http://schemas.openxmlformats.org/officeDocument/2006/relationships/image" Target="../media/image15.png"/><Relationship Id="rId12" Type="http://schemas.openxmlformats.org/officeDocument/2006/relationships/image" Target="../media/image20.png"/><Relationship Id="rId17" Type="http://schemas.openxmlformats.org/officeDocument/2006/relationships/image" Target="../media/image25.png"/><Relationship Id="rId25" Type="http://schemas.openxmlformats.org/officeDocument/2006/relationships/image" Target="../media/image33.png"/><Relationship Id="rId2" Type="http://schemas.openxmlformats.org/officeDocument/2006/relationships/image" Target="../media/image10.png"/><Relationship Id="rId16" Type="http://schemas.openxmlformats.org/officeDocument/2006/relationships/image" Target="../media/image24.png"/><Relationship Id="rId20" Type="http://schemas.openxmlformats.org/officeDocument/2006/relationships/image" Target="../media/image28.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9.png"/><Relationship Id="rId24" Type="http://schemas.openxmlformats.org/officeDocument/2006/relationships/image" Target="../media/image32.png"/><Relationship Id="rId5" Type="http://schemas.openxmlformats.org/officeDocument/2006/relationships/image" Target="../media/image13.png"/><Relationship Id="rId15" Type="http://schemas.openxmlformats.org/officeDocument/2006/relationships/image" Target="../media/image23.png"/><Relationship Id="rId23" Type="http://schemas.openxmlformats.org/officeDocument/2006/relationships/image" Target="../media/image31.png"/><Relationship Id="rId28" Type="http://schemas.openxmlformats.org/officeDocument/2006/relationships/image" Target="../media/image36.png"/><Relationship Id="rId10" Type="http://schemas.openxmlformats.org/officeDocument/2006/relationships/image" Target="../media/image18.png"/><Relationship Id="rId19" Type="http://schemas.openxmlformats.org/officeDocument/2006/relationships/image" Target="../media/image27.png"/><Relationship Id="rId4" Type="http://schemas.openxmlformats.org/officeDocument/2006/relationships/image" Target="../media/image12.png"/><Relationship Id="rId9" Type="http://schemas.openxmlformats.org/officeDocument/2006/relationships/image" Target="../media/image17.png"/><Relationship Id="rId14" Type="http://schemas.openxmlformats.org/officeDocument/2006/relationships/image" Target="../media/image22.png"/><Relationship Id="rId22" Type="http://schemas.openxmlformats.org/officeDocument/2006/relationships/image" Target="../media/image30.png"/><Relationship Id="rId27" Type="http://schemas.openxmlformats.org/officeDocument/2006/relationships/image" Target="../media/image35.png"/></Relationships>
</file>

<file path=xl/drawings/_rels/drawing6.xml.rels><?xml version="1.0" encoding="UTF-8" standalone="yes"?>
<Relationships xmlns="http://schemas.openxmlformats.org/package/2006/relationships"><Relationship Id="rId3" Type="http://schemas.openxmlformats.org/officeDocument/2006/relationships/image" Target="../media/image39.png"/><Relationship Id="rId2" Type="http://schemas.openxmlformats.org/officeDocument/2006/relationships/image" Target="../media/image38.png"/><Relationship Id="rId1" Type="http://schemas.openxmlformats.org/officeDocument/2006/relationships/image" Target="../media/image37.png"/><Relationship Id="rId4" Type="http://schemas.openxmlformats.org/officeDocument/2006/relationships/image" Target="../media/image40.png"/></Relationships>
</file>

<file path=xl/drawings/_rels/drawing7.xml.rels><?xml version="1.0" encoding="UTF-8" standalone="yes"?>
<Relationships xmlns="http://schemas.openxmlformats.org/package/2006/relationships"><Relationship Id="rId2" Type="http://schemas.openxmlformats.org/officeDocument/2006/relationships/image" Target="../media/image42.png"/><Relationship Id="rId1" Type="http://schemas.openxmlformats.org/officeDocument/2006/relationships/image" Target="../media/image41.png"/></Relationships>
</file>

<file path=xl/drawings/_rels/drawing9.xml.rels><?xml version="1.0" encoding="UTF-8" standalone="yes"?>
<Relationships xmlns="http://schemas.openxmlformats.org/package/2006/relationships"><Relationship Id="rId1" Type="http://schemas.openxmlformats.org/officeDocument/2006/relationships/image" Target="../media/image4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4.png"/></Relationships>
</file>

<file path=xl/drawings/_rels/drawing13.xml.rels><?xml version="1.0" encoding="UTF-8" standalone="yes"?>
<Relationships xmlns="http://schemas.openxmlformats.org/package/2006/relationships"><Relationship Id="rId2" Type="http://schemas.openxmlformats.org/officeDocument/2006/relationships/image" Target="../media/image46.png"/><Relationship Id="rId1" Type="http://schemas.openxmlformats.org/officeDocument/2006/relationships/image" Target="../media/image45.png"/></Relationships>
</file>

<file path=xl/drawings/_rels/drawing16.xml.rels><?xml version="1.0" encoding="UTF-8" standalone="yes"?>
<Relationships xmlns="http://schemas.openxmlformats.org/package/2006/relationships"><Relationship Id="rId3" Type="http://schemas.openxmlformats.org/officeDocument/2006/relationships/image" Target="../media/image49.png"/><Relationship Id="rId7" Type="http://schemas.openxmlformats.org/officeDocument/2006/relationships/image" Target="../media/image53.png"/><Relationship Id="rId2" Type="http://schemas.openxmlformats.org/officeDocument/2006/relationships/image" Target="../media/image48.png"/><Relationship Id="rId1" Type="http://schemas.openxmlformats.org/officeDocument/2006/relationships/image" Target="../media/image47.png"/><Relationship Id="rId6" Type="http://schemas.openxmlformats.org/officeDocument/2006/relationships/image" Target="../media/image52.png"/><Relationship Id="rId5" Type="http://schemas.openxmlformats.org/officeDocument/2006/relationships/image" Target="../media/image51.png"/><Relationship Id="rId4" Type="http://schemas.openxmlformats.org/officeDocument/2006/relationships/image" Target="../media/image50.png"/></Relationships>
</file>

<file path=xl/drawings/_rels/drawing17.xml.rels><?xml version="1.0" encoding="UTF-8" standalone="yes"?>
<Relationships xmlns="http://schemas.openxmlformats.org/package/2006/relationships"><Relationship Id="rId3" Type="http://schemas.openxmlformats.org/officeDocument/2006/relationships/image" Target="../media/image56.png"/><Relationship Id="rId2" Type="http://schemas.openxmlformats.org/officeDocument/2006/relationships/image" Target="../media/image55.png"/><Relationship Id="rId1" Type="http://schemas.openxmlformats.org/officeDocument/2006/relationships/image" Target="../media/image54.png"/><Relationship Id="rId6" Type="http://schemas.openxmlformats.org/officeDocument/2006/relationships/image" Target="../media/image59.png"/><Relationship Id="rId5" Type="http://schemas.openxmlformats.org/officeDocument/2006/relationships/image" Target="../media/image58.png"/><Relationship Id="rId4" Type="http://schemas.openxmlformats.org/officeDocument/2006/relationships/image" Target="../media/image57.png"/></Relationships>
</file>

<file path=xl/drawings/_rels/drawing18.xml.rels><?xml version="1.0" encoding="UTF-8" standalone="yes"?>
<Relationships xmlns="http://schemas.openxmlformats.org/package/2006/relationships"><Relationship Id="rId3" Type="http://schemas.openxmlformats.org/officeDocument/2006/relationships/image" Target="../media/image62.png"/><Relationship Id="rId2" Type="http://schemas.openxmlformats.org/officeDocument/2006/relationships/image" Target="../media/image61.png"/><Relationship Id="rId1" Type="http://schemas.openxmlformats.org/officeDocument/2006/relationships/image" Target="../media/image60.png"/><Relationship Id="rId4" Type="http://schemas.openxmlformats.org/officeDocument/2006/relationships/image" Target="../media/image63.png"/></Relationships>
</file>

<file path=xl/drawings/drawing1.xml><?xml version="1.0" encoding="utf-8"?>
<xdr:wsDr xmlns:xdr="http://schemas.openxmlformats.org/drawingml/2006/spreadsheetDrawing" xmlns:a="http://schemas.openxmlformats.org/drawingml/2006/main">
  <xdr:oneCellAnchor>
    <xdr:from>
      <xdr:col>4</xdr:col>
      <xdr:colOff>1111623</xdr:colOff>
      <xdr:row>7</xdr:row>
      <xdr:rowOff>153520</xdr:rowOff>
    </xdr:from>
    <xdr:ext cx="3863788" cy="712439"/>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00000000-0008-0000-0000-000003000000}"/>
                </a:ext>
              </a:extLst>
            </xdr:cNvPr>
            <xdr:cNvSpPr txBox="1"/>
          </xdr:nvSpPr>
          <xdr:spPr>
            <a:xfrm>
              <a:off x="3854823" y="1487020"/>
              <a:ext cx="3863788" cy="71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US" sz="2800" b="0" i="1">
                      <a:latin typeface="Cambria Math"/>
                    </a:rPr>
                    <m:t>𝐸𝐴𝑅</m:t>
                  </m:r>
                  <m:r>
                    <a:rPr lang="en-US" sz="2800" b="0" i="1">
                      <a:latin typeface="Cambria Math"/>
                    </a:rPr>
                    <m:t>=</m:t>
                  </m:r>
                  <m:sSup>
                    <m:sSupPr>
                      <m:ctrlPr>
                        <a:rPr lang="en-US" sz="2800" b="0" i="1">
                          <a:latin typeface="Cambria Math" panose="02040503050406030204" pitchFamily="18" charset="0"/>
                        </a:rPr>
                      </m:ctrlPr>
                    </m:sSupPr>
                    <m:e>
                      <m:r>
                        <a:rPr lang="en-US" sz="2800" b="0" i="1">
                          <a:solidFill>
                            <a:schemeClr val="tx1"/>
                          </a:solidFill>
                          <a:effectLst/>
                          <a:latin typeface="Cambria Math"/>
                          <a:ea typeface="+mn-ea"/>
                          <a:cs typeface="+mn-cs"/>
                        </a:rPr>
                        <m:t>(1+</m:t>
                      </m:r>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𝑟</m:t>
                          </m:r>
                        </m:num>
                        <m:den>
                          <m:r>
                            <a:rPr lang="en-US" sz="2800" b="0" i="1">
                              <a:solidFill>
                                <a:schemeClr val="tx1"/>
                              </a:solidFill>
                              <a:effectLst/>
                              <a:latin typeface="Cambria Math"/>
                              <a:ea typeface="+mn-ea"/>
                              <a:cs typeface="+mn-cs"/>
                            </a:rPr>
                            <m:t>𝑛</m:t>
                          </m:r>
                        </m:den>
                      </m:f>
                      <m:r>
                        <m:rPr>
                          <m:nor/>
                        </m:rPr>
                        <a:rPr lang="en-US" sz="2800">
                          <a:solidFill>
                            <a:schemeClr val="tx1"/>
                          </a:solidFill>
                          <a:effectLst/>
                          <a:latin typeface="+mn-lt"/>
                          <a:ea typeface="+mn-ea"/>
                          <a:cs typeface="+mn-cs"/>
                        </a:rPr>
                        <m:t>)</m:t>
                      </m:r>
                      <m:r>
                        <m:rPr>
                          <m:nor/>
                        </m:rPr>
                        <a:rPr lang="ru-RU" sz="2800">
                          <a:effectLst/>
                        </a:rPr>
                        <m:t> </m:t>
                      </m:r>
                    </m:e>
                    <m:sup>
                      <m:r>
                        <a:rPr lang="en-US" sz="2800" b="0" i="1">
                          <a:latin typeface="Cambria Math"/>
                        </a:rPr>
                        <m:t>𝑛</m:t>
                      </m:r>
                    </m:sup>
                  </m:sSup>
                </m:oMath>
              </a14:m>
              <a:r>
                <a:rPr lang="en-US" sz="2800"/>
                <a:t>-1</a:t>
              </a:r>
              <a:endParaRPr lang="ru-RU" sz="2800"/>
            </a:p>
          </xdr:txBody>
        </xdr:sp>
      </mc:Choice>
      <mc:Fallback>
        <xdr:sp macro="" textlink="">
          <xdr:nvSpPr>
            <xdr:cNvPr id="2" name="TextBox 1">
              <a:extLst>
                <a:ext uri="{FF2B5EF4-FFF2-40B4-BE49-F238E27FC236}">
                  <a16:creationId xmlns:a16="http://schemas.microsoft.com/office/drawing/2014/main" id="{00000000-0008-0000-0000-000003000000}"/>
                </a:ext>
              </a:extLst>
            </xdr:cNvPr>
            <xdr:cNvSpPr txBox="1"/>
          </xdr:nvSpPr>
          <xdr:spPr>
            <a:xfrm>
              <a:off x="3854823" y="1487020"/>
              <a:ext cx="3863788" cy="71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0" i="0">
                  <a:latin typeface="Cambria Math"/>
                </a:rPr>
                <a:t>𝐸𝐴𝑅=</a:t>
              </a:r>
              <a:r>
                <a:rPr lang="en-US" sz="2800" b="0" i="0">
                  <a:latin typeface="Cambria Math" panose="02040503050406030204" pitchFamily="18" charset="0"/>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𝑛</a:t>
              </a:r>
              <a:r>
                <a:rPr lang="en-US" sz="2800" b="0" i="0">
                  <a:solidFill>
                    <a:schemeClr val="tx1"/>
                  </a:solidFill>
                  <a:effectLst/>
                  <a:latin typeface="+mn-lt"/>
                  <a:ea typeface="+mn-ea"/>
                  <a:cs typeface="+mn-cs"/>
                </a:rPr>
                <a:t> "</a:t>
              </a:r>
              <a:r>
                <a:rPr lang="en-US" sz="2800" i="0">
                  <a:solidFill>
                    <a:schemeClr val="tx1"/>
                  </a:solidFill>
                  <a:effectLst/>
                  <a:latin typeface="+mn-lt"/>
                  <a:ea typeface="+mn-ea"/>
                  <a:cs typeface="+mn-cs"/>
                </a:rPr>
                <a:t>)</a:t>
              </a:r>
              <a:r>
                <a:rPr lang="ru-RU" sz="2800" i="0">
                  <a:effectLst/>
                </a:rPr>
                <a:t> </a:t>
              </a:r>
              <a:r>
                <a:rPr lang="ru-RU" sz="2800" i="0">
                  <a:effectLst/>
                  <a:latin typeface="Cambria Math" panose="02040503050406030204" pitchFamily="18" charset="0"/>
                </a:rPr>
                <a:t>" </a:t>
              </a:r>
              <a:r>
                <a:rPr lang="en-US" sz="2800" b="0" i="0">
                  <a:effectLst/>
                  <a:latin typeface="Cambria Math" panose="02040503050406030204" pitchFamily="18" charset="0"/>
                </a:rPr>
                <a:t>〗^</a:t>
              </a:r>
              <a:r>
                <a:rPr lang="en-US" sz="2800" b="0" i="0">
                  <a:latin typeface="Cambria Math"/>
                </a:rPr>
                <a:t>𝑛</a:t>
              </a:r>
              <a:r>
                <a:rPr lang="en-US" sz="2800"/>
                <a:t>-1</a:t>
              </a:r>
              <a:endParaRPr lang="ru-RU" sz="2800"/>
            </a:p>
          </xdr:txBody>
        </xdr:sp>
      </mc:Fallback>
    </mc:AlternateContent>
    <xdr:clientData/>
  </xdr:oneCellAnchor>
  <xdr:oneCellAnchor>
    <xdr:from>
      <xdr:col>4</xdr:col>
      <xdr:colOff>472888</xdr:colOff>
      <xdr:row>28</xdr:row>
      <xdr:rowOff>231961</xdr:rowOff>
    </xdr:from>
    <xdr:ext cx="3863788" cy="544701"/>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0000000-0008-0000-0000-000014000000}"/>
                </a:ext>
              </a:extLst>
            </xdr:cNvPr>
            <xdr:cNvSpPr txBox="1"/>
          </xdr:nvSpPr>
          <xdr:spPr>
            <a:xfrm>
              <a:off x="3558988" y="5527861"/>
              <a:ext cx="3863788" cy="544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US" sz="2800" b="0" i="1">
                      <a:latin typeface="Cambria Math"/>
                    </a:rPr>
                    <m:t>𝐸𝐴𝑅</m:t>
                  </m:r>
                  <m:r>
                    <a:rPr lang="en-US" sz="2800" b="0" i="1">
                      <a:latin typeface="Cambria Math"/>
                    </a:rPr>
                    <m:t>=</m:t>
                  </m:r>
                  <m:sSup>
                    <m:sSupPr>
                      <m:ctrlPr>
                        <a:rPr lang="en-US" sz="2800" b="0" i="1">
                          <a:latin typeface="Cambria Math" panose="02040503050406030204" pitchFamily="18" charset="0"/>
                        </a:rPr>
                      </m:ctrlPr>
                    </m:sSupPr>
                    <m:e>
                      <m:r>
                        <a:rPr lang="de-DE" sz="2800" b="0" i="1">
                          <a:latin typeface="Cambria Math"/>
                        </a:rPr>
                        <m:t>𝑒</m:t>
                      </m:r>
                      <m:r>
                        <m:rPr>
                          <m:nor/>
                        </m:rPr>
                        <a:rPr lang="ru-RU" sz="2800">
                          <a:effectLst/>
                        </a:rPr>
                        <m:t> </m:t>
                      </m:r>
                    </m:e>
                    <m:sup>
                      <m:r>
                        <a:rPr lang="de-DE" sz="2800" b="0" i="1">
                          <a:latin typeface="Cambria Math"/>
                        </a:rPr>
                        <m:t>𝑟</m:t>
                      </m:r>
                    </m:sup>
                  </m:sSup>
                </m:oMath>
              </a14:m>
              <a:r>
                <a:rPr lang="en-US" sz="2800"/>
                <a:t>-1</a:t>
              </a:r>
              <a:endParaRPr lang="ru-RU" sz="2800"/>
            </a:p>
          </xdr:txBody>
        </xdr:sp>
      </mc:Choice>
      <mc:Fallback>
        <xdr:sp macro="" textlink="">
          <xdr:nvSpPr>
            <xdr:cNvPr id="3" name="TextBox 2">
              <a:extLst>
                <a:ext uri="{FF2B5EF4-FFF2-40B4-BE49-F238E27FC236}">
                  <a16:creationId xmlns:a16="http://schemas.microsoft.com/office/drawing/2014/main" id="{00000000-0008-0000-0000-000014000000}"/>
                </a:ext>
              </a:extLst>
            </xdr:cNvPr>
            <xdr:cNvSpPr txBox="1"/>
          </xdr:nvSpPr>
          <xdr:spPr>
            <a:xfrm>
              <a:off x="3558988" y="5527861"/>
              <a:ext cx="3863788" cy="544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0" i="0">
                  <a:latin typeface="Cambria Math"/>
                </a:rPr>
                <a:t>𝐸𝐴𝑅=</a:t>
              </a:r>
              <a:r>
                <a:rPr lang="en-US" sz="2800" b="0" i="0">
                  <a:latin typeface="Cambria Math" panose="02040503050406030204" pitchFamily="18" charset="0"/>
                </a:rPr>
                <a:t>〖</a:t>
              </a:r>
              <a:r>
                <a:rPr lang="de-DE" sz="2800" b="0" i="0">
                  <a:latin typeface="Cambria Math"/>
                </a:rPr>
                <a:t>𝑒</a:t>
              </a:r>
              <a:r>
                <a:rPr lang="ru-RU" sz="2800" b="0" i="0">
                  <a:effectLst/>
                  <a:latin typeface="Cambria Math"/>
                </a:rPr>
                <a:t>"</a:t>
              </a:r>
              <a:r>
                <a:rPr lang="ru-RU" sz="2800" i="0">
                  <a:effectLst/>
                </a:rPr>
                <a:t> </a:t>
              </a:r>
              <a:r>
                <a:rPr lang="ru-RU" sz="2800" i="0">
                  <a:effectLst/>
                  <a:latin typeface="Cambria Math" panose="02040503050406030204" pitchFamily="18" charset="0"/>
                </a:rPr>
                <a:t>" </a:t>
              </a:r>
              <a:r>
                <a:rPr lang="en-US" sz="2800" b="0" i="0">
                  <a:effectLst/>
                  <a:latin typeface="Cambria Math" panose="02040503050406030204" pitchFamily="18" charset="0"/>
                </a:rPr>
                <a:t>〗^</a:t>
              </a:r>
              <a:r>
                <a:rPr lang="de-DE" sz="2800" b="0" i="0">
                  <a:latin typeface="Cambria Math"/>
                </a:rPr>
                <a:t>𝑟</a:t>
              </a:r>
              <a:r>
                <a:rPr lang="en-US" sz="2800"/>
                <a:t>-1</a:t>
              </a:r>
              <a:endParaRPr lang="ru-RU" sz="2800"/>
            </a:p>
          </xdr:txBody>
        </xdr:sp>
      </mc:Fallback>
    </mc:AlternateContent>
    <xdr:clientData/>
  </xdr:oneCellAnchor>
  <xdr:oneCellAnchor>
    <xdr:from>
      <xdr:col>3</xdr:col>
      <xdr:colOff>962747</xdr:colOff>
      <xdr:row>58</xdr:row>
      <xdr:rowOff>150319</xdr:rowOff>
    </xdr:from>
    <xdr:ext cx="10399218" cy="962699"/>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00000000-0008-0000-0000-000015000000}"/>
                </a:ext>
              </a:extLst>
            </xdr:cNvPr>
            <xdr:cNvSpPr txBox="1"/>
          </xdr:nvSpPr>
          <xdr:spPr>
            <a:xfrm>
              <a:off x="3086822" y="11199319"/>
              <a:ext cx="10399218" cy="962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800" b="0" i="1">
                            <a:latin typeface="Cambria Math" panose="02040503050406030204" pitchFamily="18" charset="0"/>
                          </a:rPr>
                        </m:ctrlPr>
                      </m:sSubPr>
                      <m:e>
                        <m:r>
                          <a:rPr lang="en-US" sz="2800" b="0" i="1">
                            <a:latin typeface="Cambria Math"/>
                          </a:rPr>
                          <m:t>𝑃𝑉</m:t>
                        </m:r>
                      </m:e>
                      <m:sub>
                        <m:r>
                          <a:rPr lang="en-US" sz="2800" b="0" i="1">
                            <a:latin typeface="Cambria Math"/>
                          </a:rPr>
                          <m:t>𝑂𝑟𝑑𝑖𝑛𝑎𝑟𝑦</m:t>
                        </m:r>
                        <m:r>
                          <a:rPr lang="en-US" sz="2800" b="0" i="1">
                            <a:latin typeface="Cambria Math"/>
                          </a:rPr>
                          <m:t> </m:t>
                        </m:r>
                        <m:r>
                          <a:rPr lang="en-US" sz="2800" b="0" i="1">
                            <a:latin typeface="Cambria Math"/>
                          </a:rPr>
                          <m:t>𝑎𝑛𝑛𝑢𝑖𝑡𝑦</m:t>
                        </m:r>
                      </m:sub>
                    </m:sSub>
                    <m:r>
                      <a:rPr lang="en-US" sz="2800" b="0" i="1">
                        <a:latin typeface="Cambria Math"/>
                      </a:rPr>
                      <m:t>=230∗</m:t>
                    </m:r>
                    <m:d>
                      <m:dPr>
                        <m:begChr m:val="["/>
                        <m:endChr m:val="]"/>
                        <m:ctrlPr>
                          <a:rPr lang="en-US" sz="2800" b="0" i="1">
                            <a:latin typeface="Cambria Math" panose="02040503050406030204" pitchFamily="18" charset="0"/>
                          </a:rPr>
                        </m:ctrlPr>
                      </m:dPr>
                      <m:e>
                        <m:f>
                          <m:fPr>
                            <m:ctrlPr>
                              <a:rPr lang="en-US" sz="2800" b="0" i="1">
                                <a:latin typeface="Cambria Math" panose="02040503050406030204" pitchFamily="18" charset="0"/>
                              </a:rPr>
                            </m:ctrlPr>
                          </m:fPr>
                          <m:num>
                            <m:r>
                              <a:rPr lang="en-US" sz="2800" b="0" i="1">
                                <a:latin typeface="Cambria Math"/>
                              </a:rPr>
                              <m:t>1</m:t>
                            </m:r>
                          </m:num>
                          <m:den>
                            <m:r>
                              <a:rPr lang="en-US" sz="2800" b="0" i="1">
                                <a:latin typeface="Cambria Math"/>
                              </a:rPr>
                              <m:t>0,13</m:t>
                            </m:r>
                          </m:den>
                        </m:f>
                        <m:r>
                          <a:rPr lang="en-US" sz="2800" b="0" i="1">
                            <a:latin typeface="Cambria Math"/>
                          </a:rPr>
                          <m:t>−</m:t>
                        </m:r>
                        <m:f>
                          <m:fPr>
                            <m:ctrlPr>
                              <a:rPr lang="en-US" sz="2800" b="0" i="1">
                                <a:latin typeface="Cambria Math" panose="02040503050406030204" pitchFamily="18" charset="0"/>
                              </a:rPr>
                            </m:ctrlPr>
                          </m:fPr>
                          <m:num>
                            <m:r>
                              <a:rPr lang="en-US" sz="2800" b="0" i="1">
                                <a:latin typeface="Cambria Math"/>
                              </a:rPr>
                              <m:t>1</m:t>
                            </m:r>
                          </m:num>
                          <m:den>
                            <m:r>
                              <a:rPr lang="en-US" sz="2800" b="0" i="1">
                                <a:latin typeface="Cambria Math"/>
                              </a:rPr>
                              <m:t>0,13∗</m:t>
                            </m:r>
                            <m:sSup>
                              <m:sSupPr>
                                <m:ctrlPr>
                                  <a:rPr lang="en-US" sz="2800" b="0" i="1">
                                    <a:latin typeface="Cambria Math" panose="02040503050406030204" pitchFamily="18" charset="0"/>
                                  </a:rPr>
                                </m:ctrlPr>
                              </m:sSupPr>
                              <m:e>
                                <m:d>
                                  <m:dPr>
                                    <m:ctrlPr>
                                      <a:rPr lang="en-US" sz="2800" b="0" i="1">
                                        <a:latin typeface="Cambria Math" panose="02040503050406030204" pitchFamily="18" charset="0"/>
                                      </a:rPr>
                                    </m:ctrlPr>
                                  </m:dPr>
                                  <m:e>
                                    <m:r>
                                      <a:rPr lang="en-US" sz="2800" b="0" i="1">
                                        <a:latin typeface="Cambria Math"/>
                                      </a:rPr>
                                      <m:t>1+0,13</m:t>
                                    </m:r>
                                  </m:e>
                                </m:d>
                              </m:e>
                              <m:sup>
                                <m:r>
                                  <a:rPr lang="en-US" sz="2800" b="0" i="1">
                                    <a:latin typeface="Cambria Math"/>
                                  </a:rPr>
                                  <m:t>18</m:t>
                                </m:r>
                              </m:sup>
                            </m:sSup>
                          </m:den>
                        </m:f>
                      </m:e>
                    </m:d>
                  </m:oMath>
                </m:oMathPara>
              </a14:m>
              <a:endParaRPr lang="ru-RU" sz="2800"/>
            </a:p>
          </xdr:txBody>
        </xdr:sp>
      </mc:Choice>
      <mc:Fallback>
        <xdr:sp macro="" textlink="">
          <xdr:nvSpPr>
            <xdr:cNvPr id="4" name="TextBox 3">
              <a:extLst>
                <a:ext uri="{FF2B5EF4-FFF2-40B4-BE49-F238E27FC236}">
                  <a16:creationId xmlns:a16="http://schemas.microsoft.com/office/drawing/2014/main" id="{00000000-0008-0000-0000-000015000000}"/>
                </a:ext>
              </a:extLst>
            </xdr:cNvPr>
            <xdr:cNvSpPr txBox="1"/>
          </xdr:nvSpPr>
          <xdr:spPr>
            <a:xfrm>
              <a:off x="3086822" y="11199319"/>
              <a:ext cx="10399218" cy="962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800" b="0" i="0">
                  <a:latin typeface="Cambria Math" panose="02040503050406030204" pitchFamily="18" charset="0"/>
                </a:rPr>
                <a:t>〖</a:t>
              </a:r>
              <a:r>
                <a:rPr lang="en-US" sz="2800" b="0" i="0">
                  <a:latin typeface="Cambria Math"/>
                </a:rPr>
                <a:t>𝑃𝑉</a:t>
              </a:r>
              <a:r>
                <a:rPr lang="en-US" sz="2800" b="0" i="0">
                  <a:latin typeface="Cambria Math" panose="02040503050406030204" pitchFamily="18" charset="0"/>
                </a:rPr>
                <a:t>〗_(</a:t>
              </a:r>
              <a:r>
                <a:rPr lang="en-US" sz="2800" b="0" i="0">
                  <a:latin typeface="Cambria Math"/>
                </a:rPr>
                <a:t>𝑂𝑟𝑑𝑖𝑛𝑎𝑟𝑦 𝑎𝑛𝑛𝑢𝑖𝑡𝑦</a:t>
              </a:r>
              <a:r>
                <a:rPr lang="en-US" sz="2800" b="0" i="0">
                  <a:latin typeface="Cambria Math" panose="02040503050406030204" pitchFamily="18" charset="0"/>
                </a:rPr>
                <a:t>)</a:t>
              </a:r>
              <a:r>
                <a:rPr lang="en-US" sz="2800" b="0" i="0">
                  <a:latin typeface="Cambria Math"/>
                </a:rPr>
                <a:t>=230∗</a:t>
              </a:r>
              <a:r>
                <a:rPr lang="en-US" sz="2800" b="0" i="0">
                  <a:latin typeface="Cambria Math" panose="02040503050406030204" pitchFamily="18" charset="0"/>
                </a:rPr>
                <a:t>[</a:t>
              </a:r>
              <a:r>
                <a:rPr lang="en-US" sz="2800" b="0" i="0">
                  <a:latin typeface="Cambria Math"/>
                </a:rPr>
                <a:t>1</a:t>
              </a:r>
              <a:r>
                <a:rPr lang="en-US" sz="2800" b="0" i="0">
                  <a:latin typeface="Cambria Math" panose="02040503050406030204" pitchFamily="18" charset="0"/>
                </a:rPr>
                <a:t>/</a:t>
              </a:r>
              <a:r>
                <a:rPr lang="en-US" sz="2800" b="0" i="0">
                  <a:latin typeface="Cambria Math"/>
                </a:rPr>
                <a:t>0,13−1</a:t>
              </a:r>
              <a:r>
                <a:rPr lang="en-US" sz="2800" b="0" i="0">
                  <a:latin typeface="Cambria Math" panose="02040503050406030204" pitchFamily="18" charset="0"/>
                </a:rPr>
                <a:t>/(</a:t>
              </a:r>
              <a:r>
                <a:rPr lang="en-US" sz="2800" b="0" i="0">
                  <a:latin typeface="Cambria Math"/>
                </a:rPr>
                <a:t>0,13∗</a:t>
              </a:r>
              <a:r>
                <a:rPr lang="en-US" sz="2800" b="0" i="0">
                  <a:latin typeface="Cambria Math" panose="02040503050406030204" pitchFamily="18" charset="0"/>
                </a:rPr>
                <a:t>(</a:t>
              </a:r>
              <a:r>
                <a:rPr lang="en-US" sz="2800" b="0" i="0">
                  <a:latin typeface="Cambria Math"/>
                </a:rPr>
                <a:t>1+0,13</a:t>
              </a:r>
              <a:r>
                <a:rPr lang="en-US" sz="2800" b="0" i="0">
                  <a:latin typeface="Cambria Math" panose="02040503050406030204" pitchFamily="18" charset="0"/>
                </a:rPr>
                <a:t>)^</a:t>
              </a:r>
              <a:r>
                <a:rPr lang="en-US" sz="2800" b="0" i="0">
                  <a:latin typeface="Cambria Math"/>
                </a:rPr>
                <a:t>18</a:t>
              </a:r>
              <a:r>
                <a:rPr lang="en-US" sz="2800" b="0" i="0">
                  <a:latin typeface="Cambria Math" panose="02040503050406030204" pitchFamily="18" charset="0"/>
                </a:rPr>
                <a:t> )]</a:t>
              </a:r>
              <a:endParaRPr lang="ru-RU" sz="2800"/>
            </a:p>
          </xdr:txBody>
        </xdr:sp>
      </mc:Fallback>
    </mc:AlternateContent>
    <xdr:clientData/>
  </xdr:oneCellAnchor>
  <xdr:oneCellAnchor>
    <xdr:from>
      <xdr:col>4</xdr:col>
      <xdr:colOff>468084</xdr:colOff>
      <xdr:row>87</xdr:row>
      <xdr:rowOff>93889</xdr:rowOff>
    </xdr:from>
    <xdr:ext cx="9138557" cy="1215013"/>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00000000-0008-0000-0000-000004000000}"/>
                </a:ext>
              </a:extLst>
            </xdr:cNvPr>
            <xdr:cNvSpPr txBox="1"/>
          </xdr:nvSpPr>
          <xdr:spPr>
            <a:xfrm>
              <a:off x="3554184" y="16667389"/>
              <a:ext cx="9138557" cy="12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𝑃𝑉</m:t>
                        </m:r>
                      </m:e>
                      <m:sub>
                        <m:r>
                          <a:rPr lang="en-US" sz="2800" b="0" i="1">
                            <a:latin typeface="Cambria Math"/>
                          </a:rPr>
                          <m:t>𝐺𝑟𝑜𝑤𝑖𝑛𝑔</m:t>
                        </m:r>
                        <m:r>
                          <a:rPr lang="en-US" sz="2800" b="0" i="1">
                            <a:latin typeface="Cambria Math"/>
                          </a:rPr>
                          <m:t> </m:t>
                        </m:r>
                        <m:r>
                          <a:rPr lang="en-US" sz="2800" b="0" i="1">
                            <a:latin typeface="Cambria Math"/>
                          </a:rPr>
                          <m:t>𝑎𝑛𝑛𝑢𝑖𝑡𝑦</m:t>
                        </m:r>
                      </m:sub>
                    </m:sSub>
                    <m:r>
                      <a:rPr lang="en-US" sz="2800" b="0" i="1">
                        <a:latin typeface="Cambria Math"/>
                      </a:rPr>
                      <m:t>=</m:t>
                    </m:r>
                    <m:sSub>
                      <m:sSubPr>
                        <m:ctrlPr>
                          <a:rPr lang="en-US" sz="2800" b="0" i="1">
                            <a:latin typeface="Cambria Math" panose="02040503050406030204" pitchFamily="18" charset="0"/>
                          </a:rPr>
                        </m:ctrlPr>
                      </m:sSubPr>
                      <m:e>
                        <m:r>
                          <a:rPr lang="en-US" sz="2800" b="0" i="1">
                            <a:latin typeface="Cambria Math"/>
                          </a:rPr>
                          <m:t>𝑃𝑀𝑇</m:t>
                        </m:r>
                      </m:e>
                      <m:sub>
                        <m:r>
                          <a:rPr lang="en-US" sz="2800" b="0" i="1">
                            <a:latin typeface="Cambria Math"/>
                          </a:rPr>
                          <m:t>1</m:t>
                        </m:r>
                      </m:sub>
                    </m:sSub>
                    <m:r>
                      <a:rPr lang="en-US" sz="2800" b="0" i="1">
                        <a:latin typeface="Cambria Math"/>
                      </a:rPr>
                      <m:t>∗</m:t>
                    </m:r>
                    <m:d>
                      <m:dPr>
                        <m:begChr m:val="["/>
                        <m:endChr m:val="]"/>
                        <m:ctrlPr>
                          <a:rPr lang="en-US" sz="2800" b="0" i="1">
                            <a:latin typeface="Cambria Math" panose="02040503050406030204" pitchFamily="18" charset="0"/>
                          </a:rPr>
                        </m:ctrlPr>
                      </m:dPr>
                      <m:e>
                        <m:f>
                          <m:fPr>
                            <m:ctrlPr>
                              <a:rPr lang="en-US" sz="2800" b="0" i="1">
                                <a:latin typeface="Cambria Math" panose="02040503050406030204" pitchFamily="18" charset="0"/>
                              </a:rPr>
                            </m:ctrlPr>
                          </m:fPr>
                          <m:num>
                            <m:r>
                              <a:rPr lang="en-US" sz="2800" b="0" i="1">
                                <a:latin typeface="Cambria Math"/>
                              </a:rPr>
                              <m:t>1</m:t>
                            </m:r>
                          </m:num>
                          <m:den>
                            <m:r>
                              <a:rPr lang="en-US" sz="2800" b="0" i="1">
                                <a:latin typeface="Cambria Math"/>
                              </a:rPr>
                              <m:t>𝑟</m:t>
                            </m:r>
                            <m:r>
                              <a:rPr lang="en-US" sz="2800" b="0" i="1">
                                <a:latin typeface="Cambria Math"/>
                              </a:rPr>
                              <m:t>−</m:t>
                            </m:r>
                            <m:r>
                              <a:rPr lang="en-US" sz="2800" b="0" i="1">
                                <a:latin typeface="Cambria Math"/>
                              </a:rPr>
                              <m:t>𝑔</m:t>
                            </m:r>
                          </m:den>
                        </m:f>
                        <m:r>
                          <a:rPr lang="en-US" sz="2800" b="0" i="1">
                            <a:latin typeface="Cambria Math"/>
                          </a:rPr>
                          <m:t>−</m:t>
                        </m:r>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m:t>
                            </m:r>
                          </m:num>
                          <m:den>
                            <m:r>
                              <a:rPr lang="en-US" sz="2800" b="0" i="1">
                                <a:solidFill>
                                  <a:schemeClr val="tx1"/>
                                </a:solidFill>
                                <a:effectLst/>
                                <a:latin typeface="Cambria Math"/>
                                <a:ea typeface="+mn-ea"/>
                                <a:cs typeface="+mn-cs"/>
                              </a:rPr>
                              <m:t>𝑟</m:t>
                            </m:r>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𝑔</m:t>
                            </m:r>
                          </m:den>
                        </m:f>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𝑔</m:t>
                                    </m:r>
                                  </m:num>
                                  <m:den>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den>
                                </m:f>
                              </m:e>
                            </m:d>
                          </m:e>
                          <m:sup>
                            <m:r>
                              <a:rPr lang="en-US" sz="2800" b="0" i="1">
                                <a:solidFill>
                                  <a:schemeClr val="tx1"/>
                                </a:solidFill>
                                <a:effectLst/>
                                <a:latin typeface="Cambria Math"/>
                                <a:ea typeface="+mn-ea"/>
                                <a:cs typeface="+mn-cs"/>
                              </a:rPr>
                              <m:t>𝑡</m:t>
                            </m:r>
                          </m:sup>
                        </m:sSup>
                      </m:e>
                    </m:d>
                  </m:oMath>
                </m:oMathPara>
              </a14:m>
              <a:endParaRPr lang="ru-RU" sz="2800"/>
            </a:p>
          </xdr:txBody>
        </xdr:sp>
      </mc:Choice>
      <mc:Fallback>
        <xdr:sp macro="" textlink="">
          <xdr:nvSpPr>
            <xdr:cNvPr id="5" name="TextBox 4">
              <a:extLst>
                <a:ext uri="{FF2B5EF4-FFF2-40B4-BE49-F238E27FC236}">
                  <a16:creationId xmlns:a16="http://schemas.microsoft.com/office/drawing/2014/main" id="{00000000-0008-0000-0000-000004000000}"/>
                </a:ext>
              </a:extLst>
            </xdr:cNvPr>
            <xdr:cNvSpPr txBox="1"/>
          </xdr:nvSpPr>
          <xdr:spPr>
            <a:xfrm>
              <a:off x="3554184" y="16667389"/>
              <a:ext cx="9138557" cy="12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800" i="0">
                  <a:latin typeface="Cambria Math" panose="02040503050406030204" pitchFamily="18" charset="0"/>
                </a:rPr>
                <a:t>〖</a:t>
              </a:r>
              <a:r>
                <a:rPr lang="en-US" sz="2800" b="0" i="0">
                  <a:latin typeface="Cambria Math"/>
                </a:rPr>
                <a:t>𝑃𝑉</a:t>
              </a:r>
              <a:r>
                <a:rPr lang="ru-RU" sz="2800" b="0" i="0">
                  <a:latin typeface="Cambria Math" panose="02040503050406030204" pitchFamily="18" charset="0"/>
                </a:rPr>
                <a:t>〗_(</a:t>
              </a:r>
              <a:r>
                <a:rPr lang="en-US" sz="2800" b="0" i="0">
                  <a:latin typeface="Cambria Math"/>
                </a:rPr>
                <a:t>𝐺𝑟𝑜𝑤𝑖𝑛𝑔 𝑎𝑛𝑛𝑢𝑖𝑡𝑦</a:t>
              </a:r>
              <a:r>
                <a:rPr lang="ru-RU" sz="2800" b="0" i="0">
                  <a:latin typeface="Cambria Math" panose="02040503050406030204" pitchFamily="18" charset="0"/>
                </a:rPr>
                <a:t>)</a:t>
              </a:r>
              <a:r>
                <a:rPr lang="en-US" sz="2800" b="0" i="0">
                  <a:latin typeface="Cambria Math"/>
                </a:rPr>
                <a:t>=</a:t>
              </a:r>
              <a:r>
                <a:rPr lang="en-US" sz="2800" b="0" i="0">
                  <a:latin typeface="Cambria Math" panose="02040503050406030204" pitchFamily="18" charset="0"/>
                </a:rPr>
                <a:t>〖</a:t>
              </a:r>
              <a:r>
                <a:rPr lang="en-US" sz="2800" b="0" i="0">
                  <a:latin typeface="Cambria Math"/>
                </a:rPr>
                <a:t>𝑃𝑀𝑇</a:t>
              </a:r>
              <a:r>
                <a:rPr lang="en-US" sz="2800" b="0" i="0">
                  <a:latin typeface="Cambria Math" panose="02040503050406030204" pitchFamily="18" charset="0"/>
                </a:rPr>
                <a:t>〗_</a:t>
              </a:r>
              <a:r>
                <a:rPr lang="en-US" sz="2800" b="0" i="0">
                  <a:latin typeface="Cambria Math"/>
                </a:rPr>
                <a:t>1∗</a:t>
              </a:r>
              <a:r>
                <a:rPr lang="en-US" sz="2800" b="0" i="0">
                  <a:latin typeface="Cambria Math" panose="02040503050406030204" pitchFamily="18" charset="0"/>
                </a:rPr>
                <a:t>[</a:t>
              </a:r>
              <a:r>
                <a:rPr lang="en-US" sz="2800" b="0" i="0">
                  <a:latin typeface="Cambria Math"/>
                </a:rPr>
                <a:t>1</a:t>
              </a:r>
              <a:r>
                <a:rPr lang="en-US" sz="2800" b="0" i="0">
                  <a:latin typeface="Cambria Math" panose="02040503050406030204" pitchFamily="18" charset="0"/>
                </a:rPr>
                <a:t>/(</a:t>
              </a:r>
              <a:r>
                <a:rPr lang="en-US" sz="2800" b="0" i="0">
                  <a:latin typeface="Cambria Math"/>
                </a:rPr>
                <a:t>𝑟−𝑔</a:t>
              </a:r>
              <a:r>
                <a:rPr lang="en-US" sz="2800" b="0" i="0">
                  <a:latin typeface="Cambria Math" panose="02040503050406030204" pitchFamily="18" charset="0"/>
                </a:rPr>
                <a:t>)</a:t>
              </a:r>
              <a:r>
                <a:rPr lang="en-US" sz="2800" b="0" i="0">
                  <a:latin typeface="Cambria Math"/>
                </a:rPr>
                <a:t>−</a:t>
              </a:r>
              <a:r>
                <a:rPr lang="en-US" sz="2800" b="0" i="0">
                  <a:solidFill>
                    <a:schemeClr val="tx1"/>
                  </a:solidFill>
                  <a:effectLst/>
                  <a:latin typeface="Cambria Math"/>
                  <a:ea typeface="+mn-ea"/>
                  <a:cs typeface="+mn-cs"/>
                </a:rPr>
                <a:t>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𝑟−𝑔</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1+𝑔</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𝑡</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5</xdr:col>
      <xdr:colOff>507670</xdr:colOff>
      <xdr:row>110</xdr:row>
      <xdr:rowOff>187903</xdr:rowOff>
    </xdr:from>
    <xdr:ext cx="5155375" cy="566052"/>
    <mc:AlternateContent xmlns:mc="http://schemas.openxmlformats.org/markup-compatibility/2006">
      <mc:Choice xmlns:a14="http://schemas.microsoft.com/office/drawing/2010/main" Requires="a14">
        <xdr:sp macro="" textlink="">
          <xdr:nvSpPr>
            <xdr:cNvPr id="6" name="TextBox 5">
              <a:extLst>
                <a:ext uri="{FF2B5EF4-FFF2-40B4-BE49-F238E27FC236}">
                  <a16:creationId xmlns:a16="http://schemas.microsoft.com/office/drawing/2014/main" id="{00000000-0008-0000-0000-000017000000}"/>
                </a:ext>
              </a:extLst>
            </xdr:cNvPr>
            <xdr:cNvSpPr txBox="1"/>
          </xdr:nvSpPr>
          <xdr:spPr>
            <a:xfrm>
              <a:off x="4365295" y="21142903"/>
              <a:ext cx="5155375" cy="566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𝐹𝑉</m:t>
                      </m:r>
                    </m:e>
                    <m:sub>
                      <m:r>
                        <a:rPr lang="en-US" sz="2800" b="0" i="1">
                          <a:latin typeface="Cambria Math"/>
                        </a:rPr>
                        <m:t>𝑎𝑛𝑛𝑢𝑖𝑡𝑦</m:t>
                      </m:r>
                    </m:sub>
                  </m:sSub>
                  <m:r>
                    <a:rPr lang="en-US" sz="2800" b="0" i="1">
                      <a:latin typeface="Cambria Math"/>
                    </a:rPr>
                    <m:t>=</m:t>
                  </m:r>
                  <m:sSub>
                    <m:sSubPr>
                      <m:ctrlPr>
                        <a:rPr lang="ru-RU" sz="280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a:ea typeface="+mn-ea"/>
                          <a:cs typeface="+mn-cs"/>
                        </a:rPr>
                        <m:t>𝑃𝑉</m:t>
                      </m:r>
                    </m:e>
                    <m:sub>
                      <m:r>
                        <a:rPr lang="en-US" sz="2800" b="0" i="1">
                          <a:solidFill>
                            <a:schemeClr val="tx1"/>
                          </a:solidFill>
                          <a:effectLst/>
                          <a:latin typeface="Cambria Math"/>
                          <a:ea typeface="+mn-ea"/>
                          <a:cs typeface="+mn-cs"/>
                        </a:rPr>
                        <m:t>𝑎𝑛𝑛𝑢𝑖𝑡𝑦</m:t>
                      </m:r>
                    </m:sub>
                  </m:sSub>
                </m:oMath>
              </a14:m>
              <a:r>
                <a:rPr lang="en-US" sz="2800"/>
                <a:t>*</a:t>
              </a:r>
              <a14:m>
                <m:oMath xmlns:m="http://schemas.openxmlformats.org/officeDocument/2006/math">
                  <m:sSup>
                    <m:sSupPr>
                      <m:ctrlPr>
                        <a:rPr lang="en-US" sz="2800" i="1">
                          <a:latin typeface="Cambria Math" panose="02040503050406030204" pitchFamily="18" charset="0"/>
                        </a:rPr>
                      </m:ctrlPr>
                    </m:sSupPr>
                    <m:e>
                      <m:d>
                        <m:dPr>
                          <m:ctrlPr>
                            <a:rPr lang="en-US" sz="2800" i="1">
                              <a:latin typeface="Cambria Math" panose="02040503050406030204" pitchFamily="18" charset="0"/>
                            </a:rPr>
                          </m:ctrlPr>
                        </m:dPr>
                        <m:e>
                          <m:r>
                            <a:rPr lang="en-US" sz="2800" b="0" i="1">
                              <a:latin typeface="Cambria Math"/>
                            </a:rPr>
                            <m:t>1+</m:t>
                          </m:r>
                          <m:r>
                            <a:rPr lang="en-US" sz="2800" b="0" i="1">
                              <a:latin typeface="Cambria Math"/>
                            </a:rPr>
                            <m:t>𝑟</m:t>
                          </m:r>
                        </m:e>
                      </m:d>
                    </m:e>
                    <m:sup>
                      <m:r>
                        <a:rPr lang="en-US" sz="2800" b="0" i="1">
                          <a:latin typeface="Cambria Math"/>
                        </a:rPr>
                        <m:t>𝑡</m:t>
                      </m:r>
                    </m:sup>
                  </m:sSup>
                </m:oMath>
              </a14:m>
              <a:endParaRPr lang="ru-RU" sz="2800"/>
            </a:p>
          </xdr:txBody>
        </xdr:sp>
      </mc:Choice>
      <mc:Fallback>
        <xdr:sp macro="" textlink="">
          <xdr:nvSpPr>
            <xdr:cNvPr id="6" name="TextBox 5">
              <a:extLst>
                <a:ext uri="{FF2B5EF4-FFF2-40B4-BE49-F238E27FC236}">
                  <a16:creationId xmlns:a16="http://schemas.microsoft.com/office/drawing/2014/main" id="{00000000-0008-0000-0000-000017000000}"/>
                </a:ext>
              </a:extLst>
            </xdr:cNvPr>
            <xdr:cNvSpPr txBox="1"/>
          </xdr:nvSpPr>
          <xdr:spPr>
            <a:xfrm>
              <a:off x="4365295" y="21142903"/>
              <a:ext cx="5155375" cy="566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2800" i="0">
                  <a:latin typeface="Cambria Math" panose="02040503050406030204" pitchFamily="18" charset="0"/>
                </a:rPr>
                <a:t>〖</a:t>
              </a:r>
              <a:r>
                <a:rPr lang="en-US" sz="2800" b="0" i="0">
                  <a:latin typeface="Cambria Math"/>
                </a:rPr>
                <a:t>𝐹𝑉</a:t>
              </a:r>
              <a:r>
                <a:rPr lang="ru-RU" sz="2800" b="0" i="0">
                  <a:latin typeface="Cambria Math" panose="02040503050406030204" pitchFamily="18" charset="0"/>
                </a:rPr>
                <a:t>〗_</a:t>
              </a:r>
              <a:r>
                <a:rPr lang="en-US" sz="2800" b="0" i="0">
                  <a:latin typeface="Cambria Math"/>
                </a:rPr>
                <a:t>𝑎𝑛𝑛𝑢𝑖𝑡𝑦=</a:t>
              </a:r>
              <a:r>
                <a:rPr lang="ru-RU" sz="280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𝑃𝑉</a:t>
              </a:r>
              <a:r>
                <a:rPr lang="ru-RU" sz="2800" b="0" i="0">
                  <a:solidFill>
                    <a:schemeClr val="tx1"/>
                  </a:solidFill>
                  <a:effectLst/>
                  <a:latin typeface="Cambria Math" panose="02040503050406030204" pitchFamily="18" charset="0"/>
                  <a:ea typeface="+mn-ea"/>
                  <a:cs typeface="+mn-cs"/>
                </a:rPr>
                <a:t>〗_</a:t>
              </a:r>
              <a:r>
                <a:rPr lang="en-US" sz="2800" b="0" i="0">
                  <a:solidFill>
                    <a:schemeClr val="tx1"/>
                  </a:solidFill>
                  <a:effectLst/>
                  <a:latin typeface="Cambria Math"/>
                  <a:ea typeface="+mn-ea"/>
                  <a:cs typeface="+mn-cs"/>
                </a:rPr>
                <a:t>𝑎𝑛𝑛𝑢𝑖𝑡𝑦</a:t>
              </a:r>
              <a:r>
                <a:rPr lang="en-US" sz="2800"/>
                <a:t>*</a:t>
              </a:r>
              <a:r>
                <a:rPr lang="en-US" sz="2800" i="0">
                  <a:latin typeface="Cambria Math" panose="02040503050406030204" pitchFamily="18" charset="0"/>
                </a:rPr>
                <a:t>(</a:t>
              </a:r>
              <a:r>
                <a:rPr lang="en-US" sz="2800" b="0" i="0">
                  <a:latin typeface="Cambria Math"/>
                </a:rPr>
                <a:t>1+𝑟</a:t>
              </a:r>
              <a:r>
                <a:rPr lang="en-US" sz="2800" b="0" i="0">
                  <a:latin typeface="Cambria Math" panose="02040503050406030204" pitchFamily="18" charset="0"/>
                </a:rPr>
                <a:t>)^</a:t>
              </a:r>
              <a:r>
                <a:rPr lang="en-US" sz="2800" b="0" i="0">
                  <a:latin typeface="Cambria Math"/>
                </a:rPr>
                <a:t>𝑡</a:t>
              </a:r>
              <a:endParaRPr lang="ru-RU" sz="2800"/>
            </a:p>
          </xdr:txBody>
        </xdr:sp>
      </mc:Fallback>
    </mc:AlternateContent>
    <xdr:clientData/>
  </xdr:oneCellAnchor>
  <xdr:oneCellAnchor>
    <xdr:from>
      <xdr:col>3</xdr:col>
      <xdr:colOff>1611084</xdr:colOff>
      <xdr:row>104</xdr:row>
      <xdr:rowOff>180479</xdr:rowOff>
    </xdr:from>
    <xdr:ext cx="9138557" cy="1215013"/>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00000000-0008-0000-0000-000018000000}"/>
                </a:ext>
              </a:extLst>
            </xdr:cNvPr>
            <xdr:cNvSpPr txBox="1"/>
          </xdr:nvSpPr>
          <xdr:spPr>
            <a:xfrm>
              <a:off x="3087459" y="19992479"/>
              <a:ext cx="9138557" cy="12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𝑃𝑉</m:t>
                        </m:r>
                      </m:e>
                      <m:sub>
                        <m:r>
                          <a:rPr lang="en-US" sz="2800" b="0" i="1">
                            <a:latin typeface="Cambria Math"/>
                          </a:rPr>
                          <m:t>𝐺𝑟𝑜𝑤𝑖𝑛𝑔</m:t>
                        </m:r>
                        <m:r>
                          <a:rPr lang="en-US" sz="2800" b="0" i="1">
                            <a:latin typeface="Cambria Math"/>
                          </a:rPr>
                          <m:t> </m:t>
                        </m:r>
                        <m:r>
                          <a:rPr lang="en-US" sz="2800" b="0" i="1">
                            <a:latin typeface="Cambria Math"/>
                          </a:rPr>
                          <m:t>𝑎𝑛𝑛𝑢𝑖𝑡𝑦</m:t>
                        </m:r>
                      </m:sub>
                    </m:sSub>
                    <m:r>
                      <a:rPr lang="en-US" sz="2800" b="0" i="1">
                        <a:latin typeface="Cambria Math"/>
                      </a:rPr>
                      <m:t>=</m:t>
                    </m:r>
                    <m:sSub>
                      <m:sSubPr>
                        <m:ctrlPr>
                          <a:rPr lang="en-US" sz="2800" b="0" i="1">
                            <a:latin typeface="Cambria Math" panose="02040503050406030204" pitchFamily="18" charset="0"/>
                          </a:rPr>
                        </m:ctrlPr>
                      </m:sSubPr>
                      <m:e>
                        <m:r>
                          <a:rPr lang="en-US" sz="2800" b="0" i="1">
                            <a:latin typeface="Cambria Math"/>
                          </a:rPr>
                          <m:t>𝑃𝑀𝑇</m:t>
                        </m:r>
                      </m:e>
                      <m:sub>
                        <m:r>
                          <a:rPr lang="en-US" sz="2800" b="0" i="1">
                            <a:latin typeface="Cambria Math"/>
                          </a:rPr>
                          <m:t>1</m:t>
                        </m:r>
                      </m:sub>
                    </m:sSub>
                    <m:r>
                      <a:rPr lang="en-US" sz="2800" b="0" i="1">
                        <a:latin typeface="Cambria Math"/>
                      </a:rPr>
                      <m:t>∗</m:t>
                    </m:r>
                    <m:d>
                      <m:dPr>
                        <m:begChr m:val="["/>
                        <m:endChr m:val="]"/>
                        <m:ctrlPr>
                          <a:rPr lang="en-US" sz="2800" b="0" i="1">
                            <a:latin typeface="Cambria Math" panose="02040503050406030204" pitchFamily="18" charset="0"/>
                          </a:rPr>
                        </m:ctrlPr>
                      </m:dPr>
                      <m:e>
                        <m:f>
                          <m:fPr>
                            <m:ctrlPr>
                              <a:rPr lang="en-US" sz="2800" b="0" i="1">
                                <a:latin typeface="Cambria Math" panose="02040503050406030204" pitchFamily="18" charset="0"/>
                              </a:rPr>
                            </m:ctrlPr>
                          </m:fPr>
                          <m:num>
                            <m:r>
                              <a:rPr lang="en-US" sz="2800" b="0" i="1">
                                <a:latin typeface="Cambria Math"/>
                              </a:rPr>
                              <m:t>1</m:t>
                            </m:r>
                          </m:num>
                          <m:den>
                            <m:r>
                              <a:rPr lang="en-US" sz="2800" b="0" i="1">
                                <a:latin typeface="Cambria Math"/>
                              </a:rPr>
                              <m:t>𝑟</m:t>
                            </m:r>
                            <m:r>
                              <a:rPr lang="en-US" sz="2800" b="0" i="1">
                                <a:latin typeface="Cambria Math"/>
                              </a:rPr>
                              <m:t>−</m:t>
                            </m:r>
                            <m:r>
                              <a:rPr lang="en-US" sz="2800" b="0" i="1">
                                <a:latin typeface="Cambria Math"/>
                              </a:rPr>
                              <m:t>𝑔</m:t>
                            </m:r>
                          </m:den>
                        </m:f>
                        <m:r>
                          <a:rPr lang="en-US" sz="2800" b="0" i="1">
                            <a:latin typeface="Cambria Math"/>
                          </a:rPr>
                          <m:t>−</m:t>
                        </m:r>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m:t>
                            </m:r>
                          </m:num>
                          <m:den>
                            <m:r>
                              <a:rPr lang="en-US" sz="2800" b="0" i="1">
                                <a:solidFill>
                                  <a:schemeClr val="tx1"/>
                                </a:solidFill>
                                <a:effectLst/>
                                <a:latin typeface="Cambria Math"/>
                                <a:ea typeface="+mn-ea"/>
                                <a:cs typeface="+mn-cs"/>
                              </a:rPr>
                              <m:t>𝑟</m:t>
                            </m:r>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𝑔</m:t>
                            </m:r>
                          </m:den>
                        </m:f>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𝑔</m:t>
                                    </m:r>
                                  </m:num>
                                  <m:den>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den>
                                </m:f>
                              </m:e>
                            </m:d>
                          </m:e>
                          <m:sup>
                            <m:r>
                              <a:rPr lang="en-US" sz="2800" b="0" i="1">
                                <a:solidFill>
                                  <a:schemeClr val="tx1"/>
                                </a:solidFill>
                                <a:effectLst/>
                                <a:latin typeface="Cambria Math"/>
                                <a:ea typeface="+mn-ea"/>
                                <a:cs typeface="+mn-cs"/>
                              </a:rPr>
                              <m:t>𝑡</m:t>
                            </m:r>
                          </m:sup>
                        </m:sSup>
                      </m:e>
                    </m:d>
                  </m:oMath>
                </m:oMathPara>
              </a14:m>
              <a:endParaRPr lang="ru-RU" sz="2800"/>
            </a:p>
          </xdr:txBody>
        </xdr:sp>
      </mc:Choice>
      <mc:Fallback>
        <xdr:sp macro="" textlink="">
          <xdr:nvSpPr>
            <xdr:cNvPr id="7" name="TextBox 6">
              <a:extLst>
                <a:ext uri="{FF2B5EF4-FFF2-40B4-BE49-F238E27FC236}">
                  <a16:creationId xmlns:a16="http://schemas.microsoft.com/office/drawing/2014/main" id="{00000000-0008-0000-0000-000018000000}"/>
                </a:ext>
              </a:extLst>
            </xdr:cNvPr>
            <xdr:cNvSpPr txBox="1"/>
          </xdr:nvSpPr>
          <xdr:spPr>
            <a:xfrm>
              <a:off x="3087459" y="19992479"/>
              <a:ext cx="9138557" cy="12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800" i="0">
                  <a:latin typeface="Cambria Math" panose="02040503050406030204" pitchFamily="18" charset="0"/>
                </a:rPr>
                <a:t>〖</a:t>
              </a:r>
              <a:r>
                <a:rPr lang="en-US" sz="2800" b="0" i="0">
                  <a:latin typeface="Cambria Math"/>
                </a:rPr>
                <a:t>𝑃𝑉</a:t>
              </a:r>
              <a:r>
                <a:rPr lang="ru-RU" sz="2800" b="0" i="0">
                  <a:latin typeface="Cambria Math" panose="02040503050406030204" pitchFamily="18" charset="0"/>
                </a:rPr>
                <a:t>〗_(</a:t>
              </a:r>
              <a:r>
                <a:rPr lang="en-US" sz="2800" b="0" i="0">
                  <a:latin typeface="Cambria Math"/>
                </a:rPr>
                <a:t>𝐺𝑟𝑜𝑤𝑖𝑛𝑔 𝑎𝑛𝑛𝑢𝑖𝑡𝑦</a:t>
              </a:r>
              <a:r>
                <a:rPr lang="ru-RU" sz="2800" b="0" i="0">
                  <a:latin typeface="Cambria Math" panose="02040503050406030204" pitchFamily="18" charset="0"/>
                </a:rPr>
                <a:t>)</a:t>
              </a:r>
              <a:r>
                <a:rPr lang="en-US" sz="2800" b="0" i="0">
                  <a:latin typeface="Cambria Math"/>
                </a:rPr>
                <a:t>=</a:t>
              </a:r>
              <a:r>
                <a:rPr lang="en-US" sz="2800" b="0" i="0">
                  <a:latin typeface="Cambria Math" panose="02040503050406030204" pitchFamily="18" charset="0"/>
                </a:rPr>
                <a:t>〖</a:t>
              </a:r>
              <a:r>
                <a:rPr lang="en-US" sz="2800" b="0" i="0">
                  <a:latin typeface="Cambria Math"/>
                </a:rPr>
                <a:t>𝑃𝑀𝑇</a:t>
              </a:r>
              <a:r>
                <a:rPr lang="en-US" sz="2800" b="0" i="0">
                  <a:latin typeface="Cambria Math" panose="02040503050406030204" pitchFamily="18" charset="0"/>
                </a:rPr>
                <a:t>〗_</a:t>
              </a:r>
              <a:r>
                <a:rPr lang="en-US" sz="2800" b="0" i="0">
                  <a:latin typeface="Cambria Math"/>
                </a:rPr>
                <a:t>1∗</a:t>
              </a:r>
              <a:r>
                <a:rPr lang="en-US" sz="2800" b="0" i="0">
                  <a:latin typeface="Cambria Math" panose="02040503050406030204" pitchFamily="18" charset="0"/>
                </a:rPr>
                <a:t>[</a:t>
              </a:r>
              <a:r>
                <a:rPr lang="en-US" sz="2800" b="0" i="0">
                  <a:latin typeface="Cambria Math"/>
                </a:rPr>
                <a:t>1</a:t>
              </a:r>
              <a:r>
                <a:rPr lang="en-US" sz="2800" b="0" i="0">
                  <a:latin typeface="Cambria Math" panose="02040503050406030204" pitchFamily="18" charset="0"/>
                </a:rPr>
                <a:t>/(</a:t>
              </a:r>
              <a:r>
                <a:rPr lang="en-US" sz="2800" b="0" i="0">
                  <a:latin typeface="Cambria Math"/>
                </a:rPr>
                <a:t>𝑟−𝑔</a:t>
              </a:r>
              <a:r>
                <a:rPr lang="en-US" sz="2800" b="0" i="0">
                  <a:latin typeface="Cambria Math" panose="02040503050406030204" pitchFamily="18" charset="0"/>
                </a:rPr>
                <a:t>)</a:t>
              </a:r>
              <a:r>
                <a:rPr lang="en-US" sz="2800" b="0" i="0">
                  <a:latin typeface="Cambria Math"/>
                </a:rPr>
                <a:t>−</a:t>
              </a:r>
              <a:r>
                <a:rPr lang="en-US" sz="2800" b="0" i="0">
                  <a:solidFill>
                    <a:schemeClr val="tx1"/>
                  </a:solidFill>
                  <a:effectLst/>
                  <a:latin typeface="Cambria Math"/>
                  <a:ea typeface="+mn-ea"/>
                  <a:cs typeface="+mn-cs"/>
                </a:rPr>
                <a:t>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𝑟−𝑔</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1+𝑔</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𝑡</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4</xdr:col>
      <xdr:colOff>421079</xdr:colOff>
      <xdr:row>140</xdr:row>
      <xdr:rowOff>101312</xdr:rowOff>
    </xdr:from>
    <xdr:ext cx="5155375" cy="53335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00000000-0008-0000-0000-000019000000}"/>
                </a:ext>
              </a:extLst>
            </xdr:cNvPr>
            <xdr:cNvSpPr txBox="1"/>
          </xdr:nvSpPr>
          <xdr:spPr>
            <a:xfrm>
              <a:off x="3507179" y="26771312"/>
              <a:ext cx="5155375" cy="533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US" sz="2800" i="1">
                      <a:latin typeface="Cambria Math"/>
                    </a:rPr>
                    <m:t>𝐹</m:t>
                  </m:r>
                  <m:r>
                    <a:rPr lang="en-US" sz="2800" b="0" i="1">
                      <a:latin typeface="Cambria Math"/>
                    </a:rPr>
                    <m:t>𝑉</m:t>
                  </m:r>
                  <m:r>
                    <a:rPr lang="en-US" sz="2800" b="0" i="1">
                      <a:latin typeface="Cambria Math"/>
                    </a:rPr>
                    <m:t>=</m:t>
                  </m:r>
                  <m:r>
                    <a:rPr lang="en-US" sz="2800" i="1">
                      <a:solidFill>
                        <a:schemeClr val="tx1"/>
                      </a:solidFill>
                      <a:effectLst/>
                      <a:latin typeface="Cambria Math"/>
                      <a:ea typeface="+mn-ea"/>
                      <a:cs typeface="+mn-cs"/>
                    </a:rPr>
                    <m:t>𝑃</m:t>
                  </m:r>
                  <m:r>
                    <a:rPr lang="en-US" sz="2800" b="0" i="1">
                      <a:solidFill>
                        <a:schemeClr val="tx1"/>
                      </a:solidFill>
                      <a:effectLst/>
                      <a:latin typeface="Cambria Math"/>
                      <a:ea typeface="+mn-ea"/>
                      <a:cs typeface="+mn-cs"/>
                    </a:rPr>
                    <m:t>𝑉</m:t>
                  </m:r>
                </m:oMath>
              </a14:m>
              <a:r>
                <a:rPr lang="en-US" sz="2800"/>
                <a:t>*</a:t>
              </a:r>
              <a14:m>
                <m:oMath xmlns:m="http://schemas.openxmlformats.org/officeDocument/2006/math">
                  <m:sSup>
                    <m:sSupPr>
                      <m:ctrlPr>
                        <a:rPr lang="en-US" sz="2800" i="1">
                          <a:latin typeface="Cambria Math" panose="02040503050406030204" pitchFamily="18" charset="0"/>
                        </a:rPr>
                      </m:ctrlPr>
                    </m:sSupPr>
                    <m:e>
                      <m:d>
                        <m:dPr>
                          <m:ctrlPr>
                            <a:rPr lang="en-US" sz="2800" i="1">
                              <a:latin typeface="Cambria Math" panose="02040503050406030204" pitchFamily="18" charset="0"/>
                            </a:rPr>
                          </m:ctrlPr>
                        </m:dPr>
                        <m:e>
                          <m:r>
                            <a:rPr lang="en-US" sz="2800" b="0" i="1">
                              <a:latin typeface="Cambria Math"/>
                            </a:rPr>
                            <m:t>1+</m:t>
                          </m:r>
                          <m:r>
                            <a:rPr lang="en-US" sz="2800" b="0" i="1">
                              <a:latin typeface="Cambria Math"/>
                            </a:rPr>
                            <m:t>𝑟</m:t>
                          </m:r>
                        </m:e>
                      </m:d>
                    </m:e>
                    <m:sup>
                      <m:r>
                        <a:rPr lang="en-US" sz="2800" b="0" i="1">
                          <a:latin typeface="Cambria Math"/>
                        </a:rPr>
                        <m:t>𝑡</m:t>
                      </m:r>
                    </m:sup>
                  </m:sSup>
                </m:oMath>
              </a14:m>
              <a:endParaRPr lang="ru-RU" sz="2800"/>
            </a:p>
          </xdr:txBody>
        </xdr:sp>
      </mc:Choice>
      <mc:Fallback>
        <xdr:sp macro="" textlink="">
          <xdr:nvSpPr>
            <xdr:cNvPr id="8" name="TextBox 7">
              <a:extLst>
                <a:ext uri="{FF2B5EF4-FFF2-40B4-BE49-F238E27FC236}">
                  <a16:creationId xmlns:a16="http://schemas.microsoft.com/office/drawing/2014/main" id="{00000000-0008-0000-0000-000019000000}"/>
                </a:ext>
              </a:extLst>
            </xdr:cNvPr>
            <xdr:cNvSpPr txBox="1"/>
          </xdr:nvSpPr>
          <xdr:spPr>
            <a:xfrm>
              <a:off x="3507179" y="26771312"/>
              <a:ext cx="5155375" cy="533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i="0">
                  <a:latin typeface="Cambria Math"/>
                </a:rPr>
                <a:t>𝐹</a:t>
              </a:r>
              <a:r>
                <a:rPr lang="en-US" sz="2800" b="0" i="0">
                  <a:latin typeface="Cambria Math"/>
                </a:rPr>
                <a:t>𝑉=</a:t>
              </a:r>
              <a:r>
                <a:rPr lang="en-US" sz="2800" i="0">
                  <a:solidFill>
                    <a:schemeClr val="tx1"/>
                  </a:solidFill>
                  <a:effectLst/>
                  <a:latin typeface="Cambria Math"/>
                  <a:ea typeface="+mn-ea"/>
                  <a:cs typeface="+mn-cs"/>
                </a:rPr>
                <a:t>𝑃</a:t>
              </a:r>
              <a:r>
                <a:rPr lang="en-US" sz="2800" b="0" i="0">
                  <a:solidFill>
                    <a:schemeClr val="tx1"/>
                  </a:solidFill>
                  <a:effectLst/>
                  <a:latin typeface="Cambria Math"/>
                  <a:ea typeface="+mn-ea"/>
                  <a:cs typeface="+mn-cs"/>
                </a:rPr>
                <a:t>𝑉</a:t>
              </a:r>
              <a:r>
                <a:rPr lang="en-US" sz="2800"/>
                <a:t>*</a:t>
              </a:r>
              <a:r>
                <a:rPr lang="en-US" sz="2800" i="0">
                  <a:latin typeface="Cambria Math" panose="02040503050406030204" pitchFamily="18" charset="0"/>
                </a:rPr>
                <a:t>(</a:t>
              </a:r>
              <a:r>
                <a:rPr lang="en-US" sz="2800" b="0" i="0">
                  <a:latin typeface="Cambria Math"/>
                </a:rPr>
                <a:t>1+𝑟</a:t>
              </a:r>
              <a:r>
                <a:rPr lang="en-US" sz="2800" b="0" i="0">
                  <a:latin typeface="Cambria Math" panose="02040503050406030204" pitchFamily="18" charset="0"/>
                </a:rPr>
                <a:t>)^</a:t>
              </a:r>
              <a:r>
                <a:rPr lang="en-US" sz="2800" b="0" i="0">
                  <a:latin typeface="Cambria Math"/>
                </a:rPr>
                <a:t>𝑡</a:t>
              </a:r>
              <a:endParaRPr lang="ru-RU" sz="2800"/>
            </a:p>
          </xdr:txBody>
        </xdr:sp>
      </mc:Fallback>
    </mc:AlternateContent>
    <xdr:clientData/>
  </xdr:oneCellAnchor>
  <xdr:oneCellAnchor>
    <xdr:from>
      <xdr:col>4</xdr:col>
      <xdr:colOff>0</xdr:colOff>
      <xdr:row>145</xdr:row>
      <xdr:rowOff>0</xdr:rowOff>
    </xdr:from>
    <xdr:ext cx="6314642" cy="672492"/>
    <mc:AlternateContent xmlns:mc="http://schemas.openxmlformats.org/markup-compatibility/2006">
      <mc:Choice xmlns:a14="http://schemas.microsoft.com/office/drawing/2010/main" Requires="a14">
        <xdr:sp macro="" textlink="">
          <xdr:nvSpPr>
            <xdr:cNvPr id="9" name="TextBox 8">
              <a:extLst>
                <a:ext uri="{FF2B5EF4-FFF2-40B4-BE49-F238E27FC236}">
                  <a16:creationId xmlns:a16="http://schemas.microsoft.com/office/drawing/2014/main" id="{00000000-0008-0000-0000-00001A000000}"/>
                </a:ext>
              </a:extLst>
            </xdr:cNvPr>
            <xdr:cNvSpPr txBox="1"/>
          </xdr:nvSpPr>
          <xdr:spPr>
            <a:xfrm>
              <a:off x="3086100" y="27622500"/>
              <a:ext cx="6314642" cy="672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US" sz="2400" b="0" i="1">
                      <a:latin typeface="Cambria Math"/>
                    </a:rPr>
                    <m:t>𝑃𝑉</m:t>
                  </m:r>
                  <m:d>
                    <m:dPr>
                      <m:ctrlPr>
                        <a:rPr lang="en-US" sz="2400" b="0" i="1">
                          <a:latin typeface="Cambria Math" panose="02040503050406030204" pitchFamily="18" charset="0"/>
                        </a:rPr>
                      </m:ctrlPr>
                    </m:dPr>
                    <m:e>
                      <m:r>
                        <a:rPr lang="en-US" sz="2400" b="0" i="1">
                          <a:latin typeface="Cambria Math"/>
                        </a:rPr>
                        <m:t>𝑜𝑟𝑑𝑖𝑛𝑎𝑟𝑦</m:t>
                      </m:r>
                      <m:r>
                        <a:rPr lang="en-US" sz="2400" b="0" i="1">
                          <a:latin typeface="Cambria Math"/>
                        </a:rPr>
                        <m:t> </m:t>
                      </m:r>
                      <m:r>
                        <a:rPr lang="en-US" sz="2400" b="0" i="1">
                          <a:latin typeface="Cambria Math"/>
                        </a:rPr>
                        <m:t>𝑎𝑛𝑛𝑢𝑖𝑡𝑦</m:t>
                      </m:r>
                    </m:e>
                  </m:d>
                  <m:r>
                    <a:rPr lang="en-US" sz="2400" b="0" i="1">
                      <a:latin typeface="Cambria Math"/>
                    </a:rPr>
                    <m:t>=</m:t>
                  </m:r>
                </m:oMath>
              </a14:m>
              <a:r>
                <a:rPr lang="en-US" sz="2400"/>
                <a:t>PMT*</a:t>
              </a:r>
              <a14:m>
                <m:oMath xmlns:m="http://schemas.openxmlformats.org/officeDocument/2006/math">
                  <m:d>
                    <m:dPr>
                      <m:begChr m:val="["/>
                      <m:endChr m:val="]"/>
                      <m:ctrlPr>
                        <a:rPr lang="en-US" sz="2400" i="1">
                          <a:latin typeface="Cambria Math" panose="02040503050406030204" pitchFamily="18" charset="0"/>
                        </a:rPr>
                      </m:ctrlPr>
                    </m:dPr>
                    <m:e>
                      <m:f>
                        <m:fPr>
                          <m:ctrlPr>
                            <a:rPr lang="en-US" sz="2400" i="1">
                              <a:latin typeface="Cambria Math" panose="02040503050406030204" pitchFamily="18" charset="0"/>
                            </a:rPr>
                          </m:ctrlPr>
                        </m:fPr>
                        <m:num>
                          <m:r>
                            <a:rPr lang="en-US" sz="2400" b="0" i="1">
                              <a:latin typeface="Cambria Math"/>
                            </a:rPr>
                            <m:t>1</m:t>
                          </m:r>
                        </m:num>
                        <m:den>
                          <m:r>
                            <a:rPr lang="en-US" sz="2400" b="0" i="1">
                              <a:latin typeface="Cambria Math"/>
                            </a:rPr>
                            <m:t>𝑟</m:t>
                          </m:r>
                        </m:den>
                      </m:f>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1</m:t>
                          </m:r>
                        </m:num>
                        <m:den>
                          <m:r>
                            <a:rPr lang="en-US" sz="2400" b="0" i="1">
                              <a:latin typeface="Cambria Math"/>
                            </a:rPr>
                            <m:t>𝑟</m:t>
                          </m:r>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𝑟</m:t>
                                  </m:r>
                                </m:e>
                              </m:d>
                            </m:e>
                            <m:sup>
                              <m:r>
                                <a:rPr lang="en-US" sz="2400" b="0" i="1">
                                  <a:latin typeface="Cambria Math"/>
                                </a:rPr>
                                <m:t>𝑛</m:t>
                              </m:r>
                            </m:sup>
                          </m:sSup>
                        </m:den>
                      </m:f>
                    </m:e>
                  </m:d>
                </m:oMath>
              </a14:m>
              <a:endParaRPr lang="ru-RU" sz="1400"/>
            </a:p>
          </xdr:txBody>
        </xdr:sp>
      </mc:Choice>
      <mc:Fallback>
        <xdr:sp macro="" textlink="">
          <xdr:nvSpPr>
            <xdr:cNvPr id="9" name="TextBox 8">
              <a:extLst>
                <a:ext uri="{FF2B5EF4-FFF2-40B4-BE49-F238E27FC236}">
                  <a16:creationId xmlns:a16="http://schemas.microsoft.com/office/drawing/2014/main" id="{00000000-0008-0000-0000-00001A000000}"/>
                </a:ext>
              </a:extLst>
            </xdr:cNvPr>
            <xdr:cNvSpPr txBox="1"/>
          </xdr:nvSpPr>
          <xdr:spPr>
            <a:xfrm>
              <a:off x="3086100" y="27622500"/>
              <a:ext cx="6314642" cy="672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0" i="0">
                  <a:latin typeface="Cambria Math"/>
                </a:rPr>
                <a:t>𝑃𝑉</a:t>
              </a:r>
              <a:r>
                <a:rPr lang="en-US" sz="2400" b="0" i="0">
                  <a:latin typeface="Cambria Math" panose="02040503050406030204" pitchFamily="18" charset="0"/>
                </a:rPr>
                <a:t>(</a:t>
              </a:r>
              <a:r>
                <a:rPr lang="en-US" sz="2400" b="0" i="0">
                  <a:latin typeface="Cambria Math"/>
                </a:rPr>
                <a:t>𝑜𝑟𝑑𝑖𝑛𝑎𝑟𝑦 𝑎𝑛𝑛𝑢𝑖𝑡𝑦</a:t>
              </a:r>
              <a:r>
                <a:rPr lang="en-US" sz="2400" b="0" i="0">
                  <a:latin typeface="Cambria Math" panose="02040503050406030204" pitchFamily="18" charset="0"/>
                </a:rPr>
                <a:t>)</a:t>
              </a:r>
              <a:r>
                <a:rPr lang="en-US" sz="2400" b="0" i="0">
                  <a:latin typeface="Cambria Math"/>
                </a:rPr>
                <a:t>=</a:t>
              </a:r>
              <a:r>
                <a:rPr lang="en-US" sz="2400"/>
                <a:t>PMT*</a:t>
              </a:r>
              <a:r>
                <a:rPr lang="en-US" sz="2400" i="0">
                  <a:latin typeface="Cambria Math" panose="02040503050406030204" pitchFamily="18" charset="0"/>
                </a:rPr>
                <a:t>[</a:t>
              </a:r>
              <a:r>
                <a:rPr lang="en-US" sz="2400" b="0" i="0">
                  <a:latin typeface="Cambria Math"/>
                </a:rPr>
                <a:t>1</a:t>
              </a:r>
              <a:r>
                <a:rPr lang="en-US" sz="2400" b="0" i="0">
                  <a:latin typeface="Cambria Math" panose="02040503050406030204" pitchFamily="18" charset="0"/>
                </a:rPr>
                <a:t>/</a:t>
              </a:r>
              <a:r>
                <a:rPr lang="en-US" sz="2400" b="0" i="0">
                  <a:latin typeface="Cambria Math"/>
                </a:rPr>
                <a:t>𝑟−1</a:t>
              </a:r>
              <a:r>
                <a:rPr lang="en-US" sz="2400" b="0" i="0">
                  <a:latin typeface="Cambria Math" panose="02040503050406030204" pitchFamily="18" charset="0"/>
                </a:rPr>
                <a:t>/(</a:t>
              </a:r>
              <a:r>
                <a:rPr lang="en-US" sz="2400" b="0" i="0">
                  <a:latin typeface="Cambria Math"/>
                </a:rPr>
                <a:t>𝑟</a:t>
              </a:r>
              <a:r>
                <a:rPr lang="en-US" sz="2400" b="0" i="0">
                  <a:latin typeface="Cambria Math" panose="02040503050406030204" pitchFamily="18" charset="0"/>
                </a:rPr>
                <a:t>(</a:t>
              </a:r>
              <a:r>
                <a:rPr lang="en-US" sz="2400" b="0" i="0">
                  <a:latin typeface="Cambria Math"/>
                </a:rPr>
                <a:t>1+𝑟</a:t>
              </a:r>
              <a:r>
                <a:rPr lang="en-US" sz="2400" b="0" i="0">
                  <a:latin typeface="Cambria Math" panose="02040503050406030204" pitchFamily="18" charset="0"/>
                </a:rPr>
                <a:t>)^</a:t>
              </a:r>
              <a:r>
                <a:rPr lang="en-US" sz="2400" b="0" i="0">
                  <a:latin typeface="Cambria Math"/>
                </a:rPr>
                <a:t>𝑛</a:t>
              </a:r>
              <a:r>
                <a:rPr lang="en-US" sz="2400" b="0" i="0">
                  <a:latin typeface="Cambria Math" panose="02040503050406030204" pitchFamily="18" charset="0"/>
                </a:rPr>
                <a:t> )]</a:t>
              </a:r>
              <a:endParaRPr lang="ru-RU" sz="1400"/>
            </a:p>
          </xdr:txBody>
        </xdr:sp>
      </mc:Fallback>
    </mc:AlternateContent>
    <xdr:clientData/>
  </xdr:oneCellAnchor>
  <xdr:oneCellAnchor>
    <xdr:from>
      <xdr:col>4</xdr:col>
      <xdr:colOff>0</xdr:colOff>
      <xdr:row>149</xdr:row>
      <xdr:rowOff>0</xdr:rowOff>
    </xdr:from>
    <xdr:ext cx="6314642" cy="672492"/>
    <mc:AlternateContent xmlns:mc="http://schemas.openxmlformats.org/markup-compatibility/2006">
      <mc:Choice xmlns:a14="http://schemas.microsoft.com/office/drawing/2010/main" Requires="a14">
        <xdr:sp macro="" textlink="">
          <xdr:nvSpPr>
            <xdr:cNvPr id="10" name="TextBox 9">
              <a:extLst>
                <a:ext uri="{FF2B5EF4-FFF2-40B4-BE49-F238E27FC236}">
                  <a16:creationId xmlns:a16="http://schemas.microsoft.com/office/drawing/2014/main" id="{00000000-0008-0000-0000-00001B000000}"/>
                </a:ext>
              </a:extLst>
            </xdr:cNvPr>
            <xdr:cNvSpPr txBox="1"/>
          </xdr:nvSpPr>
          <xdr:spPr>
            <a:xfrm>
              <a:off x="3086100" y="28384500"/>
              <a:ext cx="6314642" cy="672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de-DE" sz="2400" b="0" i="1">
                      <a:latin typeface="Cambria Math"/>
                    </a:rPr>
                    <m:t>𝐴𝑛𝑛𝑢𝑖𝑡</m:t>
                  </m:r>
                  <m:r>
                    <a:rPr lang="en-US" sz="2400" b="0" i="1">
                      <a:latin typeface="Cambria Math"/>
                    </a:rPr>
                    <m:t>𝑦</m:t>
                  </m:r>
                  <m:r>
                    <a:rPr lang="en-US" sz="2400" b="0" i="1">
                      <a:latin typeface="Cambria Math"/>
                    </a:rPr>
                    <m:t> </m:t>
                  </m:r>
                  <m:r>
                    <a:rPr lang="en-US" sz="2400" b="0" i="1">
                      <a:latin typeface="Cambria Math"/>
                    </a:rPr>
                    <m:t>𝑓𝑎𝑐𝑡𝑜𝑟</m:t>
                  </m:r>
                </m:oMath>
              </a14:m>
              <a:r>
                <a:rPr lang="en-US" sz="2400"/>
                <a:t>=</a:t>
              </a:r>
              <a14:m>
                <m:oMath xmlns:m="http://schemas.openxmlformats.org/officeDocument/2006/math">
                  <m:d>
                    <m:dPr>
                      <m:begChr m:val="["/>
                      <m:endChr m:val="]"/>
                      <m:ctrlPr>
                        <a:rPr lang="en-US" sz="2400" i="1">
                          <a:latin typeface="Cambria Math" panose="02040503050406030204" pitchFamily="18" charset="0"/>
                        </a:rPr>
                      </m:ctrlPr>
                    </m:dPr>
                    <m:e>
                      <m:f>
                        <m:fPr>
                          <m:ctrlPr>
                            <a:rPr lang="en-US" sz="2400" i="1">
                              <a:latin typeface="Cambria Math" panose="02040503050406030204" pitchFamily="18" charset="0"/>
                            </a:rPr>
                          </m:ctrlPr>
                        </m:fPr>
                        <m:num>
                          <m:r>
                            <a:rPr lang="en-US" sz="2400" b="0" i="1">
                              <a:latin typeface="Cambria Math"/>
                            </a:rPr>
                            <m:t>1</m:t>
                          </m:r>
                        </m:num>
                        <m:den>
                          <m:r>
                            <a:rPr lang="en-US" sz="2400" b="0" i="1">
                              <a:latin typeface="Cambria Math"/>
                            </a:rPr>
                            <m:t>0,09</m:t>
                          </m:r>
                        </m:den>
                      </m:f>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1</m:t>
                          </m:r>
                        </m:num>
                        <m:den>
                          <m:r>
                            <a:rPr lang="en-US" sz="2400" b="0" i="1">
                              <a:latin typeface="Cambria Math"/>
                            </a:rPr>
                            <m:t>0,09</m:t>
                          </m:r>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1+0,09</m:t>
                                  </m:r>
                                </m:e>
                              </m:d>
                            </m:e>
                            <m:sup>
                              <m:r>
                                <a:rPr lang="en-US" sz="2400" b="0" i="1">
                                  <a:latin typeface="Cambria Math"/>
                                </a:rPr>
                                <m:t>26</m:t>
                              </m:r>
                            </m:sup>
                          </m:sSup>
                        </m:den>
                      </m:f>
                    </m:e>
                  </m:d>
                </m:oMath>
              </a14:m>
              <a:endParaRPr lang="ru-RU" sz="2000"/>
            </a:p>
          </xdr:txBody>
        </xdr:sp>
      </mc:Choice>
      <mc:Fallback>
        <xdr:sp macro="" textlink="">
          <xdr:nvSpPr>
            <xdr:cNvPr id="10" name="TextBox 9">
              <a:extLst>
                <a:ext uri="{FF2B5EF4-FFF2-40B4-BE49-F238E27FC236}">
                  <a16:creationId xmlns:a16="http://schemas.microsoft.com/office/drawing/2014/main" id="{00000000-0008-0000-0000-00001B000000}"/>
                </a:ext>
              </a:extLst>
            </xdr:cNvPr>
            <xdr:cNvSpPr txBox="1"/>
          </xdr:nvSpPr>
          <xdr:spPr>
            <a:xfrm>
              <a:off x="3086100" y="28384500"/>
              <a:ext cx="6314642" cy="672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400" b="0" i="0">
                  <a:latin typeface="Cambria Math"/>
                </a:rPr>
                <a:t>𝐴𝑛𝑛𝑢𝑖𝑡</a:t>
              </a:r>
              <a:r>
                <a:rPr lang="en-US" sz="2400" b="0" i="0">
                  <a:latin typeface="Cambria Math"/>
                </a:rPr>
                <a:t>𝑦 𝑓𝑎𝑐𝑡𝑜𝑟</a:t>
              </a:r>
              <a:r>
                <a:rPr lang="en-US" sz="2400"/>
                <a:t>=</a:t>
              </a:r>
              <a:r>
                <a:rPr lang="en-US" sz="2400" i="0">
                  <a:latin typeface="Cambria Math" panose="02040503050406030204" pitchFamily="18" charset="0"/>
                </a:rPr>
                <a:t>[</a:t>
              </a:r>
              <a:r>
                <a:rPr lang="en-US" sz="2400" b="0" i="0">
                  <a:latin typeface="Cambria Math"/>
                </a:rPr>
                <a:t>1</a:t>
              </a:r>
              <a:r>
                <a:rPr lang="en-US" sz="2400" b="0" i="0">
                  <a:latin typeface="Cambria Math" panose="02040503050406030204" pitchFamily="18" charset="0"/>
                </a:rPr>
                <a:t>/</a:t>
              </a:r>
              <a:r>
                <a:rPr lang="en-US" sz="2400" b="0" i="0">
                  <a:latin typeface="Cambria Math"/>
                </a:rPr>
                <a:t>0,09−1</a:t>
              </a:r>
              <a:r>
                <a:rPr lang="en-US" sz="2400" b="0" i="0">
                  <a:latin typeface="Cambria Math" panose="02040503050406030204" pitchFamily="18" charset="0"/>
                </a:rPr>
                <a:t>/(</a:t>
              </a:r>
              <a:r>
                <a:rPr lang="en-US" sz="2400" b="0" i="0">
                  <a:latin typeface="Cambria Math"/>
                </a:rPr>
                <a:t>0,09</a:t>
              </a:r>
              <a:r>
                <a:rPr lang="en-US" sz="2400" b="0" i="0">
                  <a:latin typeface="Cambria Math" panose="02040503050406030204" pitchFamily="18" charset="0"/>
                </a:rPr>
                <a:t>(</a:t>
              </a:r>
              <a:r>
                <a:rPr lang="en-US" sz="2400" b="0" i="0">
                  <a:latin typeface="Cambria Math"/>
                </a:rPr>
                <a:t>1+0,09</a:t>
              </a:r>
              <a:r>
                <a:rPr lang="en-US" sz="2400" b="0" i="0">
                  <a:latin typeface="Cambria Math" panose="02040503050406030204" pitchFamily="18" charset="0"/>
                </a:rPr>
                <a:t>)^</a:t>
              </a:r>
              <a:r>
                <a:rPr lang="en-US" sz="2400" b="0" i="0">
                  <a:latin typeface="Cambria Math"/>
                </a:rPr>
                <a:t>26</a:t>
              </a:r>
              <a:r>
                <a:rPr lang="en-US" sz="2400" b="0" i="0">
                  <a:latin typeface="Cambria Math" panose="02040503050406030204" pitchFamily="18" charset="0"/>
                </a:rPr>
                <a:t> )]</a:t>
              </a:r>
              <a:endParaRPr lang="ru-RU" sz="2000"/>
            </a:p>
          </xdr:txBody>
        </xdr:sp>
      </mc:Fallback>
    </mc:AlternateContent>
    <xdr:clientData/>
  </xdr:oneCellAnchor>
  <xdr:oneCellAnchor>
    <xdr:from>
      <xdr:col>7</xdr:col>
      <xdr:colOff>1264227</xdr:colOff>
      <xdr:row>144</xdr:row>
      <xdr:rowOff>207818</xdr:rowOff>
    </xdr:from>
    <xdr:ext cx="6314642" cy="838435"/>
    <mc:AlternateContent xmlns:mc="http://schemas.openxmlformats.org/markup-compatibility/2006">
      <mc:Choice xmlns:a14="http://schemas.microsoft.com/office/drawing/2010/main" Requires="a14">
        <xdr:sp macro="" textlink="">
          <xdr:nvSpPr>
            <xdr:cNvPr id="11" name="TextBox 10">
              <a:extLst>
                <a:ext uri="{FF2B5EF4-FFF2-40B4-BE49-F238E27FC236}">
                  <a16:creationId xmlns:a16="http://schemas.microsoft.com/office/drawing/2014/main" id="{00000000-0008-0000-0000-00001C000000}"/>
                </a:ext>
              </a:extLst>
            </xdr:cNvPr>
            <xdr:cNvSpPr txBox="1"/>
          </xdr:nvSpPr>
          <xdr:spPr>
            <a:xfrm>
              <a:off x="6169602" y="27620768"/>
              <a:ext cx="6314642" cy="838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𝐴𝑛𝑛𝑢𝑖𝑡𝑦</m:t>
                    </m:r>
                    <m:r>
                      <a:rPr lang="en-US" sz="2400" b="0" i="1">
                        <a:latin typeface="Cambria Math"/>
                      </a:rPr>
                      <m:t> </m:t>
                    </m:r>
                    <m:r>
                      <a:rPr lang="en-US" sz="2400" b="0" i="1">
                        <a:latin typeface="Cambria Math"/>
                      </a:rPr>
                      <m:t>𝑓𝑎𝑐𝑡𝑜𝑟</m:t>
                    </m:r>
                    <m:r>
                      <a:rPr lang="en-US" sz="2400" b="0" i="1">
                        <a:latin typeface="Cambria Math"/>
                      </a:rPr>
                      <m:t>=</m:t>
                    </m:r>
                    <m:d>
                      <m:dPr>
                        <m:begChr m:val="["/>
                        <m:endChr m:val="]"/>
                        <m:ctrlPr>
                          <a:rPr lang="en-US" sz="2400" i="1">
                            <a:latin typeface="Cambria Math" panose="02040503050406030204" pitchFamily="18" charset="0"/>
                          </a:rPr>
                        </m:ctrlPr>
                      </m:dPr>
                      <m:e>
                        <m:f>
                          <m:fPr>
                            <m:ctrlPr>
                              <a:rPr lang="en-US" sz="2400" i="1">
                                <a:latin typeface="Cambria Math" panose="02040503050406030204" pitchFamily="18" charset="0"/>
                              </a:rPr>
                            </m:ctrlPr>
                          </m:fPr>
                          <m:num>
                            <m:r>
                              <a:rPr lang="en-US" sz="2400" b="0" i="1">
                                <a:latin typeface="Cambria Math"/>
                              </a:rPr>
                              <m:t>1</m:t>
                            </m:r>
                          </m:num>
                          <m:den>
                            <m:r>
                              <a:rPr lang="en-US" sz="2400" b="0" i="1">
                                <a:latin typeface="Cambria Math"/>
                              </a:rPr>
                              <m:t>𝑟</m:t>
                            </m:r>
                          </m:den>
                        </m:f>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1</m:t>
                            </m:r>
                          </m:num>
                          <m:den>
                            <m:r>
                              <a:rPr lang="en-US" sz="2400" b="0" i="1">
                                <a:latin typeface="Cambria Math"/>
                              </a:rPr>
                              <m:t>𝑟</m:t>
                            </m:r>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𝑟</m:t>
                                    </m:r>
                                  </m:e>
                                </m:d>
                              </m:e>
                              <m:sup>
                                <m:r>
                                  <a:rPr lang="en-US" sz="2400" b="0" i="1">
                                    <a:latin typeface="Cambria Math"/>
                                  </a:rPr>
                                  <m:t>𝑛</m:t>
                                </m:r>
                              </m:sup>
                            </m:sSup>
                          </m:den>
                        </m:f>
                      </m:e>
                    </m:d>
                  </m:oMath>
                </m:oMathPara>
              </a14:m>
              <a:endParaRPr lang="ru-RU" sz="1400"/>
            </a:p>
          </xdr:txBody>
        </xdr:sp>
      </mc:Choice>
      <mc:Fallback>
        <xdr:sp macro="" textlink="">
          <xdr:nvSpPr>
            <xdr:cNvPr id="11" name="TextBox 10">
              <a:extLst>
                <a:ext uri="{FF2B5EF4-FFF2-40B4-BE49-F238E27FC236}">
                  <a16:creationId xmlns:a16="http://schemas.microsoft.com/office/drawing/2014/main" id="{00000000-0008-0000-0000-00001C000000}"/>
                </a:ext>
              </a:extLst>
            </xdr:cNvPr>
            <xdr:cNvSpPr txBox="1"/>
          </xdr:nvSpPr>
          <xdr:spPr>
            <a:xfrm>
              <a:off x="6169602" y="27620768"/>
              <a:ext cx="6314642" cy="838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𝐴𝑛𝑛𝑢𝑖𝑡𝑦 𝑓𝑎𝑐𝑡𝑜𝑟=</a:t>
              </a:r>
              <a:r>
                <a:rPr lang="en-US" sz="2400" i="0">
                  <a:latin typeface="Cambria Math" panose="02040503050406030204" pitchFamily="18" charset="0"/>
                </a:rPr>
                <a:t>[</a:t>
              </a:r>
              <a:r>
                <a:rPr lang="en-US" sz="2400" b="0" i="0">
                  <a:latin typeface="Cambria Math"/>
                </a:rPr>
                <a:t>1</a:t>
              </a:r>
              <a:r>
                <a:rPr lang="en-US" sz="2400" b="0" i="0">
                  <a:latin typeface="Cambria Math" panose="02040503050406030204" pitchFamily="18" charset="0"/>
                </a:rPr>
                <a:t>/</a:t>
              </a:r>
              <a:r>
                <a:rPr lang="en-US" sz="2400" b="0" i="0">
                  <a:latin typeface="Cambria Math"/>
                </a:rPr>
                <a:t>𝑟−1</a:t>
              </a:r>
              <a:r>
                <a:rPr lang="en-US" sz="2400" b="0" i="0">
                  <a:latin typeface="Cambria Math" panose="02040503050406030204" pitchFamily="18" charset="0"/>
                </a:rPr>
                <a:t>/(</a:t>
              </a:r>
              <a:r>
                <a:rPr lang="en-US" sz="2400" b="0" i="0">
                  <a:latin typeface="Cambria Math"/>
                </a:rPr>
                <a:t>𝑟</a:t>
              </a:r>
              <a:r>
                <a:rPr lang="en-US" sz="2400" b="0" i="0">
                  <a:latin typeface="Cambria Math" panose="02040503050406030204" pitchFamily="18" charset="0"/>
                </a:rPr>
                <a:t>(</a:t>
              </a:r>
              <a:r>
                <a:rPr lang="en-US" sz="2400" b="0" i="0">
                  <a:latin typeface="Cambria Math"/>
                </a:rPr>
                <a:t>1+𝑟</a:t>
              </a:r>
              <a:r>
                <a:rPr lang="en-US" sz="2400" b="0" i="0">
                  <a:latin typeface="Cambria Math" panose="02040503050406030204" pitchFamily="18" charset="0"/>
                </a:rPr>
                <a:t>)^</a:t>
              </a:r>
              <a:r>
                <a:rPr lang="en-US" sz="2400" b="0" i="0">
                  <a:latin typeface="Cambria Math"/>
                </a:rPr>
                <a:t>𝑛</a:t>
              </a:r>
              <a:r>
                <a:rPr lang="en-US" sz="2400" b="0" i="0">
                  <a:latin typeface="Cambria Math" panose="02040503050406030204" pitchFamily="18" charset="0"/>
                </a:rPr>
                <a:t> )]</a:t>
              </a:r>
              <a:endParaRPr lang="ru-RU" sz="1400"/>
            </a:p>
          </xdr:txBody>
        </xdr:sp>
      </mc:Fallback>
    </mc:AlternateContent>
    <xdr:clientData/>
  </xdr:oneCellAnchor>
  <xdr:oneCellAnchor>
    <xdr:from>
      <xdr:col>12</xdr:col>
      <xdr:colOff>502228</xdr:colOff>
      <xdr:row>145</xdr:row>
      <xdr:rowOff>34636</xdr:rowOff>
    </xdr:from>
    <xdr:ext cx="6314642" cy="672492"/>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00000000-0008-0000-0000-00001D000000}"/>
                </a:ext>
              </a:extLst>
            </xdr:cNvPr>
            <xdr:cNvSpPr txBox="1"/>
          </xdr:nvSpPr>
          <xdr:spPr>
            <a:xfrm>
              <a:off x="9760528" y="27657136"/>
              <a:ext cx="6314642" cy="672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US" sz="2400" b="0" i="1">
                      <a:latin typeface="Cambria Math"/>
                    </a:rPr>
                    <m:t>𝑃𝑉</m:t>
                  </m:r>
                  <m:d>
                    <m:dPr>
                      <m:ctrlPr>
                        <a:rPr lang="en-US" sz="2400" b="0" i="1">
                          <a:latin typeface="Cambria Math" panose="02040503050406030204" pitchFamily="18" charset="0"/>
                        </a:rPr>
                      </m:ctrlPr>
                    </m:dPr>
                    <m:e>
                      <m:r>
                        <a:rPr lang="en-US" sz="2400" b="0" i="1">
                          <a:latin typeface="Cambria Math"/>
                        </a:rPr>
                        <m:t>𝑜𝑟𝑑𝑖𝑛𝑎𝑟𝑦</m:t>
                      </m:r>
                      <m:r>
                        <a:rPr lang="en-US" sz="2400" b="0" i="1">
                          <a:latin typeface="Cambria Math"/>
                        </a:rPr>
                        <m:t> </m:t>
                      </m:r>
                      <m:r>
                        <a:rPr lang="en-US" sz="2400" b="0" i="1">
                          <a:latin typeface="Cambria Math"/>
                        </a:rPr>
                        <m:t>𝑎𝑛𝑛𝑢𝑖𝑡𝑦</m:t>
                      </m:r>
                    </m:e>
                  </m:d>
                  <m:r>
                    <a:rPr lang="en-US" sz="2400" b="0" i="1">
                      <a:latin typeface="Cambria Math"/>
                    </a:rPr>
                    <m:t>=</m:t>
                  </m:r>
                </m:oMath>
              </a14:m>
              <a:r>
                <a:rPr lang="en-US" sz="2400"/>
                <a:t>PMT*</a:t>
              </a:r>
              <a14:m>
                <m:oMath xmlns:m="http://schemas.openxmlformats.org/officeDocument/2006/math">
                  <m:d>
                    <m:dPr>
                      <m:begChr m:val="["/>
                      <m:endChr m:val="]"/>
                      <m:ctrlPr>
                        <a:rPr lang="en-US" sz="2400" i="1">
                          <a:latin typeface="Cambria Math" panose="02040503050406030204" pitchFamily="18" charset="0"/>
                        </a:rPr>
                      </m:ctrlPr>
                    </m:dPr>
                    <m:e>
                      <m:f>
                        <m:fPr>
                          <m:ctrlPr>
                            <a:rPr lang="en-US" sz="2400" i="1">
                              <a:latin typeface="Cambria Math" panose="02040503050406030204" pitchFamily="18" charset="0"/>
                            </a:rPr>
                          </m:ctrlPr>
                        </m:fPr>
                        <m:num>
                          <m:r>
                            <a:rPr lang="en-US" sz="2400" b="0" i="1">
                              <a:latin typeface="Cambria Math"/>
                            </a:rPr>
                            <m:t>1</m:t>
                          </m:r>
                        </m:num>
                        <m:den>
                          <m:r>
                            <a:rPr lang="en-US" sz="2400" b="0" i="1">
                              <a:latin typeface="Cambria Math"/>
                            </a:rPr>
                            <m:t>𝑟</m:t>
                          </m:r>
                        </m:den>
                      </m:f>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1</m:t>
                          </m:r>
                        </m:num>
                        <m:den>
                          <m:r>
                            <a:rPr lang="en-US" sz="2400" b="0" i="1">
                              <a:latin typeface="Cambria Math"/>
                            </a:rPr>
                            <m:t>𝑟</m:t>
                          </m:r>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𝑟</m:t>
                                  </m:r>
                                </m:e>
                              </m:d>
                            </m:e>
                            <m:sup>
                              <m:r>
                                <a:rPr lang="en-US" sz="2400" b="0" i="1">
                                  <a:latin typeface="Cambria Math"/>
                                </a:rPr>
                                <m:t>𝑛</m:t>
                              </m:r>
                            </m:sup>
                          </m:sSup>
                        </m:den>
                      </m:f>
                    </m:e>
                  </m:d>
                </m:oMath>
              </a14:m>
              <a:endParaRPr lang="ru-RU" sz="1400"/>
            </a:p>
          </xdr:txBody>
        </xdr:sp>
      </mc:Choice>
      <mc:Fallback>
        <xdr:sp macro="" textlink="">
          <xdr:nvSpPr>
            <xdr:cNvPr id="12" name="TextBox 11">
              <a:extLst>
                <a:ext uri="{FF2B5EF4-FFF2-40B4-BE49-F238E27FC236}">
                  <a16:creationId xmlns:a16="http://schemas.microsoft.com/office/drawing/2014/main" id="{00000000-0008-0000-0000-00001D000000}"/>
                </a:ext>
              </a:extLst>
            </xdr:cNvPr>
            <xdr:cNvSpPr txBox="1"/>
          </xdr:nvSpPr>
          <xdr:spPr>
            <a:xfrm>
              <a:off x="9760528" y="27657136"/>
              <a:ext cx="6314642" cy="672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0" i="0">
                  <a:latin typeface="Cambria Math"/>
                </a:rPr>
                <a:t>𝑃𝑉</a:t>
              </a:r>
              <a:r>
                <a:rPr lang="en-US" sz="2400" b="0" i="0">
                  <a:latin typeface="Cambria Math" panose="02040503050406030204" pitchFamily="18" charset="0"/>
                </a:rPr>
                <a:t>(</a:t>
              </a:r>
              <a:r>
                <a:rPr lang="en-US" sz="2400" b="0" i="0">
                  <a:latin typeface="Cambria Math"/>
                </a:rPr>
                <a:t>𝑜𝑟𝑑𝑖𝑛𝑎𝑟𝑦 𝑎𝑛𝑛𝑢𝑖𝑡𝑦</a:t>
              </a:r>
              <a:r>
                <a:rPr lang="en-US" sz="2400" b="0" i="0">
                  <a:latin typeface="Cambria Math" panose="02040503050406030204" pitchFamily="18" charset="0"/>
                </a:rPr>
                <a:t>)</a:t>
              </a:r>
              <a:r>
                <a:rPr lang="en-US" sz="2400" b="0" i="0">
                  <a:latin typeface="Cambria Math"/>
                </a:rPr>
                <a:t>=</a:t>
              </a:r>
              <a:r>
                <a:rPr lang="en-US" sz="2400"/>
                <a:t>PMT*</a:t>
              </a:r>
              <a:r>
                <a:rPr lang="en-US" sz="2400" i="0">
                  <a:latin typeface="Cambria Math" panose="02040503050406030204" pitchFamily="18" charset="0"/>
                </a:rPr>
                <a:t>[</a:t>
              </a:r>
              <a:r>
                <a:rPr lang="en-US" sz="2400" b="0" i="0">
                  <a:latin typeface="Cambria Math"/>
                </a:rPr>
                <a:t>1</a:t>
              </a:r>
              <a:r>
                <a:rPr lang="en-US" sz="2400" b="0" i="0">
                  <a:latin typeface="Cambria Math" panose="02040503050406030204" pitchFamily="18" charset="0"/>
                </a:rPr>
                <a:t>/</a:t>
              </a:r>
              <a:r>
                <a:rPr lang="en-US" sz="2400" b="0" i="0">
                  <a:latin typeface="Cambria Math"/>
                </a:rPr>
                <a:t>𝑟−1</a:t>
              </a:r>
              <a:r>
                <a:rPr lang="en-US" sz="2400" b="0" i="0">
                  <a:latin typeface="Cambria Math" panose="02040503050406030204" pitchFamily="18" charset="0"/>
                </a:rPr>
                <a:t>/(</a:t>
              </a:r>
              <a:r>
                <a:rPr lang="en-US" sz="2400" b="0" i="0">
                  <a:latin typeface="Cambria Math"/>
                </a:rPr>
                <a:t>𝑟</a:t>
              </a:r>
              <a:r>
                <a:rPr lang="en-US" sz="2400" b="0" i="0">
                  <a:latin typeface="Cambria Math" panose="02040503050406030204" pitchFamily="18" charset="0"/>
                </a:rPr>
                <a:t>(</a:t>
              </a:r>
              <a:r>
                <a:rPr lang="en-US" sz="2400" b="0" i="0">
                  <a:latin typeface="Cambria Math"/>
                </a:rPr>
                <a:t>1+𝑟</a:t>
              </a:r>
              <a:r>
                <a:rPr lang="en-US" sz="2400" b="0" i="0">
                  <a:latin typeface="Cambria Math" panose="02040503050406030204" pitchFamily="18" charset="0"/>
                </a:rPr>
                <a:t>)^</a:t>
              </a:r>
              <a:r>
                <a:rPr lang="en-US" sz="2400" b="0" i="0">
                  <a:latin typeface="Cambria Math"/>
                </a:rPr>
                <a:t>𝑛</a:t>
              </a:r>
              <a:r>
                <a:rPr lang="en-US" sz="2400" b="0" i="0">
                  <a:latin typeface="Cambria Math" panose="02040503050406030204" pitchFamily="18" charset="0"/>
                </a:rPr>
                <a:t> )]</a:t>
              </a:r>
              <a:endParaRPr lang="ru-RU" sz="1400"/>
            </a:p>
          </xdr:txBody>
        </xdr:sp>
      </mc:Fallback>
    </mc:AlternateContent>
    <xdr:clientData/>
  </xdr:oneCellAnchor>
  <xdr:twoCellAnchor>
    <xdr:from>
      <xdr:col>1</xdr:col>
      <xdr:colOff>277091</xdr:colOff>
      <xdr:row>214</xdr:row>
      <xdr:rowOff>207818</xdr:rowOff>
    </xdr:from>
    <xdr:to>
      <xdr:col>2</xdr:col>
      <xdr:colOff>1313411</xdr:colOff>
      <xdr:row>216</xdr:row>
      <xdr:rowOff>215439</xdr:rowOff>
    </xdr:to>
    <xdr:pic>
      <xdr:nvPicPr>
        <xdr:cNvPr id="13" name="Рисунок 12">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48616" y="40955768"/>
          <a:ext cx="1264920" cy="379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222894</xdr:colOff>
      <xdr:row>207</xdr:row>
      <xdr:rowOff>22412</xdr:rowOff>
    </xdr:from>
    <xdr:to>
      <xdr:col>4</xdr:col>
      <xdr:colOff>1175394</xdr:colOff>
      <xdr:row>208</xdr:row>
      <xdr:rowOff>30032</xdr:rowOff>
    </xdr:to>
    <xdr:pic>
      <xdr:nvPicPr>
        <xdr:cNvPr id="14" name="Рисунок 13">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08994" y="39455912"/>
          <a:ext cx="55245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705970</xdr:colOff>
      <xdr:row>207</xdr:row>
      <xdr:rowOff>22412</xdr:rowOff>
    </xdr:from>
    <xdr:to>
      <xdr:col>6</xdr:col>
      <xdr:colOff>47757</xdr:colOff>
      <xdr:row>208</xdr:row>
      <xdr:rowOff>30032</xdr:rowOff>
    </xdr:to>
    <xdr:pic>
      <xdr:nvPicPr>
        <xdr:cNvPr id="15" name="Рисунок 14">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63595" y="39455912"/>
          <a:ext cx="113312"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274442</xdr:colOff>
      <xdr:row>214</xdr:row>
      <xdr:rowOff>118783</xdr:rowOff>
    </xdr:from>
    <xdr:to>
      <xdr:col>5</xdr:col>
      <xdr:colOff>459639</xdr:colOff>
      <xdr:row>216</xdr:row>
      <xdr:rowOff>188056</xdr:rowOff>
    </xdr:to>
    <xdr:pic>
      <xdr:nvPicPr>
        <xdr:cNvPr id="16" name="Рисунок 15">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89017" y="40885783"/>
          <a:ext cx="1728247" cy="450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236</xdr:row>
      <xdr:rowOff>103909</xdr:rowOff>
    </xdr:from>
    <xdr:to>
      <xdr:col>2</xdr:col>
      <xdr:colOff>1154892</xdr:colOff>
      <xdr:row>238</xdr:row>
      <xdr:rowOff>207819</xdr:rowOff>
    </xdr:to>
    <xdr:pic>
      <xdr:nvPicPr>
        <xdr:cNvPr id="17" name="Рисунок 16">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71525" y="45061909"/>
          <a:ext cx="1545417" cy="46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225137</xdr:colOff>
      <xdr:row>236</xdr:row>
      <xdr:rowOff>121228</xdr:rowOff>
    </xdr:from>
    <xdr:to>
      <xdr:col>4</xdr:col>
      <xdr:colOff>777241</xdr:colOff>
      <xdr:row>239</xdr:row>
      <xdr:rowOff>83820</xdr:rowOff>
    </xdr:to>
    <xdr:pic>
      <xdr:nvPicPr>
        <xdr:cNvPr id="18" name="Рисунок 17">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39712" y="45079228"/>
          <a:ext cx="1314104" cy="534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756906</xdr:colOff>
      <xdr:row>240</xdr:row>
      <xdr:rowOff>57047</xdr:rowOff>
    </xdr:from>
    <xdr:to>
      <xdr:col>1</xdr:col>
      <xdr:colOff>2488724</xdr:colOff>
      <xdr:row>242</xdr:row>
      <xdr:rowOff>211220</xdr:rowOff>
    </xdr:to>
    <xdr:pic>
      <xdr:nvPicPr>
        <xdr:cNvPr id="19" name="Рисунок 18">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28431" y="45777047"/>
          <a:ext cx="17318" cy="516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1109383</xdr:colOff>
      <xdr:row>254</xdr:row>
      <xdr:rowOff>145676</xdr:rowOff>
    </xdr:from>
    <xdr:ext cx="3944470" cy="574516"/>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00000000-0008-0000-0000-000025000000}"/>
                </a:ext>
              </a:extLst>
            </xdr:cNvPr>
            <xdr:cNvSpPr txBox="1"/>
          </xdr:nvSpPr>
          <xdr:spPr>
            <a:xfrm>
              <a:off x="3862108" y="48532676"/>
              <a:ext cx="3944470" cy="5745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de-DE" sz="2800" b="0" i="1">
                      <a:latin typeface="Cambria Math"/>
                    </a:rPr>
                    <m:t>𝐹𝑉</m:t>
                  </m:r>
                </m:oMath>
              </a14:m>
              <a:r>
                <a:rPr lang="en-US" sz="2800"/>
                <a:t>=PV*</a:t>
              </a:r>
              <a14:m>
                <m:oMath xmlns:m="http://schemas.openxmlformats.org/officeDocument/2006/math">
                  <m:sSup>
                    <m:sSupPr>
                      <m:ctrlPr>
                        <a:rPr lang="en-US" sz="2800" i="1">
                          <a:latin typeface="Cambria Math" panose="02040503050406030204" pitchFamily="18" charset="0"/>
                        </a:rPr>
                      </m:ctrlPr>
                    </m:sSupPr>
                    <m:e>
                      <m:r>
                        <a:rPr lang="en-US" sz="2800" i="1">
                          <a:solidFill>
                            <a:schemeClr val="tx1"/>
                          </a:solidFill>
                          <a:effectLst/>
                          <a:latin typeface="Cambria Math"/>
                          <a:ea typeface="+mn-ea"/>
                          <a:cs typeface="+mn-cs"/>
                        </a:rPr>
                        <m:t>(1+</m:t>
                      </m:r>
                      <m:r>
                        <a:rPr lang="en-US" sz="2800" i="1">
                          <a:solidFill>
                            <a:schemeClr val="tx1"/>
                          </a:solidFill>
                          <a:effectLst/>
                          <a:latin typeface="Cambria Math"/>
                          <a:ea typeface="+mn-ea"/>
                          <a:cs typeface="+mn-cs"/>
                        </a:rPr>
                        <m:t>𝑟</m:t>
                      </m:r>
                      <m:r>
                        <a:rPr lang="en-US" sz="2800" i="1">
                          <a:solidFill>
                            <a:schemeClr val="tx1"/>
                          </a:solidFill>
                          <a:effectLst/>
                          <a:latin typeface="Cambria Math"/>
                          <a:ea typeface="+mn-ea"/>
                          <a:cs typeface="+mn-cs"/>
                        </a:rPr>
                        <m:t>)</m:t>
                      </m:r>
                    </m:e>
                    <m:sup>
                      <m:r>
                        <a:rPr lang="en-US" sz="2800" b="0" i="1">
                          <a:latin typeface="Cambria Math"/>
                        </a:rPr>
                        <m:t>𝑡</m:t>
                      </m:r>
                    </m:sup>
                  </m:sSup>
                </m:oMath>
              </a14:m>
              <a:endParaRPr lang="ru-RU" sz="2800"/>
            </a:p>
          </xdr:txBody>
        </xdr:sp>
      </mc:Choice>
      <mc:Fallback>
        <xdr:sp macro="" textlink="">
          <xdr:nvSpPr>
            <xdr:cNvPr id="20" name="TextBox 19">
              <a:extLst>
                <a:ext uri="{FF2B5EF4-FFF2-40B4-BE49-F238E27FC236}">
                  <a16:creationId xmlns:a16="http://schemas.microsoft.com/office/drawing/2014/main" id="{00000000-0008-0000-0000-000025000000}"/>
                </a:ext>
              </a:extLst>
            </xdr:cNvPr>
            <xdr:cNvSpPr txBox="1"/>
          </xdr:nvSpPr>
          <xdr:spPr>
            <a:xfrm>
              <a:off x="3862108" y="48532676"/>
              <a:ext cx="3944470" cy="5745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b="0" i="0">
                  <a:latin typeface="Cambria Math"/>
                </a:rPr>
                <a:t>𝐹𝑉</a:t>
              </a:r>
              <a:r>
                <a:rPr lang="en-US" sz="2800"/>
                <a:t>=PV*</a:t>
              </a:r>
              <a:r>
                <a:rPr lang="en-US" sz="2800" i="0">
                  <a:latin typeface="Cambria Math" panose="02040503050406030204" pitchFamily="18" charset="0"/>
                </a:rPr>
                <a:t>〖</a:t>
              </a:r>
              <a:r>
                <a:rPr lang="en-US" sz="2800" i="0">
                  <a:solidFill>
                    <a:schemeClr val="tx1"/>
                  </a:solidFill>
                  <a:effectLst/>
                  <a:latin typeface="Cambria Math"/>
                  <a:ea typeface="+mn-ea"/>
                  <a:cs typeface="+mn-cs"/>
                </a:rPr>
                <a:t>(1+𝑟)</a:t>
              </a:r>
              <a:r>
                <a:rPr lang="en-US" sz="2800" i="0">
                  <a:solidFill>
                    <a:schemeClr val="tx1"/>
                  </a:solidFill>
                  <a:effectLst/>
                  <a:latin typeface="Cambria Math" panose="02040503050406030204" pitchFamily="18" charset="0"/>
                  <a:ea typeface="+mn-ea"/>
                  <a:cs typeface="+mn-cs"/>
                </a:rPr>
                <a:t>〗^</a:t>
              </a:r>
              <a:r>
                <a:rPr lang="en-US" sz="2800" b="0" i="0">
                  <a:latin typeface="Cambria Math"/>
                </a:rPr>
                <a:t>𝑡</a:t>
              </a:r>
              <a:endParaRPr lang="ru-RU" sz="2800"/>
            </a:p>
          </xdr:txBody>
        </xdr:sp>
      </mc:Fallback>
    </mc:AlternateContent>
    <xdr:clientData/>
  </xdr:oneCellAnchor>
  <xdr:oneCellAnchor>
    <xdr:from>
      <xdr:col>4</xdr:col>
      <xdr:colOff>1187825</xdr:colOff>
      <xdr:row>258</xdr:row>
      <xdr:rowOff>224119</xdr:rowOff>
    </xdr:from>
    <xdr:ext cx="1972234" cy="708014"/>
    <mc:AlternateContent xmlns:mc="http://schemas.openxmlformats.org/markup-compatibility/2006">
      <mc:Choice xmlns:a14="http://schemas.microsoft.com/office/drawing/2010/main" Requires="a14">
        <xdr:sp macro="" textlink="">
          <xdr:nvSpPr>
            <xdr:cNvPr id="21" name="TextBox 20">
              <a:extLst>
                <a:ext uri="{FF2B5EF4-FFF2-40B4-BE49-F238E27FC236}">
                  <a16:creationId xmlns:a16="http://schemas.microsoft.com/office/drawing/2014/main" id="{00000000-0008-0000-0000-000026000000}"/>
                </a:ext>
              </a:extLst>
            </xdr:cNvPr>
            <xdr:cNvSpPr txBox="1"/>
          </xdr:nvSpPr>
          <xdr:spPr>
            <a:xfrm>
              <a:off x="3854825" y="49335019"/>
              <a:ext cx="1972234" cy="708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sSup>
                    <m:sSupPr>
                      <m:ctrlPr>
                        <a:rPr lang="en-US" sz="2800" i="1">
                          <a:latin typeface="Cambria Math" panose="02040503050406030204" pitchFamily="18" charset="0"/>
                        </a:rPr>
                      </m:ctrlPr>
                    </m:sSupPr>
                    <m:e>
                      <m:r>
                        <a:rPr lang="en-US" sz="2800" i="1">
                          <a:solidFill>
                            <a:schemeClr val="tx1"/>
                          </a:solidFill>
                          <a:effectLst/>
                          <a:latin typeface="Cambria Math"/>
                          <a:ea typeface="+mn-ea"/>
                          <a:cs typeface="+mn-cs"/>
                        </a:rPr>
                        <m:t>(1+</m:t>
                      </m:r>
                      <m:r>
                        <a:rPr lang="en-US" sz="2800" i="1">
                          <a:solidFill>
                            <a:schemeClr val="tx1"/>
                          </a:solidFill>
                          <a:effectLst/>
                          <a:latin typeface="Cambria Math"/>
                          <a:ea typeface="+mn-ea"/>
                          <a:cs typeface="+mn-cs"/>
                        </a:rPr>
                        <m:t>𝑟</m:t>
                      </m:r>
                      <m:r>
                        <a:rPr lang="en-US" sz="2800" i="1">
                          <a:solidFill>
                            <a:schemeClr val="tx1"/>
                          </a:solidFill>
                          <a:effectLst/>
                          <a:latin typeface="Cambria Math"/>
                          <a:ea typeface="+mn-ea"/>
                          <a:cs typeface="+mn-cs"/>
                        </a:rPr>
                        <m:t>)</m:t>
                      </m:r>
                    </m:e>
                    <m:sup>
                      <m:r>
                        <m:rPr>
                          <m:nor/>
                        </m:rPr>
                        <a:rPr lang="en-US" sz="2800">
                          <a:solidFill>
                            <a:schemeClr val="tx1"/>
                          </a:solidFill>
                          <a:effectLst/>
                          <a:latin typeface="+mn-lt"/>
                          <a:ea typeface="+mn-ea"/>
                          <a:cs typeface="+mn-cs"/>
                        </a:rPr>
                        <m:t>t</m:t>
                      </m:r>
                    </m:sup>
                  </m:sSup>
                </m:oMath>
              </a14:m>
              <a:r>
                <a:rPr lang="en-US" sz="2800"/>
                <a:t>=</a:t>
              </a:r>
              <a14:m>
                <m:oMath xmlns:m="http://schemas.openxmlformats.org/officeDocument/2006/math">
                  <m:f>
                    <m:fPr>
                      <m:ctrlPr>
                        <a:rPr lang="en-US" sz="2800" i="1">
                          <a:latin typeface="Cambria Math" panose="02040503050406030204" pitchFamily="18" charset="0"/>
                        </a:rPr>
                      </m:ctrlPr>
                    </m:fPr>
                    <m:num>
                      <m:r>
                        <a:rPr lang="en-US" sz="2800" b="0" i="1">
                          <a:latin typeface="Cambria Math"/>
                        </a:rPr>
                        <m:t>𝐹𝑉</m:t>
                      </m:r>
                    </m:num>
                    <m:den>
                      <m:r>
                        <a:rPr lang="en-US" sz="2800" b="0" i="1">
                          <a:latin typeface="Cambria Math"/>
                        </a:rPr>
                        <m:t>𝑃𝑉</m:t>
                      </m:r>
                    </m:den>
                  </m:f>
                </m:oMath>
              </a14:m>
              <a:endParaRPr lang="ru-RU" sz="2800"/>
            </a:p>
          </xdr:txBody>
        </xdr:sp>
      </mc:Choice>
      <mc:Fallback>
        <xdr:sp macro="" textlink="">
          <xdr:nvSpPr>
            <xdr:cNvPr id="21" name="TextBox 20">
              <a:extLst>
                <a:ext uri="{FF2B5EF4-FFF2-40B4-BE49-F238E27FC236}">
                  <a16:creationId xmlns:a16="http://schemas.microsoft.com/office/drawing/2014/main" id="{00000000-0008-0000-0000-000026000000}"/>
                </a:ext>
              </a:extLst>
            </xdr:cNvPr>
            <xdr:cNvSpPr txBox="1"/>
          </xdr:nvSpPr>
          <xdr:spPr>
            <a:xfrm>
              <a:off x="3854825" y="49335019"/>
              <a:ext cx="1972234" cy="708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i="0">
                  <a:latin typeface="Cambria Math" panose="02040503050406030204" pitchFamily="18" charset="0"/>
                </a:rPr>
                <a:t>〖</a:t>
              </a:r>
              <a:r>
                <a:rPr lang="en-US" sz="2800" i="0">
                  <a:solidFill>
                    <a:schemeClr val="tx1"/>
                  </a:solidFill>
                  <a:effectLst/>
                  <a:latin typeface="Cambria Math"/>
                  <a:ea typeface="+mn-ea"/>
                  <a:cs typeface="+mn-cs"/>
                </a:rPr>
                <a:t>(1+𝑟)</a:t>
              </a:r>
              <a:r>
                <a:rPr lang="en-US" sz="2800" i="0">
                  <a:solidFill>
                    <a:schemeClr val="tx1"/>
                  </a:solidFill>
                  <a:effectLst/>
                  <a:latin typeface="Cambria Math" panose="02040503050406030204" pitchFamily="18" charset="0"/>
                  <a:ea typeface="+mn-ea"/>
                  <a:cs typeface="+mn-cs"/>
                </a:rPr>
                <a:t>〗^</a:t>
              </a:r>
              <a:r>
                <a:rPr lang="en-US" sz="2800" i="0">
                  <a:solidFill>
                    <a:schemeClr val="tx1"/>
                  </a:solidFill>
                  <a:effectLst/>
                  <a:latin typeface="+mn-lt"/>
                  <a:ea typeface="+mn-ea"/>
                  <a:cs typeface="+mn-cs"/>
                </a:rPr>
                <a:t>"t</a:t>
              </a:r>
              <a:r>
                <a:rPr lang="en-US" sz="2800" i="0">
                  <a:solidFill>
                    <a:schemeClr val="tx1"/>
                  </a:solidFill>
                  <a:effectLst/>
                  <a:latin typeface="Cambria Math" panose="02040503050406030204" pitchFamily="18" charset="0"/>
                  <a:ea typeface="+mn-ea"/>
                  <a:cs typeface="+mn-cs"/>
                </a:rPr>
                <a:t>" </a:t>
              </a:r>
              <a:r>
                <a:rPr lang="en-US" sz="2800"/>
                <a:t>=</a:t>
              </a:r>
              <a:r>
                <a:rPr lang="en-US" sz="2800" b="0" i="0">
                  <a:latin typeface="Cambria Math"/>
                </a:rPr>
                <a:t>𝐹𝑉</a:t>
              </a:r>
              <a:r>
                <a:rPr lang="en-US" sz="2800" b="0" i="0">
                  <a:latin typeface="Cambria Math" panose="02040503050406030204" pitchFamily="18" charset="0"/>
                </a:rPr>
                <a:t>/</a:t>
              </a:r>
              <a:r>
                <a:rPr lang="en-US" sz="2800" b="0" i="0">
                  <a:latin typeface="Cambria Math"/>
                </a:rPr>
                <a:t>𝑃𝑉</a:t>
              </a:r>
              <a:endParaRPr lang="ru-RU" sz="2800"/>
            </a:p>
          </xdr:txBody>
        </xdr:sp>
      </mc:Fallback>
    </mc:AlternateContent>
    <xdr:clientData/>
  </xdr:oneCellAnchor>
  <xdr:oneCellAnchor>
    <xdr:from>
      <xdr:col>5</xdr:col>
      <xdr:colOff>11207</xdr:colOff>
      <xdr:row>262</xdr:row>
      <xdr:rowOff>168089</xdr:rowOff>
    </xdr:from>
    <xdr:ext cx="1972234" cy="829971"/>
    <mc:AlternateContent xmlns:mc="http://schemas.openxmlformats.org/markup-compatibility/2006">
      <mc:Choice xmlns:a14="http://schemas.microsoft.com/office/drawing/2010/main" Requires="a14">
        <xdr:sp macro="" textlink="">
          <xdr:nvSpPr>
            <xdr:cNvPr id="22" name="TextBox 21">
              <a:extLst>
                <a:ext uri="{FF2B5EF4-FFF2-40B4-BE49-F238E27FC236}">
                  <a16:creationId xmlns:a16="http://schemas.microsoft.com/office/drawing/2014/main" id="{00000000-0008-0000-0000-000027000000}"/>
                </a:ext>
              </a:extLst>
            </xdr:cNvPr>
            <xdr:cNvSpPr txBox="1"/>
          </xdr:nvSpPr>
          <xdr:spPr>
            <a:xfrm>
              <a:off x="3868832" y="50079089"/>
              <a:ext cx="1972234" cy="829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US" sz="2800" b="0" i="1">
                      <a:latin typeface="Cambria Math"/>
                    </a:rPr>
                    <m:t>𝑡</m:t>
                  </m:r>
                </m:oMath>
              </a14:m>
              <a:r>
                <a:rPr lang="en-US" sz="2800"/>
                <a:t>=</a:t>
              </a:r>
              <a14:m>
                <m:oMath xmlns:m="http://schemas.openxmlformats.org/officeDocument/2006/math">
                  <m:f>
                    <m:fPr>
                      <m:ctrlPr>
                        <a:rPr lang="en-US" sz="2800" i="1">
                          <a:latin typeface="Cambria Math" panose="02040503050406030204" pitchFamily="18" charset="0"/>
                        </a:rPr>
                      </m:ctrlPr>
                    </m:fPr>
                    <m:num>
                      <m:r>
                        <a:rPr lang="en-US" sz="2800" b="0" i="1">
                          <a:latin typeface="Cambria Math"/>
                        </a:rPr>
                        <m:t>𝐿𝑁</m:t>
                      </m:r>
                      <m:r>
                        <a:rPr lang="en-US" sz="2800" b="0" i="1">
                          <a:latin typeface="Cambria Math"/>
                        </a:rPr>
                        <m:t>(</m:t>
                      </m:r>
                      <m:f>
                        <m:fPr>
                          <m:type m:val="skw"/>
                          <m:ctrlPr>
                            <a:rPr lang="en-US" sz="2800" b="0" i="1">
                              <a:latin typeface="Cambria Math" panose="02040503050406030204" pitchFamily="18" charset="0"/>
                            </a:rPr>
                          </m:ctrlPr>
                        </m:fPr>
                        <m:num>
                          <m:r>
                            <a:rPr lang="en-US" sz="2800" b="0" i="1">
                              <a:latin typeface="Cambria Math"/>
                            </a:rPr>
                            <m:t>𝐹𝑉</m:t>
                          </m:r>
                        </m:num>
                        <m:den>
                          <m:r>
                            <a:rPr lang="en-US" sz="2800" b="0" i="1">
                              <a:latin typeface="Cambria Math"/>
                            </a:rPr>
                            <m:t>𝑃𝑉</m:t>
                          </m:r>
                        </m:den>
                      </m:f>
                      <m:r>
                        <a:rPr lang="en-US" sz="2800" b="0" i="1">
                          <a:latin typeface="Cambria Math"/>
                        </a:rPr>
                        <m:t>)</m:t>
                      </m:r>
                    </m:num>
                    <m:den>
                      <m:r>
                        <a:rPr lang="en-US" sz="2800" b="0" i="1">
                          <a:latin typeface="Cambria Math"/>
                        </a:rPr>
                        <m:t>𝐿𝑁</m:t>
                      </m:r>
                      <m:r>
                        <a:rPr lang="en-US" sz="2800" b="0" i="1">
                          <a:latin typeface="Cambria Math"/>
                        </a:rPr>
                        <m:t>(1+</m:t>
                      </m:r>
                      <m:r>
                        <a:rPr lang="en-US" sz="2800" b="0" i="1">
                          <a:latin typeface="Cambria Math"/>
                        </a:rPr>
                        <m:t>𝑟</m:t>
                      </m:r>
                      <m:r>
                        <a:rPr lang="en-US" sz="2800" b="0" i="1">
                          <a:latin typeface="Cambria Math"/>
                        </a:rPr>
                        <m:t>)</m:t>
                      </m:r>
                    </m:den>
                  </m:f>
                </m:oMath>
              </a14:m>
              <a:endParaRPr lang="ru-RU" sz="2800"/>
            </a:p>
          </xdr:txBody>
        </xdr:sp>
      </mc:Choice>
      <mc:Fallback>
        <xdr:sp macro="" textlink="">
          <xdr:nvSpPr>
            <xdr:cNvPr id="22" name="TextBox 21">
              <a:extLst>
                <a:ext uri="{FF2B5EF4-FFF2-40B4-BE49-F238E27FC236}">
                  <a16:creationId xmlns:a16="http://schemas.microsoft.com/office/drawing/2014/main" id="{00000000-0008-0000-0000-000027000000}"/>
                </a:ext>
              </a:extLst>
            </xdr:cNvPr>
            <xdr:cNvSpPr txBox="1"/>
          </xdr:nvSpPr>
          <xdr:spPr>
            <a:xfrm>
              <a:off x="3868832" y="50079089"/>
              <a:ext cx="1972234" cy="829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0" i="0">
                  <a:latin typeface="Cambria Math"/>
                </a:rPr>
                <a:t>𝑡</a:t>
              </a:r>
              <a:r>
                <a:rPr lang="en-US" sz="2800"/>
                <a:t>=</a:t>
              </a:r>
              <a:r>
                <a:rPr lang="en-US" sz="2800" i="0">
                  <a:latin typeface="Cambria Math" panose="02040503050406030204" pitchFamily="18" charset="0"/>
                </a:rPr>
                <a:t>(</a:t>
              </a:r>
              <a:r>
                <a:rPr lang="en-US" sz="2800" b="0" i="0">
                  <a:latin typeface="Cambria Math"/>
                </a:rPr>
                <a:t>𝐿𝑁(𝐹𝑉</a:t>
              </a:r>
              <a:r>
                <a:rPr lang="en-US" sz="2800" b="0" i="0">
                  <a:latin typeface="Cambria Math" panose="02040503050406030204" pitchFamily="18" charset="0"/>
                </a:rPr>
                <a:t>⁄</a:t>
              </a:r>
              <a:r>
                <a:rPr lang="en-US" sz="2800" b="0" i="0">
                  <a:latin typeface="Cambria Math"/>
                </a:rPr>
                <a:t>𝑃𝑉)</a:t>
              </a:r>
              <a:r>
                <a:rPr lang="en-US" sz="2800" b="0" i="0">
                  <a:latin typeface="Cambria Math" panose="02040503050406030204" pitchFamily="18" charset="0"/>
                </a:rPr>
                <a:t>)/(</a:t>
              </a:r>
              <a:r>
                <a:rPr lang="en-US" sz="2800" b="0" i="0">
                  <a:latin typeface="Cambria Math"/>
                </a:rPr>
                <a:t>𝐿𝑁(1+𝑟)</a:t>
              </a:r>
              <a:r>
                <a:rPr lang="en-US" sz="2800" b="0" i="0">
                  <a:latin typeface="Cambria Math" panose="02040503050406030204" pitchFamily="18" charset="0"/>
                </a:rPr>
                <a:t>)</a:t>
              </a:r>
              <a:endParaRPr lang="ru-RU" sz="28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12</xdr:col>
      <xdr:colOff>466725</xdr:colOff>
      <xdr:row>1</xdr:row>
      <xdr:rowOff>228600</xdr:rowOff>
    </xdr:from>
    <xdr:ext cx="5456465" cy="759375"/>
    <mc:AlternateContent xmlns:mc="http://schemas.openxmlformats.org/markup-compatibility/2006" xmlns:a14="http://schemas.microsoft.com/office/drawing/2010/main">
      <mc:Choice Requires="a14">
        <xdr:sp macro="" textlink="">
          <xdr:nvSpPr>
            <xdr:cNvPr id="2" name="TextBox 1"/>
            <xdr:cNvSpPr txBox="1"/>
          </xdr:nvSpPr>
          <xdr:spPr>
            <a:xfrm>
              <a:off x="9725025" y="381000"/>
              <a:ext cx="5456465" cy="759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a:t>PV=</a:t>
              </a:r>
              <a14:m>
                <m:oMath xmlns:m="http://schemas.openxmlformats.org/officeDocument/2006/math">
                  <m:f>
                    <m:fPr>
                      <m:ctrlPr>
                        <a:rPr lang="de-DE" sz="2800" i="1">
                          <a:latin typeface="Cambria Math" panose="02040503050406030204" pitchFamily="18" charset="0"/>
                        </a:rPr>
                      </m:ctrlPr>
                    </m:fPr>
                    <m:num>
                      <m:r>
                        <a:rPr lang="en-US" sz="2800" b="0" i="1">
                          <a:latin typeface="Cambria Math"/>
                        </a:rPr>
                        <m:t>100</m:t>
                      </m:r>
                    </m:num>
                    <m:den>
                      <m:sSup>
                        <m:sSupPr>
                          <m:ctrlPr>
                            <a:rPr lang="de-DE" sz="2800" i="1">
                              <a:latin typeface="Cambria Math" panose="02040503050406030204" pitchFamily="18" charset="0"/>
                            </a:rPr>
                          </m:ctrlPr>
                        </m:sSupPr>
                        <m:e>
                          <m:d>
                            <m:dPr>
                              <m:ctrlPr>
                                <a:rPr lang="de-DE" sz="2800" i="1">
                                  <a:latin typeface="Cambria Math" panose="02040503050406030204" pitchFamily="18" charset="0"/>
                                </a:rPr>
                              </m:ctrlPr>
                            </m:dPr>
                            <m:e>
                              <m:r>
                                <a:rPr lang="en-US" sz="2800" b="0" i="1">
                                  <a:latin typeface="Cambria Math"/>
                                </a:rPr>
                                <m:t>1+0,05</m:t>
                              </m:r>
                            </m:e>
                          </m:d>
                        </m:e>
                        <m:sup>
                          <m:r>
                            <a:rPr lang="en-US" sz="2800" b="0" i="1">
                              <a:latin typeface="Cambria Math"/>
                            </a:rPr>
                            <m:t>0</m:t>
                          </m:r>
                        </m:sup>
                      </m:sSup>
                    </m:den>
                  </m:f>
                  <m:r>
                    <a:rPr lang="en-US" sz="2800" b="0" i="1">
                      <a:latin typeface="Cambria Math"/>
                    </a:rPr>
                    <m:t>+</m:t>
                  </m:r>
                  <m:f>
                    <m:fPr>
                      <m:ctrlPr>
                        <a:rPr lang="de-DE" sz="280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100</m:t>
                      </m:r>
                    </m:num>
                    <m:den>
                      <m:sSup>
                        <m:sSupPr>
                          <m:ctrlPr>
                            <a:rPr lang="de-DE" sz="2800" i="1">
                              <a:solidFill>
                                <a:schemeClr val="tx1"/>
                              </a:solidFill>
                              <a:effectLst/>
                              <a:latin typeface="Cambria Math" panose="02040503050406030204" pitchFamily="18" charset="0"/>
                              <a:ea typeface="+mn-ea"/>
                              <a:cs typeface="+mn-cs"/>
                            </a:rPr>
                          </m:ctrlPr>
                        </m:sSupPr>
                        <m:e>
                          <m:d>
                            <m:dPr>
                              <m:ctrlPr>
                                <a:rPr lang="de-DE" sz="280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1+0,05</m:t>
                              </m:r>
                            </m:e>
                          </m:d>
                        </m:e>
                        <m:sup>
                          <m:r>
                            <a:rPr lang="en-US" sz="2800" b="0" i="1">
                              <a:solidFill>
                                <a:schemeClr val="tx1"/>
                              </a:solidFill>
                              <a:effectLst/>
                              <a:latin typeface="Cambria Math"/>
                              <a:ea typeface="+mn-ea"/>
                              <a:cs typeface="+mn-cs"/>
                            </a:rPr>
                            <m:t>1</m:t>
                          </m:r>
                        </m:sup>
                      </m:sSup>
                    </m:den>
                  </m:f>
                  <m:r>
                    <a:rPr lang="en-US" sz="2800" b="0" i="1">
                      <a:solidFill>
                        <a:schemeClr val="tx1"/>
                      </a:solidFill>
                      <a:effectLst/>
                      <a:latin typeface="Cambria Math"/>
                      <a:ea typeface="+mn-ea"/>
                      <a:cs typeface="+mn-cs"/>
                    </a:rPr>
                    <m:t>+</m:t>
                  </m:r>
                  <m:f>
                    <m:fPr>
                      <m:ctrlPr>
                        <a:rPr lang="de-DE" sz="280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100</m:t>
                      </m:r>
                    </m:num>
                    <m:den>
                      <m:sSup>
                        <m:sSupPr>
                          <m:ctrlPr>
                            <a:rPr lang="de-DE" sz="2800" i="1">
                              <a:solidFill>
                                <a:schemeClr val="tx1"/>
                              </a:solidFill>
                              <a:effectLst/>
                              <a:latin typeface="Cambria Math" panose="02040503050406030204" pitchFamily="18" charset="0"/>
                              <a:ea typeface="+mn-ea"/>
                              <a:cs typeface="+mn-cs"/>
                            </a:rPr>
                          </m:ctrlPr>
                        </m:sSupPr>
                        <m:e>
                          <m:d>
                            <m:dPr>
                              <m:ctrlPr>
                                <a:rPr lang="de-DE" sz="280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1+0,05</m:t>
                              </m:r>
                            </m:e>
                          </m:d>
                        </m:e>
                        <m:sup>
                          <m:r>
                            <a:rPr lang="en-US" sz="2800" b="0" i="1">
                              <a:solidFill>
                                <a:schemeClr val="tx1"/>
                              </a:solidFill>
                              <a:effectLst/>
                              <a:latin typeface="Cambria Math"/>
                              <a:ea typeface="+mn-ea"/>
                              <a:cs typeface="+mn-cs"/>
                            </a:rPr>
                            <m:t>2</m:t>
                          </m:r>
                        </m:sup>
                      </m:sSup>
                    </m:den>
                  </m:f>
                </m:oMath>
              </a14:m>
              <a:endParaRPr lang="ru-RU" sz="2800"/>
            </a:p>
          </xdr:txBody>
        </xdr:sp>
      </mc:Choice>
      <mc:Fallback xmlns="">
        <xdr:sp macro="" textlink="">
          <xdr:nvSpPr>
            <xdr:cNvPr id="2" name="TextBox 1"/>
            <xdr:cNvSpPr txBox="1"/>
          </xdr:nvSpPr>
          <xdr:spPr>
            <a:xfrm>
              <a:off x="9725025" y="381000"/>
              <a:ext cx="5456465" cy="759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a:t>PV=</a:t>
              </a:r>
              <a:r>
                <a:rPr lang="en-US" sz="2800" b="0" i="0">
                  <a:latin typeface="Cambria Math"/>
                </a:rPr>
                <a:t>100</a:t>
              </a:r>
              <a:r>
                <a:rPr lang="de-DE" sz="2800" b="0" i="0">
                  <a:latin typeface="Cambria Math" panose="02040503050406030204" pitchFamily="18" charset="0"/>
                </a:rPr>
                <a:t>/(</a:t>
              </a:r>
              <a:r>
                <a:rPr lang="en-US" sz="2800" b="0" i="0">
                  <a:latin typeface="Cambria Math"/>
                </a:rPr>
                <a:t>1+0,05</a:t>
              </a:r>
              <a:r>
                <a:rPr lang="en-US" sz="2800" b="0" i="0">
                  <a:latin typeface="Cambria Math" panose="02040503050406030204" pitchFamily="18" charset="0"/>
                </a:rPr>
                <a:t>)</a:t>
              </a:r>
              <a:r>
                <a:rPr lang="de-DE" sz="2800" b="0" i="0">
                  <a:latin typeface="Cambria Math" panose="02040503050406030204" pitchFamily="18" charset="0"/>
                </a:rPr>
                <a:t>^</a:t>
              </a:r>
              <a:r>
                <a:rPr lang="en-US" sz="2800" b="0" i="0">
                  <a:latin typeface="Cambria Math"/>
                </a:rPr>
                <a:t>0</a:t>
              </a:r>
              <a:r>
                <a:rPr lang="en-US" sz="2800" b="0" i="0">
                  <a:latin typeface="Cambria Math" panose="02040503050406030204" pitchFamily="18" charset="0"/>
                </a:rPr>
                <a:t> </a:t>
              </a:r>
              <a:r>
                <a:rPr lang="en-US" sz="2800" b="0" i="0">
                  <a:latin typeface="Cambria Math"/>
                </a:rPr>
                <a:t>+</a:t>
              </a:r>
              <a:r>
                <a:rPr lang="en-US" sz="2800" b="0" i="0">
                  <a:solidFill>
                    <a:schemeClr val="tx1"/>
                  </a:solidFill>
                  <a:effectLst/>
                  <a:latin typeface="Cambria Math"/>
                  <a:ea typeface="+mn-ea"/>
                  <a:cs typeface="+mn-cs"/>
                </a:rPr>
                <a:t>100</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1+0,05</a:t>
              </a:r>
              <a:r>
                <a:rPr lang="en-US" sz="2800" b="0" i="0">
                  <a:solidFill>
                    <a:schemeClr val="tx1"/>
                  </a:solidFill>
                  <a:effectLst/>
                  <a:latin typeface="Cambria Math" panose="02040503050406030204" pitchFamily="18" charset="0"/>
                  <a:ea typeface="+mn-ea"/>
                  <a:cs typeface="+mn-cs"/>
                </a:rPr>
                <a:t>)</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a:t>
              </a:r>
              <a:r>
                <a:rPr lang="en-US" sz="2800" b="0" i="0">
                  <a:solidFill>
                    <a:schemeClr val="tx1"/>
                  </a:solidFill>
                  <a:effectLst/>
                  <a:latin typeface="Cambria Math" panose="02040503050406030204" pitchFamily="18" charset="0"/>
                  <a:ea typeface="+mn-ea"/>
                  <a:cs typeface="+mn-cs"/>
                </a:rPr>
                <a:t> </a:t>
              </a:r>
              <a:r>
                <a:rPr lang="en-US" sz="2800" b="0" i="0">
                  <a:solidFill>
                    <a:schemeClr val="tx1"/>
                  </a:solidFill>
                  <a:effectLst/>
                  <a:latin typeface="Cambria Math"/>
                  <a:ea typeface="+mn-ea"/>
                  <a:cs typeface="+mn-cs"/>
                </a:rPr>
                <a:t>+100</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1+0,05</a:t>
              </a:r>
              <a:r>
                <a:rPr lang="en-US" sz="2800" b="0" i="0">
                  <a:solidFill>
                    <a:schemeClr val="tx1"/>
                  </a:solidFill>
                  <a:effectLst/>
                  <a:latin typeface="Cambria Math" panose="02040503050406030204" pitchFamily="18" charset="0"/>
                  <a:ea typeface="+mn-ea"/>
                  <a:cs typeface="+mn-cs"/>
                </a:rPr>
                <a:t>)</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2</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13</xdr:col>
      <xdr:colOff>122461</xdr:colOff>
      <xdr:row>5</xdr:row>
      <xdr:rowOff>225878</xdr:rowOff>
    </xdr:from>
    <xdr:ext cx="9764489" cy="962699"/>
    <mc:AlternateContent xmlns:mc="http://schemas.openxmlformats.org/markup-compatibility/2006" xmlns:a14="http://schemas.microsoft.com/office/drawing/2010/main">
      <mc:Choice Requires="a14">
        <xdr:sp macro="" textlink="">
          <xdr:nvSpPr>
            <xdr:cNvPr id="3" name="TextBox 2"/>
            <xdr:cNvSpPr txBox="1"/>
          </xdr:nvSpPr>
          <xdr:spPr>
            <a:xfrm>
              <a:off x="10152286" y="1140278"/>
              <a:ext cx="9764489" cy="962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800" i="1">
                            <a:latin typeface="Cambria Math" panose="02040503050406030204" pitchFamily="18" charset="0"/>
                          </a:rPr>
                        </m:ctrlPr>
                      </m:sSubPr>
                      <m:e>
                        <m:r>
                          <a:rPr lang="en-US" sz="2800" i="1">
                            <a:solidFill>
                              <a:schemeClr val="tx1"/>
                            </a:solidFill>
                            <a:effectLst/>
                            <a:latin typeface="Cambria Math"/>
                            <a:ea typeface="+mn-ea"/>
                            <a:cs typeface="+mn-cs"/>
                          </a:rPr>
                          <m:t>𝑃</m:t>
                        </m:r>
                        <m:r>
                          <a:rPr lang="en-US" sz="2800" b="0" i="1">
                            <a:solidFill>
                              <a:schemeClr val="tx1"/>
                            </a:solidFill>
                            <a:effectLst/>
                            <a:latin typeface="Cambria Math"/>
                            <a:ea typeface="+mn-ea"/>
                            <a:cs typeface="+mn-cs"/>
                          </a:rPr>
                          <m:t>𝑉</m:t>
                        </m:r>
                      </m:e>
                      <m:sub>
                        <m:r>
                          <a:rPr lang="en-US" sz="2800" b="0" i="1">
                            <a:latin typeface="Cambria Math"/>
                          </a:rPr>
                          <m:t>3 </m:t>
                        </m:r>
                        <m:r>
                          <a:rPr lang="en-US" sz="2800" b="0" i="1">
                            <a:latin typeface="Cambria Math"/>
                          </a:rPr>
                          <m:t>𝑦𝑒𝑎𝑟𝑠</m:t>
                        </m:r>
                      </m:sub>
                    </m:sSub>
                    <m:r>
                      <a:rPr lang="en-US" sz="2800" b="0" i="1">
                        <a:latin typeface="Cambria Math"/>
                      </a:rPr>
                      <m:t>=</m:t>
                    </m:r>
                    <m:f>
                      <m:fPr>
                        <m:ctrlPr>
                          <a:rPr lang="en-US" sz="2800" b="0" i="1">
                            <a:latin typeface="Cambria Math" panose="02040503050406030204" pitchFamily="18" charset="0"/>
                          </a:rPr>
                        </m:ctrlPr>
                      </m:fPr>
                      <m:num>
                        <m:r>
                          <a:rPr lang="en-US" sz="2800" b="0" i="1">
                            <a:latin typeface="Cambria Math"/>
                          </a:rPr>
                          <m:t>𝑃𝑀𝑇</m:t>
                        </m:r>
                      </m:num>
                      <m:den>
                        <m:r>
                          <a:rPr lang="en-US" sz="2800" b="0" i="1">
                            <a:latin typeface="Cambria Math"/>
                          </a:rPr>
                          <m:t>𝑟</m:t>
                        </m:r>
                      </m:den>
                    </m:f>
                    <m:r>
                      <a:rPr lang="en-US" sz="2800" b="0" i="1">
                        <a:latin typeface="Cambria Math"/>
                      </a:rPr>
                      <m:t>−</m:t>
                    </m:r>
                    <m:f>
                      <m:fPr>
                        <m:ctrlPr>
                          <a:rPr lang="en-US" sz="2800" i="1">
                            <a:latin typeface="Cambria Math" panose="02040503050406030204" pitchFamily="18" charset="0"/>
                          </a:rPr>
                        </m:ctrlPr>
                      </m:fPr>
                      <m:num>
                        <m:r>
                          <a:rPr lang="en-US" sz="2800" b="0" i="1">
                            <a:latin typeface="Cambria Math"/>
                          </a:rPr>
                          <m:t>𝑃𝑀𝑇</m:t>
                        </m:r>
                      </m:num>
                      <m:den>
                        <m:r>
                          <a:rPr lang="en-US" sz="2800" b="0" i="1">
                            <a:latin typeface="Cambria Math"/>
                          </a:rPr>
                          <m:t>𝑟</m:t>
                        </m:r>
                        <m:r>
                          <a:rPr lang="en-US" sz="2800" b="0" i="1">
                            <a:latin typeface="Cambria Math"/>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r>
                      <a:rPr lang="en-US" sz="2800" b="0" i="1">
                        <a:latin typeface="Cambria Math"/>
                      </a:rPr>
                      <m:t>=</m:t>
                    </m:r>
                    <m:r>
                      <a:rPr lang="en-US" sz="2800" b="0" i="1">
                        <a:latin typeface="Cambria Math"/>
                      </a:rPr>
                      <m:t>𝑃𝑀𝑇</m:t>
                    </m:r>
                    <m:d>
                      <m:dPr>
                        <m:begChr m:val="["/>
                        <m:endChr m:val="]"/>
                        <m:ctrlPr>
                          <a:rPr lang="en-US" sz="2800" b="0" i="1">
                            <a:latin typeface="Cambria Math" panose="02040503050406030204" pitchFamily="18" charset="0"/>
                          </a:rPr>
                        </m:ctrlPr>
                      </m:dPr>
                      <m:e>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m:t>
                            </m:r>
                          </m:num>
                          <m:den>
                            <m:r>
                              <a:rPr lang="en-US" sz="2800" b="0" i="1">
                                <a:solidFill>
                                  <a:schemeClr val="tx1"/>
                                </a:solidFill>
                                <a:effectLst/>
                                <a:latin typeface="Cambria Math"/>
                                <a:ea typeface="+mn-ea"/>
                                <a:cs typeface="+mn-cs"/>
                              </a:rPr>
                              <m:t>𝑟</m:t>
                            </m:r>
                          </m:den>
                        </m:f>
                        <m:r>
                          <a:rPr lang="en-US" sz="2800" b="0" i="1">
                            <a:solidFill>
                              <a:schemeClr val="tx1"/>
                            </a:solidFill>
                            <a:effectLst/>
                            <a:latin typeface="Cambria Math"/>
                            <a:ea typeface="+mn-ea"/>
                            <a:cs typeface="+mn-cs"/>
                          </a:rPr>
                          <m:t>−</m:t>
                        </m:r>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m:t>
                            </m:r>
                          </m:num>
                          <m:den>
                            <m:r>
                              <a:rPr lang="en-US" sz="2800" b="0" i="1">
                                <a:solidFill>
                                  <a:schemeClr val="tx1"/>
                                </a:solidFill>
                                <a:effectLst/>
                                <a:latin typeface="Cambria Math"/>
                                <a:ea typeface="+mn-ea"/>
                                <a:cs typeface="+mn-cs"/>
                              </a:rPr>
                              <m:t>𝑟</m:t>
                            </m:r>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e>
                    </m:d>
                  </m:oMath>
                </m:oMathPara>
              </a14:m>
              <a:endParaRPr lang="ru-RU" sz="2800"/>
            </a:p>
          </xdr:txBody>
        </xdr:sp>
      </mc:Choice>
      <mc:Fallback xmlns="">
        <xdr:sp macro="" textlink="">
          <xdr:nvSpPr>
            <xdr:cNvPr id="3" name="TextBox 2"/>
            <xdr:cNvSpPr txBox="1"/>
          </xdr:nvSpPr>
          <xdr:spPr>
            <a:xfrm>
              <a:off x="10152286" y="1140278"/>
              <a:ext cx="9764489" cy="962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800" i="0">
                  <a:latin typeface="Cambria Math" panose="02040503050406030204" pitchFamily="18" charset="0"/>
                </a:rPr>
                <a:t>〖</a:t>
              </a:r>
              <a:r>
                <a:rPr lang="en-US" sz="2800" i="0">
                  <a:solidFill>
                    <a:schemeClr val="tx1"/>
                  </a:solidFill>
                  <a:effectLst/>
                  <a:latin typeface="Cambria Math"/>
                  <a:ea typeface="+mn-ea"/>
                  <a:cs typeface="+mn-cs"/>
                </a:rPr>
                <a:t>𝑃</a:t>
              </a:r>
              <a:r>
                <a:rPr lang="en-US" sz="2800" b="0" i="0">
                  <a:solidFill>
                    <a:schemeClr val="tx1"/>
                  </a:solidFill>
                  <a:effectLst/>
                  <a:latin typeface="Cambria Math"/>
                  <a:ea typeface="+mn-ea"/>
                  <a:cs typeface="+mn-cs"/>
                </a:rPr>
                <a:t>𝑉</a:t>
              </a:r>
              <a:r>
                <a:rPr lang="en-US" sz="2800" b="0" i="0">
                  <a:solidFill>
                    <a:schemeClr val="tx1"/>
                  </a:solidFill>
                  <a:effectLst/>
                  <a:latin typeface="Cambria Math" panose="02040503050406030204" pitchFamily="18" charset="0"/>
                  <a:ea typeface="+mn-ea"/>
                  <a:cs typeface="+mn-cs"/>
                </a:rPr>
                <a:t>〗_(</a:t>
              </a:r>
              <a:r>
                <a:rPr lang="en-US" sz="2800" b="0" i="0">
                  <a:latin typeface="Cambria Math"/>
                </a:rPr>
                <a:t>3 𝑦𝑒𝑎𝑟𝑠</a:t>
              </a:r>
              <a:r>
                <a:rPr lang="en-US" sz="2800" b="0" i="0">
                  <a:latin typeface="Cambria Math" panose="02040503050406030204" pitchFamily="18" charset="0"/>
                </a:rPr>
                <a:t>)</a:t>
              </a:r>
              <a:r>
                <a:rPr lang="en-US" sz="2800" b="0" i="0">
                  <a:latin typeface="Cambria Math"/>
                </a:rPr>
                <a:t>=𝑃𝑀𝑇</a:t>
              </a:r>
              <a:r>
                <a:rPr lang="en-US" sz="2800" b="0" i="0">
                  <a:latin typeface="Cambria Math" panose="02040503050406030204" pitchFamily="18" charset="0"/>
                </a:rPr>
                <a:t>/</a:t>
              </a:r>
              <a:r>
                <a:rPr lang="en-US" sz="2800" b="0" i="0">
                  <a:latin typeface="Cambria Math"/>
                </a:rPr>
                <a:t>𝑟−𝑃𝑀𝑇</a:t>
              </a:r>
              <a:r>
                <a:rPr lang="en-US" sz="2800" b="0" i="0">
                  <a:latin typeface="Cambria Math" panose="02040503050406030204" pitchFamily="18" charset="0"/>
                </a:rPr>
                <a:t>/(</a:t>
              </a:r>
              <a:r>
                <a:rPr lang="en-US" sz="2800" b="0" i="0">
                  <a:latin typeface="Cambria Math"/>
                </a:rPr>
                <a:t>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r>
                <a:rPr lang="en-US" sz="2800" b="0" i="0">
                  <a:latin typeface="Cambria Math"/>
                </a:rPr>
                <a:t>=𝑃𝑀𝑇</a:t>
              </a:r>
              <a:r>
                <a:rPr lang="en-US" sz="2800" b="0" i="0">
                  <a:latin typeface="Cambria Math" panose="02040503050406030204" pitchFamily="18" charset="0"/>
                </a:rPr>
                <a:t>[</a:t>
              </a:r>
              <a:r>
                <a:rPr lang="en-US" sz="2800" b="0" i="0">
                  <a:solidFill>
                    <a:schemeClr val="tx1"/>
                  </a:solidFill>
                  <a:effectLst/>
                  <a:latin typeface="Cambria Math"/>
                  <a:ea typeface="+mn-ea"/>
                  <a:cs typeface="+mn-cs"/>
                </a:rPr>
                <a:t>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5</xdr:col>
      <xdr:colOff>1181098</xdr:colOff>
      <xdr:row>30</xdr:row>
      <xdr:rowOff>102053</xdr:rowOff>
    </xdr:from>
    <xdr:ext cx="8277227" cy="1032462"/>
    <mc:AlternateContent xmlns:mc="http://schemas.openxmlformats.org/markup-compatibility/2006" xmlns:a14="http://schemas.microsoft.com/office/drawing/2010/main">
      <mc:Choice Requires="a14">
        <xdr:sp macro="" textlink="">
          <xdr:nvSpPr>
            <xdr:cNvPr id="4" name="TextBox 3"/>
            <xdr:cNvSpPr txBox="1"/>
          </xdr:nvSpPr>
          <xdr:spPr>
            <a:xfrm>
              <a:off x="4629148" y="5817053"/>
              <a:ext cx="8277227" cy="10324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𝑃𝑉</m:t>
                        </m:r>
                      </m:e>
                      <m:sub>
                        <m:r>
                          <a:rPr lang="de-DE" sz="2800" b="0" i="1">
                            <a:latin typeface="Cambria Math"/>
                          </a:rPr>
                          <m:t>𝐺𝑟𝑜𝑤𝑖𝑛𝑔</m:t>
                        </m:r>
                        <m:r>
                          <a:rPr lang="de-DE" sz="2800" b="0" i="1">
                            <a:latin typeface="Cambria Math"/>
                          </a:rPr>
                          <m:t> </m:t>
                        </m:r>
                        <m:r>
                          <a:rPr lang="de-DE" sz="2800" b="0" i="1">
                            <a:latin typeface="Cambria Math"/>
                          </a:rPr>
                          <m:t>𝑝𝑒𝑟𝑝𝑒𝑡𝑢𝑖𝑡𝑦</m:t>
                        </m:r>
                      </m:sub>
                    </m:sSub>
                    <m:r>
                      <a:rPr lang="en-US" sz="2800" b="0" i="1">
                        <a:latin typeface="Cambria Math"/>
                      </a:rPr>
                      <m:t>=</m:t>
                    </m:r>
                    <m:f>
                      <m:fPr>
                        <m:ctrlPr>
                          <a:rPr lang="en-US" sz="2800" b="0" i="1">
                            <a:latin typeface="Cambria Math" panose="02040503050406030204" pitchFamily="18" charset="0"/>
                          </a:rPr>
                        </m:ctrlPr>
                      </m:fPr>
                      <m:num>
                        <m:sSub>
                          <m:sSubPr>
                            <m:ctrlPr>
                              <a:rPr lang="en-US" sz="2800" b="0" i="1">
                                <a:latin typeface="Cambria Math" panose="02040503050406030204" pitchFamily="18" charset="0"/>
                              </a:rPr>
                            </m:ctrlPr>
                          </m:sSubPr>
                          <m:e>
                            <m:r>
                              <a:rPr lang="en-US" sz="2800" b="0" i="1">
                                <a:solidFill>
                                  <a:schemeClr val="tx1"/>
                                </a:solidFill>
                                <a:effectLst/>
                                <a:latin typeface="Cambria Math"/>
                                <a:ea typeface="+mn-ea"/>
                                <a:cs typeface="+mn-cs"/>
                              </a:rPr>
                              <m:t>𝐶</m:t>
                            </m:r>
                          </m:e>
                          <m:sub>
                            <m:r>
                              <a:rPr lang="en-US" sz="2800" b="0" i="1">
                                <a:latin typeface="Cambria Math"/>
                              </a:rPr>
                              <m:t>1</m:t>
                            </m:r>
                          </m:sub>
                        </m:sSub>
                        <m:r>
                          <a:rPr lang="en-US" sz="2800" b="0" i="1">
                            <a:latin typeface="Cambria Math"/>
                          </a:rPr>
                          <m:t>∗</m:t>
                        </m:r>
                        <m:sSup>
                          <m:sSupPr>
                            <m:ctrlPr>
                              <a:rPr lang="en-US" sz="2800" b="0" i="1">
                                <a:latin typeface="Cambria Math" panose="02040503050406030204" pitchFamily="18" charset="0"/>
                              </a:rPr>
                            </m:ctrlPr>
                          </m:sSupPr>
                          <m:e>
                            <m:d>
                              <m:dPr>
                                <m:ctrlPr>
                                  <a:rPr lang="en-US" sz="2800" b="0" i="1">
                                    <a:latin typeface="Cambria Math" panose="02040503050406030204" pitchFamily="18" charset="0"/>
                                  </a:rPr>
                                </m:ctrlPr>
                              </m:dPr>
                              <m:e>
                                <m:r>
                                  <a:rPr lang="en-US" sz="2800" b="0" i="1">
                                    <a:latin typeface="Cambria Math"/>
                                  </a:rPr>
                                  <m:t>1+</m:t>
                                </m:r>
                                <m:r>
                                  <a:rPr lang="en-US" sz="2800" b="0" i="1">
                                    <a:latin typeface="Cambria Math"/>
                                  </a:rPr>
                                  <m:t>𝑔</m:t>
                                </m:r>
                              </m:e>
                            </m:d>
                          </m:e>
                          <m:sup>
                            <m:r>
                              <a:rPr lang="en-US" sz="2800" b="0" i="1">
                                <a:latin typeface="Cambria Math"/>
                              </a:rPr>
                              <m:t>3</m:t>
                            </m:r>
                          </m:sup>
                        </m:sSup>
                      </m:num>
                      <m:den>
                        <m:d>
                          <m:dPr>
                            <m:ctrlPr>
                              <a:rPr lang="en-US" sz="2800" b="0" i="1">
                                <a:latin typeface="Cambria Math" panose="02040503050406030204" pitchFamily="18" charset="0"/>
                              </a:rPr>
                            </m:ctrlPr>
                          </m:dPr>
                          <m:e>
                            <m:r>
                              <a:rPr lang="en-US" sz="2800" b="0" i="1">
                                <a:latin typeface="Cambria Math"/>
                              </a:rPr>
                              <m:t>𝑟</m:t>
                            </m:r>
                            <m:r>
                              <a:rPr lang="en-US" sz="2800" b="0" i="1">
                                <a:latin typeface="Cambria Math"/>
                              </a:rPr>
                              <m:t>−</m:t>
                            </m:r>
                            <m:r>
                              <a:rPr lang="en-US" sz="2800" b="0" i="1">
                                <a:latin typeface="Cambria Math"/>
                              </a:rPr>
                              <m:t>𝑔</m:t>
                            </m:r>
                          </m:e>
                        </m:d>
                        <m:r>
                          <a:rPr lang="en-US" sz="2800" b="0" i="1">
                            <a:latin typeface="Cambria Math"/>
                          </a:rPr>
                          <m:t>∗</m:t>
                        </m:r>
                        <m:sSup>
                          <m:sSupPr>
                            <m:ctrlPr>
                              <a:rPr lang="en-US" sz="2800" b="0" i="1">
                                <a:latin typeface="Cambria Math" panose="02040503050406030204" pitchFamily="18" charset="0"/>
                              </a:rPr>
                            </m:ctrlPr>
                          </m:sSupPr>
                          <m:e>
                            <m:d>
                              <m:dPr>
                                <m:ctrlPr>
                                  <a:rPr lang="en-US" sz="2800" b="0" i="1">
                                    <a:latin typeface="Cambria Math" panose="02040503050406030204" pitchFamily="18" charset="0"/>
                                  </a:rPr>
                                </m:ctrlPr>
                              </m:dPr>
                              <m:e>
                                <m:r>
                                  <a:rPr lang="en-US" sz="2800" b="0" i="1">
                                    <a:latin typeface="Cambria Math"/>
                                  </a:rPr>
                                  <m:t>1+</m:t>
                                </m:r>
                                <m:r>
                                  <a:rPr lang="en-US" sz="2800" b="0" i="1">
                                    <a:latin typeface="Cambria Math"/>
                                  </a:rPr>
                                  <m:t>𝑟</m:t>
                                </m:r>
                              </m:e>
                            </m:d>
                          </m:e>
                          <m:sup>
                            <m:r>
                              <a:rPr lang="en-US" sz="2800" b="0" i="1">
                                <a:latin typeface="Cambria Math"/>
                              </a:rPr>
                              <m:t>3</m:t>
                            </m:r>
                          </m:sup>
                        </m:sSup>
                      </m:den>
                    </m:f>
                  </m:oMath>
                </m:oMathPara>
              </a14:m>
              <a:endParaRPr lang="ru-RU" sz="2800"/>
            </a:p>
          </xdr:txBody>
        </xdr:sp>
      </mc:Choice>
      <mc:Fallback xmlns="">
        <xdr:sp macro="" textlink="">
          <xdr:nvSpPr>
            <xdr:cNvPr id="4" name="TextBox 3"/>
            <xdr:cNvSpPr txBox="1"/>
          </xdr:nvSpPr>
          <xdr:spPr>
            <a:xfrm>
              <a:off x="4629148" y="5817053"/>
              <a:ext cx="8277227" cy="10324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800" i="0">
                  <a:latin typeface="Cambria Math" panose="02040503050406030204" pitchFamily="18" charset="0"/>
                </a:rPr>
                <a:t>〖</a:t>
              </a:r>
              <a:r>
                <a:rPr lang="en-US" sz="2800" b="0" i="0">
                  <a:latin typeface="Cambria Math"/>
                </a:rPr>
                <a:t>𝑃𝑉</a:t>
              </a:r>
              <a:r>
                <a:rPr lang="ru-RU" sz="2800" b="0" i="0">
                  <a:latin typeface="Cambria Math" panose="02040503050406030204" pitchFamily="18" charset="0"/>
                </a:rPr>
                <a:t>〗_(</a:t>
              </a:r>
              <a:r>
                <a:rPr lang="de-DE" sz="2800" b="0" i="0">
                  <a:latin typeface="Cambria Math"/>
                </a:rPr>
                <a:t>𝐺𝑟𝑜𝑤𝑖𝑛𝑔 𝑝𝑒𝑟𝑝𝑒𝑡𝑢𝑖𝑡𝑦</a:t>
              </a:r>
              <a:r>
                <a:rPr lang="ru-RU" sz="2800" b="0" i="0">
                  <a:latin typeface="Cambria Math" panose="02040503050406030204" pitchFamily="18" charset="0"/>
                </a:rPr>
                <a:t>)</a:t>
              </a:r>
              <a:r>
                <a:rPr lang="en-US" sz="2800" b="0" i="0">
                  <a:latin typeface="Cambria Math"/>
                </a:rPr>
                <a:t>=</a:t>
              </a:r>
              <a:r>
                <a:rPr lang="en-US" sz="2800" b="0" i="0">
                  <a:latin typeface="Cambria Math" panose="02040503050406030204" pitchFamily="18" charset="0"/>
                </a:rPr>
                <a:t>(</a:t>
              </a:r>
              <a:r>
                <a:rPr lang="en-US" sz="2800" b="0" i="0">
                  <a:solidFill>
                    <a:schemeClr val="tx1"/>
                  </a:solidFill>
                  <a:effectLst/>
                  <a:latin typeface="Cambria Math"/>
                  <a:ea typeface="+mn-ea"/>
                  <a:cs typeface="+mn-cs"/>
                </a:rPr>
                <a:t>𝐶</a:t>
              </a:r>
              <a:r>
                <a:rPr lang="en-US" sz="2800" b="0" i="0">
                  <a:solidFill>
                    <a:schemeClr val="tx1"/>
                  </a:solidFill>
                  <a:effectLst/>
                  <a:latin typeface="Cambria Math" panose="02040503050406030204" pitchFamily="18" charset="0"/>
                  <a:ea typeface="+mn-ea"/>
                  <a:cs typeface="+mn-cs"/>
                </a:rPr>
                <a:t>_</a:t>
              </a:r>
              <a:r>
                <a:rPr lang="en-US" sz="2800" b="0" i="0">
                  <a:latin typeface="Cambria Math"/>
                </a:rPr>
                <a:t>1∗</a:t>
              </a:r>
              <a:r>
                <a:rPr lang="en-US" sz="2800" b="0" i="0">
                  <a:latin typeface="Cambria Math" panose="02040503050406030204" pitchFamily="18" charset="0"/>
                </a:rPr>
                <a:t>(</a:t>
              </a:r>
              <a:r>
                <a:rPr lang="en-US" sz="2800" b="0" i="0">
                  <a:latin typeface="Cambria Math"/>
                </a:rPr>
                <a:t>1+𝑔</a:t>
              </a:r>
              <a:r>
                <a:rPr lang="en-US" sz="2800" b="0" i="0">
                  <a:latin typeface="Cambria Math" panose="02040503050406030204" pitchFamily="18" charset="0"/>
                </a:rPr>
                <a:t>)^</a:t>
              </a:r>
              <a:r>
                <a:rPr lang="en-US" sz="2800" b="0" i="0">
                  <a:latin typeface="Cambria Math"/>
                </a:rPr>
                <a:t>3</a:t>
              </a:r>
              <a:r>
                <a:rPr lang="en-US" sz="2800" b="0" i="0">
                  <a:latin typeface="Cambria Math" panose="02040503050406030204" pitchFamily="18" charset="0"/>
                </a:rPr>
                <a:t>)/((</a:t>
              </a:r>
              <a:r>
                <a:rPr lang="en-US" sz="2800" b="0" i="0">
                  <a:latin typeface="Cambria Math"/>
                </a:rPr>
                <a:t>𝑟−𝑔</a:t>
              </a:r>
              <a:r>
                <a:rPr lang="en-US" sz="2800" b="0" i="0">
                  <a:latin typeface="Cambria Math" panose="02040503050406030204" pitchFamily="18" charset="0"/>
                </a:rPr>
                <a:t>)</a:t>
              </a:r>
              <a:r>
                <a:rPr lang="en-US" sz="2800" b="0" i="0">
                  <a:latin typeface="Cambria Math"/>
                </a:rPr>
                <a:t>∗</a:t>
              </a:r>
              <a:r>
                <a:rPr lang="en-US" sz="2800" b="0" i="0">
                  <a:latin typeface="Cambria Math" panose="02040503050406030204" pitchFamily="18" charset="0"/>
                </a:rPr>
                <a:t>(</a:t>
              </a:r>
              <a:r>
                <a:rPr lang="en-US" sz="2800" b="0" i="0">
                  <a:latin typeface="Cambria Math"/>
                </a:rPr>
                <a:t>1+𝑟</a:t>
              </a:r>
              <a:r>
                <a:rPr lang="en-US" sz="2800" b="0" i="0">
                  <a:latin typeface="Cambria Math" panose="02040503050406030204" pitchFamily="18" charset="0"/>
                </a:rPr>
                <a:t>)^</a:t>
              </a:r>
              <a:r>
                <a:rPr lang="en-US" sz="2800" b="0" i="0">
                  <a:latin typeface="Cambria Math"/>
                </a:rPr>
                <a:t>3</a:t>
              </a:r>
              <a:r>
                <a:rPr lang="en-US" sz="2800" b="0" i="0">
                  <a:latin typeface="Cambria Math" panose="02040503050406030204" pitchFamily="18" charset="0"/>
                </a:rPr>
                <a:t> )</a:t>
              </a:r>
              <a:endParaRPr lang="ru-RU" sz="2800"/>
            </a:p>
          </xdr:txBody>
        </xdr:sp>
      </mc:Fallback>
    </mc:AlternateContent>
    <xdr:clientData/>
  </xdr:oneCellAnchor>
  <xdr:oneCellAnchor>
    <xdr:from>
      <xdr:col>4</xdr:col>
      <xdr:colOff>344018</xdr:colOff>
      <xdr:row>8</xdr:row>
      <xdr:rowOff>136791</xdr:rowOff>
    </xdr:from>
    <xdr:ext cx="8277227" cy="977319"/>
    <mc:AlternateContent xmlns:mc="http://schemas.openxmlformats.org/markup-compatibility/2006" xmlns:a14="http://schemas.microsoft.com/office/drawing/2010/main">
      <mc:Choice Requires="a14">
        <xdr:sp macro="" textlink="">
          <xdr:nvSpPr>
            <xdr:cNvPr id="5" name="TextBox 4"/>
            <xdr:cNvSpPr txBox="1"/>
          </xdr:nvSpPr>
          <xdr:spPr>
            <a:xfrm>
              <a:off x="3430118" y="1660791"/>
              <a:ext cx="8277227" cy="977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𝑃𝑉</m:t>
                        </m:r>
                      </m:e>
                      <m:sub>
                        <m:r>
                          <a:rPr lang="de-DE" sz="2800" b="0" i="1">
                            <a:latin typeface="Cambria Math"/>
                          </a:rPr>
                          <m:t>𝐺𝑟𝑜𝑤𝑖𝑛𝑔</m:t>
                        </m:r>
                        <m:r>
                          <a:rPr lang="de-DE" sz="2800" b="0" i="1">
                            <a:latin typeface="Cambria Math"/>
                          </a:rPr>
                          <m:t> </m:t>
                        </m:r>
                        <m:r>
                          <a:rPr lang="de-DE" sz="2800" b="0" i="1">
                            <a:latin typeface="Cambria Math"/>
                          </a:rPr>
                          <m:t>𝑝𝑒𝑟𝑝𝑒𝑡𝑢𝑖𝑡𝑦</m:t>
                        </m:r>
                      </m:sub>
                    </m:sSub>
                    <m:r>
                      <a:rPr lang="en-US" sz="2800" b="0" i="1">
                        <a:latin typeface="Cambria Math"/>
                      </a:rPr>
                      <m:t>=</m:t>
                    </m:r>
                    <m:f>
                      <m:fPr>
                        <m:ctrlPr>
                          <a:rPr lang="en-US" sz="2800" b="0" i="1">
                            <a:latin typeface="Cambria Math" panose="02040503050406030204" pitchFamily="18" charset="0"/>
                          </a:rPr>
                        </m:ctrlPr>
                      </m:fPr>
                      <m:num>
                        <m:sSub>
                          <m:sSubPr>
                            <m:ctrlPr>
                              <a:rPr lang="en-US" sz="2800" b="0" i="1">
                                <a:latin typeface="Cambria Math" panose="02040503050406030204" pitchFamily="18" charset="0"/>
                              </a:rPr>
                            </m:ctrlPr>
                          </m:sSubPr>
                          <m:e>
                            <m:r>
                              <a:rPr lang="en-US" sz="2800" b="0" i="1">
                                <a:solidFill>
                                  <a:schemeClr val="tx1"/>
                                </a:solidFill>
                                <a:effectLst/>
                                <a:latin typeface="Cambria Math"/>
                                <a:ea typeface="+mn-ea"/>
                                <a:cs typeface="+mn-cs"/>
                              </a:rPr>
                              <m:t>𝐶</m:t>
                            </m:r>
                          </m:e>
                          <m:sub>
                            <m:r>
                              <a:rPr lang="en-US" sz="2800" b="0" i="1">
                                <a:latin typeface="Cambria Math"/>
                              </a:rPr>
                              <m:t>1</m:t>
                            </m:r>
                          </m:sub>
                        </m:sSub>
                      </m:num>
                      <m:den>
                        <m:d>
                          <m:dPr>
                            <m:ctrlPr>
                              <a:rPr lang="en-US" sz="2800" b="0" i="1">
                                <a:latin typeface="Cambria Math" panose="02040503050406030204" pitchFamily="18" charset="0"/>
                              </a:rPr>
                            </m:ctrlPr>
                          </m:dPr>
                          <m:e>
                            <m:r>
                              <a:rPr lang="en-US" sz="2800" b="0" i="1">
                                <a:latin typeface="Cambria Math"/>
                              </a:rPr>
                              <m:t>𝑟</m:t>
                            </m:r>
                            <m:r>
                              <a:rPr lang="en-US" sz="2800" b="0" i="1">
                                <a:latin typeface="Cambria Math"/>
                              </a:rPr>
                              <m:t>−</m:t>
                            </m:r>
                            <m:r>
                              <a:rPr lang="en-US" sz="2800" b="0" i="1">
                                <a:latin typeface="Cambria Math"/>
                              </a:rPr>
                              <m:t>𝑔</m:t>
                            </m:r>
                          </m:e>
                        </m:d>
                      </m:den>
                    </m:f>
                  </m:oMath>
                </m:oMathPara>
              </a14:m>
              <a:endParaRPr lang="ru-RU" sz="2800"/>
            </a:p>
          </xdr:txBody>
        </xdr:sp>
      </mc:Choice>
      <mc:Fallback xmlns="">
        <xdr:sp macro="" textlink="">
          <xdr:nvSpPr>
            <xdr:cNvPr id="5" name="TextBox 4"/>
            <xdr:cNvSpPr txBox="1"/>
          </xdr:nvSpPr>
          <xdr:spPr>
            <a:xfrm>
              <a:off x="3430118" y="1660791"/>
              <a:ext cx="8277227" cy="977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800" i="0">
                  <a:latin typeface="Cambria Math" panose="02040503050406030204" pitchFamily="18" charset="0"/>
                </a:rPr>
                <a:t>〖</a:t>
              </a:r>
              <a:r>
                <a:rPr lang="en-US" sz="2800" b="0" i="0">
                  <a:latin typeface="Cambria Math"/>
                </a:rPr>
                <a:t>𝑃𝑉</a:t>
              </a:r>
              <a:r>
                <a:rPr lang="ru-RU" sz="2800" b="0" i="0">
                  <a:latin typeface="Cambria Math" panose="02040503050406030204" pitchFamily="18" charset="0"/>
                </a:rPr>
                <a:t>〗_(</a:t>
              </a:r>
              <a:r>
                <a:rPr lang="de-DE" sz="2800" b="0" i="0">
                  <a:latin typeface="Cambria Math"/>
                </a:rPr>
                <a:t>𝐺𝑟𝑜𝑤𝑖𝑛𝑔 𝑝𝑒𝑟𝑝𝑒𝑡𝑢𝑖𝑡𝑦</a:t>
              </a:r>
              <a:r>
                <a:rPr lang="ru-RU" sz="2800" b="0" i="0">
                  <a:latin typeface="Cambria Math" panose="02040503050406030204" pitchFamily="18" charset="0"/>
                </a:rPr>
                <a:t>)</a:t>
              </a:r>
              <a:r>
                <a:rPr lang="en-US" sz="2800" b="0" i="0">
                  <a:latin typeface="Cambria Math"/>
                </a:rPr>
                <a:t>=</a:t>
              </a:r>
              <a:r>
                <a:rPr lang="en-US" sz="2800" b="0" i="0">
                  <a:solidFill>
                    <a:schemeClr val="tx1"/>
                  </a:solidFill>
                  <a:effectLst/>
                  <a:latin typeface="Cambria Math"/>
                  <a:ea typeface="+mn-ea"/>
                  <a:cs typeface="+mn-cs"/>
                </a:rPr>
                <a:t>𝐶</a:t>
              </a:r>
              <a:r>
                <a:rPr lang="en-US" sz="2800" b="0" i="0">
                  <a:solidFill>
                    <a:schemeClr val="tx1"/>
                  </a:solidFill>
                  <a:effectLst/>
                  <a:latin typeface="Cambria Math" panose="02040503050406030204" pitchFamily="18" charset="0"/>
                  <a:ea typeface="+mn-ea"/>
                  <a:cs typeface="+mn-cs"/>
                </a:rPr>
                <a:t>_</a:t>
              </a:r>
              <a:r>
                <a:rPr lang="en-US" sz="2800" b="0" i="0">
                  <a:latin typeface="Cambria Math"/>
                </a:rPr>
                <a:t>1</a:t>
              </a:r>
              <a:r>
                <a:rPr lang="en-US" sz="2800" b="0" i="0">
                  <a:latin typeface="Cambria Math" panose="02040503050406030204" pitchFamily="18" charset="0"/>
                </a:rPr>
                <a:t>/((</a:t>
              </a:r>
              <a:r>
                <a:rPr lang="en-US" sz="2800" b="0" i="0">
                  <a:latin typeface="Cambria Math"/>
                </a:rPr>
                <a:t>𝑟−𝑔</a:t>
              </a:r>
              <a:r>
                <a:rPr lang="en-US" sz="2800" b="0" i="0">
                  <a:latin typeface="Cambria Math" panose="02040503050406030204" pitchFamily="18" charset="0"/>
                </a:rPr>
                <a:t>) )</a:t>
              </a:r>
              <a:endParaRPr lang="ru-RU" sz="2800"/>
            </a:p>
          </xdr:txBody>
        </xdr:sp>
      </mc:Fallback>
    </mc:AlternateContent>
    <xdr:clientData/>
  </xdr:oneCellAnchor>
  <xdr:oneCellAnchor>
    <xdr:from>
      <xdr:col>3</xdr:col>
      <xdr:colOff>628651</xdr:colOff>
      <xdr:row>44</xdr:row>
      <xdr:rowOff>206828</xdr:rowOff>
    </xdr:from>
    <xdr:ext cx="10896600" cy="1536511"/>
    <mc:AlternateContent xmlns:mc="http://schemas.openxmlformats.org/markup-compatibility/2006" xmlns:a14="http://schemas.microsoft.com/office/drawing/2010/main">
      <mc:Choice Requires="a14">
        <xdr:sp macro="" textlink="">
          <xdr:nvSpPr>
            <xdr:cNvPr id="6" name="TextBox 5"/>
            <xdr:cNvSpPr txBox="1"/>
          </xdr:nvSpPr>
          <xdr:spPr>
            <a:xfrm>
              <a:off x="2943226" y="8569778"/>
              <a:ext cx="10896600" cy="15365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𝑃𝑉</m:t>
                        </m:r>
                      </m:e>
                      <m:sub>
                        <m:r>
                          <a:rPr lang="de-DE" sz="2800" b="0" i="1">
                            <a:latin typeface="Cambria Math"/>
                          </a:rPr>
                          <m:t>𝐺𝑟𝑜𝑤𝑖𝑛𝑔</m:t>
                        </m:r>
                        <m:r>
                          <a:rPr lang="de-DE" sz="2800" b="0" i="1">
                            <a:latin typeface="Cambria Math"/>
                          </a:rPr>
                          <m:t> </m:t>
                        </m:r>
                        <m:r>
                          <a:rPr lang="de-DE" sz="2800" b="0" i="1">
                            <a:latin typeface="Cambria Math"/>
                          </a:rPr>
                          <m:t>𝑝𝑒𝑟𝑝𝑒𝑡𝑢𝑖𝑡𝑦</m:t>
                        </m:r>
                      </m:sub>
                    </m:sSub>
                    <m:r>
                      <a:rPr lang="en-US" sz="2800" b="0" i="1">
                        <a:latin typeface="Cambria Math"/>
                      </a:rPr>
                      <m:t>=1500000∗</m:t>
                    </m:r>
                    <m:d>
                      <m:dPr>
                        <m:begChr m:val="["/>
                        <m:endChr m:val="]"/>
                        <m:ctrlPr>
                          <a:rPr lang="en-US" sz="2800" b="0" i="1">
                            <a:latin typeface="Cambria Math" panose="02040503050406030204" pitchFamily="18" charset="0"/>
                          </a:rPr>
                        </m:ctrlPr>
                      </m:dPr>
                      <m:e>
                        <m:f>
                          <m:fPr>
                            <m:ctrlPr>
                              <a:rPr lang="en-US" sz="2800" b="0" i="1">
                                <a:latin typeface="Cambria Math" panose="02040503050406030204" pitchFamily="18" charset="0"/>
                              </a:rPr>
                            </m:ctrlPr>
                          </m:fPr>
                          <m:num>
                            <m:r>
                              <a:rPr lang="en-US" sz="2800" b="0" i="1">
                                <a:latin typeface="Cambria Math"/>
                              </a:rPr>
                              <m:t>1</m:t>
                            </m:r>
                          </m:num>
                          <m:den>
                            <m:d>
                              <m:dPr>
                                <m:ctrlPr>
                                  <a:rPr lang="en-US" sz="2800" b="0" i="1">
                                    <a:latin typeface="Cambria Math" panose="02040503050406030204" pitchFamily="18" charset="0"/>
                                  </a:rPr>
                                </m:ctrlPr>
                              </m:dPr>
                              <m:e>
                                <m:r>
                                  <a:rPr lang="en-US" sz="2800" b="0" i="1">
                                    <a:latin typeface="Cambria Math"/>
                                  </a:rPr>
                                  <m:t>0,1−0,05</m:t>
                                </m:r>
                              </m:e>
                            </m:d>
                          </m:den>
                        </m:f>
                        <m:r>
                          <a:rPr lang="en-US" sz="2800" b="0" i="1">
                            <a:latin typeface="Cambria Math"/>
                          </a:rPr>
                          <m:t>−</m:t>
                        </m:r>
                        <m:f>
                          <m:fPr>
                            <m:ctrlPr>
                              <a:rPr lang="en-US" sz="2800" b="0" i="1">
                                <a:solidFill>
                                  <a:schemeClr val="tx1"/>
                                </a:solidFill>
                                <a:effectLst/>
                                <a:latin typeface="Cambria Math" panose="02040503050406030204" pitchFamily="18" charset="0"/>
                                <a:ea typeface="+mn-ea"/>
                                <a:cs typeface="+mn-cs"/>
                              </a:rPr>
                            </m:ctrlPr>
                          </m:fPr>
                          <m:num>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1+0,05</m:t>
                                    </m:r>
                                  </m:e>
                                </m:d>
                              </m:e>
                              <m:sup>
                                <m:r>
                                  <a:rPr lang="en-US" sz="2800" b="0" i="1">
                                    <a:solidFill>
                                      <a:schemeClr val="tx1"/>
                                    </a:solidFill>
                                    <a:effectLst/>
                                    <a:latin typeface="Cambria Math"/>
                                    <a:ea typeface="+mn-ea"/>
                                    <a:cs typeface="+mn-cs"/>
                                  </a:rPr>
                                  <m:t>5</m:t>
                                </m:r>
                              </m:sup>
                            </m:sSup>
                          </m:num>
                          <m:den>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0,1−0,05</m:t>
                                </m:r>
                              </m:e>
                            </m:d>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1+0,1</m:t>
                                    </m:r>
                                  </m:e>
                                </m:d>
                              </m:e>
                              <m:sup>
                                <m:r>
                                  <a:rPr lang="en-US" sz="2800" b="0" i="1">
                                    <a:solidFill>
                                      <a:schemeClr val="tx1"/>
                                    </a:solidFill>
                                    <a:effectLst/>
                                    <a:latin typeface="Cambria Math"/>
                                    <a:ea typeface="+mn-ea"/>
                                    <a:cs typeface="+mn-cs"/>
                                  </a:rPr>
                                  <m:t>5</m:t>
                                </m:r>
                              </m:sup>
                            </m:sSup>
                          </m:den>
                        </m:f>
                      </m:e>
                    </m:d>
                  </m:oMath>
                </m:oMathPara>
              </a14:m>
              <a:endParaRPr lang="ru-RU" sz="2800"/>
            </a:p>
          </xdr:txBody>
        </xdr:sp>
      </mc:Choice>
      <mc:Fallback xmlns="">
        <xdr:sp macro="" textlink="">
          <xdr:nvSpPr>
            <xdr:cNvPr id="6" name="TextBox 5"/>
            <xdr:cNvSpPr txBox="1"/>
          </xdr:nvSpPr>
          <xdr:spPr>
            <a:xfrm>
              <a:off x="2943226" y="8569778"/>
              <a:ext cx="10896600" cy="15365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800" i="0">
                  <a:latin typeface="Cambria Math" panose="02040503050406030204" pitchFamily="18" charset="0"/>
                </a:rPr>
                <a:t>〖</a:t>
              </a:r>
              <a:r>
                <a:rPr lang="en-US" sz="2800" b="0" i="0">
                  <a:latin typeface="Cambria Math"/>
                </a:rPr>
                <a:t>𝑃𝑉</a:t>
              </a:r>
              <a:r>
                <a:rPr lang="ru-RU" sz="2800" b="0" i="0">
                  <a:latin typeface="Cambria Math" panose="02040503050406030204" pitchFamily="18" charset="0"/>
                </a:rPr>
                <a:t>〗_(</a:t>
              </a:r>
              <a:r>
                <a:rPr lang="de-DE" sz="2800" b="0" i="0">
                  <a:latin typeface="Cambria Math"/>
                </a:rPr>
                <a:t>𝐺𝑟𝑜𝑤𝑖𝑛𝑔 𝑝𝑒𝑟𝑝𝑒𝑡𝑢𝑖𝑡𝑦</a:t>
              </a:r>
              <a:r>
                <a:rPr lang="ru-RU" sz="2800" b="0" i="0">
                  <a:latin typeface="Cambria Math" panose="02040503050406030204" pitchFamily="18" charset="0"/>
                </a:rPr>
                <a:t>)</a:t>
              </a:r>
              <a:r>
                <a:rPr lang="en-US" sz="2800" b="0" i="0">
                  <a:latin typeface="Cambria Math"/>
                </a:rPr>
                <a:t>=1500000∗</a:t>
              </a:r>
              <a:r>
                <a:rPr lang="en-US" sz="2800" b="0" i="0">
                  <a:latin typeface="Cambria Math" panose="02040503050406030204" pitchFamily="18" charset="0"/>
                </a:rPr>
                <a:t>[</a:t>
              </a:r>
              <a:r>
                <a:rPr lang="en-US" sz="2800" b="0" i="0">
                  <a:latin typeface="Cambria Math"/>
                </a:rPr>
                <a:t>1</a:t>
              </a:r>
              <a:r>
                <a:rPr lang="en-US" sz="2800" b="0" i="0">
                  <a:latin typeface="Cambria Math" panose="02040503050406030204" pitchFamily="18" charset="0"/>
                </a:rPr>
                <a:t>/((</a:t>
              </a:r>
              <a:r>
                <a:rPr lang="en-US" sz="2800" b="0" i="0">
                  <a:latin typeface="Cambria Math"/>
                </a:rPr>
                <a:t>0,1−0,05</a:t>
              </a:r>
              <a:r>
                <a:rPr lang="en-US" sz="2800" b="0" i="0">
                  <a:latin typeface="Cambria Math" panose="02040503050406030204" pitchFamily="18" charset="0"/>
                </a:rPr>
                <a:t>) )</a:t>
              </a:r>
              <a:r>
                <a:rPr lang="en-US" sz="2800" b="0" i="0">
                  <a:latin typeface="Cambria Math"/>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1+0,05</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5</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0,1−0,05</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1+0,1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5</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3</xdr:col>
      <xdr:colOff>571500</xdr:colOff>
      <xdr:row>101</xdr:row>
      <xdr:rowOff>63874</xdr:rowOff>
    </xdr:from>
    <xdr:ext cx="5726205" cy="728533"/>
    <mc:AlternateContent xmlns:mc="http://schemas.openxmlformats.org/markup-compatibility/2006" xmlns:a14="http://schemas.microsoft.com/office/drawing/2010/main">
      <mc:Choice Requires="a14">
        <xdr:sp macro="" textlink="">
          <xdr:nvSpPr>
            <xdr:cNvPr id="7" name="TextBox 6"/>
            <xdr:cNvSpPr txBox="1"/>
          </xdr:nvSpPr>
          <xdr:spPr>
            <a:xfrm>
              <a:off x="2886075" y="19304374"/>
              <a:ext cx="5726205" cy="728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000" i="1">
                        <a:solidFill>
                          <a:schemeClr val="tx1"/>
                        </a:solidFill>
                        <a:effectLst/>
                        <a:latin typeface="Cambria Math"/>
                        <a:ea typeface="+mn-ea"/>
                        <a:cs typeface="+mn-cs"/>
                      </a:rPr>
                      <m:t>𝐶𝑢𝑟𝑟𝑒𝑛𝑡</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𝑦𝑖𝑒𝑙𝑑</m:t>
                    </m:r>
                    <m:r>
                      <a:rPr lang="en-US" sz="2000" i="1">
                        <a:solidFill>
                          <a:schemeClr val="tx1"/>
                        </a:solidFill>
                        <a:effectLst/>
                        <a:latin typeface="Cambria Math"/>
                        <a:ea typeface="+mn-ea"/>
                        <a:cs typeface="+mn-cs"/>
                      </a:rPr>
                      <m:t>=</m:t>
                    </m:r>
                    <m:f>
                      <m:fPr>
                        <m:ctrlPr>
                          <a:rPr lang="ru-RU" sz="2000" i="1">
                            <a:solidFill>
                              <a:schemeClr val="tx1"/>
                            </a:solidFill>
                            <a:effectLst/>
                            <a:latin typeface="Cambria Math" panose="02040503050406030204" pitchFamily="18" charset="0"/>
                            <a:ea typeface="+mn-ea"/>
                            <a:cs typeface="+mn-cs"/>
                          </a:rPr>
                        </m:ctrlPr>
                      </m:fPr>
                      <m:num>
                        <m:r>
                          <a:rPr lang="en-US" sz="2000" i="1">
                            <a:solidFill>
                              <a:schemeClr val="tx1"/>
                            </a:solidFill>
                            <a:effectLst/>
                            <a:latin typeface="Cambria Math"/>
                            <a:ea typeface="+mn-ea"/>
                            <a:cs typeface="+mn-cs"/>
                          </a:rPr>
                          <m:t>𝐴𝑛𝑛𝑢𝑎𝑙</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𝑐𝑜𝑢𝑝𝑜𝑛</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𝑝𝑎𝑦𝑛𝑒𝑛𝑡</m:t>
                        </m:r>
                      </m:num>
                      <m:den>
                        <m:r>
                          <a:rPr lang="en-US" sz="2000" i="1">
                            <a:solidFill>
                              <a:schemeClr val="tx1"/>
                            </a:solidFill>
                            <a:effectLst/>
                            <a:latin typeface="Cambria Math"/>
                            <a:ea typeface="+mn-ea"/>
                            <a:cs typeface="+mn-cs"/>
                          </a:rPr>
                          <m:t>𝐵𝑜𝑛𝑑</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𝑝𝑟𝑖𝑐𝑒</m:t>
                        </m:r>
                      </m:den>
                    </m:f>
                  </m:oMath>
                </m:oMathPara>
              </a14:m>
              <a:endParaRPr lang="ru-RU" sz="2000"/>
            </a:p>
          </xdr:txBody>
        </xdr:sp>
      </mc:Choice>
      <mc:Fallback xmlns="">
        <xdr:sp macro="" textlink="">
          <xdr:nvSpPr>
            <xdr:cNvPr id="7" name="TextBox 6"/>
            <xdr:cNvSpPr txBox="1"/>
          </xdr:nvSpPr>
          <xdr:spPr>
            <a:xfrm>
              <a:off x="2886075" y="19304374"/>
              <a:ext cx="5726205" cy="728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000" i="0">
                  <a:solidFill>
                    <a:schemeClr val="tx1"/>
                  </a:solidFill>
                  <a:effectLst/>
                  <a:latin typeface="Cambria Math"/>
                  <a:ea typeface="+mn-ea"/>
                  <a:cs typeface="+mn-cs"/>
                </a:rPr>
                <a:t>𝐶𝑢𝑟𝑟𝑒𝑛𝑡 𝑦𝑖𝑒𝑙𝑑=</a:t>
              </a:r>
              <a:r>
                <a:rPr lang="ru-RU"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𝐴𝑛𝑛𝑢𝑎𝑙 𝑐𝑜𝑢𝑝𝑜𝑛 𝑝𝑎𝑦𝑛𝑒𝑛𝑡</a:t>
              </a:r>
              <a:r>
                <a:rPr lang="ru-RU"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𝐵𝑜𝑛𝑑 𝑝𝑟𝑖𝑐𝑒</a:t>
              </a:r>
              <a:r>
                <a:rPr lang="ru-RU" sz="2000" i="0">
                  <a:solidFill>
                    <a:schemeClr val="tx1"/>
                  </a:solidFill>
                  <a:effectLst/>
                  <a:latin typeface="Cambria Math" panose="02040503050406030204" pitchFamily="18" charset="0"/>
                  <a:ea typeface="+mn-ea"/>
                  <a:cs typeface="+mn-cs"/>
                </a:rPr>
                <a:t>)</a:t>
              </a:r>
              <a:endParaRPr lang="ru-RU" sz="2000"/>
            </a:p>
          </xdr:txBody>
        </xdr:sp>
      </mc:Fallback>
    </mc:AlternateContent>
    <xdr:clientData/>
  </xdr:oneCellAnchor>
  <xdr:oneCellAnchor>
    <xdr:from>
      <xdr:col>3</xdr:col>
      <xdr:colOff>649942</xdr:colOff>
      <xdr:row>119</xdr:row>
      <xdr:rowOff>175933</xdr:rowOff>
    </xdr:from>
    <xdr:ext cx="5726205" cy="728533"/>
    <mc:AlternateContent xmlns:mc="http://schemas.openxmlformats.org/markup-compatibility/2006" xmlns:a14="http://schemas.microsoft.com/office/drawing/2010/main">
      <mc:Choice Requires="a14">
        <xdr:sp macro="" textlink="">
          <xdr:nvSpPr>
            <xdr:cNvPr id="8" name="TextBox 7"/>
            <xdr:cNvSpPr txBox="1"/>
          </xdr:nvSpPr>
          <xdr:spPr>
            <a:xfrm>
              <a:off x="2964517" y="22845433"/>
              <a:ext cx="5726205" cy="728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000" i="1">
                        <a:solidFill>
                          <a:schemeClr val="tx1"/>
                        </a:solidFill>
                        <a:effectLst/>
                        <a:latin typeface="Cambria Math"/>
                        <a:ea typeface="+mn-ea"/>
                        <a:cs typeface="+mn-cs"/>
                      </a:rPr>
                      <m:t>𝐶𝑢𝑟𝑟𝑒𝑛𝑡</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𝑦𝑖𝑒𝑙𝑑</m:t>
                    </m:r>
                    <m:r>
                      <a:rPr lang="en-US" sz="2000" i="1">
                        <a:solidFill>
                          <a:schemeClr val="tx1"/>
                        </a:solidFill>
                        <a:effectLst/>
                        <a:latin typeface="Cambria Math"/>
                        <a:ea typeface="+mn-ea"/>
                        <a:cs typeface="+mn-cs"/>
                      </a:rPr>
                      <m:t>=</m:t>
                    </m:r>
                    <m:f>
                      <m:fPr>
                        <m:ctrlPr>
                          <a:rPr lang="ru-RU" sz="2000" i="1">
                            <a:solidFill>
                              <a:schemeClr val="tx1"/>
                            </a:solidFill>
                            <a:effectLst/>
                            <a:latin typeface="Cambria Math" panose="02040503050406030204" pitchFamily="18" charset="0"/>
                            <a:ea typeface="+mn-ea"/>
                            <a:cs typeface="+mn-cs"/>
                          </a:rPr>
                        </m:ctrlPr>
                      </m:fPr>
                      <m:num>
                        <m:r>
                          <a:rPr lang="en-US" sz="2000" i="1">
                            <a:solidFill>
                              <a:schemeClr val="tx1"/>
                            </a:solidFill>
                            <a:effectLst/>
                            <a:latin typeface="Cambria Math"/>
                            <a:ea typeface="+mn-ea"/>
                            <a:cs typeface="+mn-cs"/>
                          </a:rPr>
                          <m:t>𝐴𝑛𝑛𝑢𝑎𝑙</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𝑐𝑜𝑢𝑝𝑜𝑛</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𝑝𝑎𝑦𝑛𝑒𝑛𝑡</m:t>
                        </m:r>
                      </m:num>
                      <m:den>
                        <m:r>
                          <a:rPr lang="en-US" sz="2000" i="1">
                            <a:solidFill>
                              <a:schemeClr val="tx1"/>
                            </a:solidFill>
                            <a:effectLst/>
                            <a:latin typeface="Cambria Math"/>
                            <a:ea typeface="+mn-ea"/>
                            <a:cs typeface="+mn-cs"/>
                          </a:rPr>
                          <m:t>𝐵𝑜𝑛𝑑</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𝑝𝑟𝑖𝑐𝑒</m:t>
                        </m:r>
                      </m:den>
                    </m:f>
                  </m:oMath>
                </m:oMathPara>
              </a14:m>
              <a:endParaRPr lang="ru-RU" sz="2000"/>
            </a:p>
          </xdr:txBody>
        </xdr:sp>
      </mc:Choice>
      <mc:Fallback xmlns="">
        <xdr:sp macro="" textlink="">
          <xdr:nvSpPr>
            <xdr:cNvPr id="8" name="TextBox 7"/>
            <xdr:cNvSpPr txBox="1"/>
          </xdr:nvSpPr>
          <xdr:spPr>
            <a:xfrm>
              <a:off x="2964517" y="22845433"/>
              <a:ext cx="5726205" cy="728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000" i="0">
                  <a:solidFill>
                    <a:schemeClr val="tx1"/>
                  </a:solidFill>
                  <a:effectLst/>
                  <a:latin typeface="Cambria Math"/>
                  <a:ea typeface="+mn-ea"/>
                  <a:cs typeface="+mn-cs"/>
                </a:rPr>
                <a:t>𝐶𝑢𝑟𝑟𝑒𝑛𝑡 𝑦𝑖𝑒𝑙𝑑=</a:t>
              </a:r>
              <a:r>
                <a:rPr lang="ru-RU"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𝐴𝑛𝑛𝑢𝑎𝑙 𝑐𝑜𝑢𝑝𝑜𝑛 𝑝𝑎𝑦𝑛𝑒𝑛𝑡</a:t>
              </a:r>
              <a:r>
                <a:rPr lang="ru-RU"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𝐵𝑜𝑛𝑑 𝑝𝑟𝑖𝑐𝑒</a:t>
              </a:r>
              <a:r>
                <a:rPr lang="ru-RU" sz="2000" i="0">
                  <a:solidFill>
                    <a:schemeClr val="tx1"/>
                  </a:solidFill>
                  <a:effectLst/>
                  <a:latin typeface="Cambria Math" panose="02040503050406030204" pitchFamily="18" charset="0"/>
                  <a:ea typeface="+mn-ea"/>
                  <a:cs typeface="+mn-cs"/>
                </a:rPr>
                <a:t>)</a:t>
              </a:r>
              <a:endParaRPr lang="ru-RU" sz="2000"/>
            </a:p>
          </xdr:txBody>
        </xdr:sp>
      </mc:Fallback>
    </mc:AlternateContent>
    <xdr:clientData/>
  </xdr:oneCellAnchor>
  <xdr:oneCellAnchor>
    <xdr:from>
      <xdr:col>9</xdr:col>
      <xdr:colOff>198342</xdr:colOff>
      <xdr:row>15</xdr:row>
      <xdr:rowOff>159202</xdr:rowOff>
    </xdr:from>
    <xdr:ext cx="8277227" cy="1078116"/>
    <mc:AlternateContent xmlns:mc="http://schemas.openxmlformats.org/markup-compatibility/2006" xmlns:a14="http://schemas.microsoft.com/office/drawing/2010/main">
      <mc:Choice Requires="a14">
        <xdr:sp macro="" textlink="">
          <xdr:nvSpPr>
            <xdr:cNvPr id="9" name="TextBox 8"/>
            <xdr:cNvSpPr txBox="1"/>
          </xdr:nvSpPr>
          <xdr:spPr>
            <a:xfrm>
              <a:off x="7142067" y="3016702"/>
              <a:ext cx="8277227" cy="1078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𝑃𝑉</m:t>
                      </m:r>
                    </m:e>
                    <m:sub>
                      <m:r>
                        <a:rPr lang="de-DE" sz="2800" b="0" i="1">
                          <a:latin typeface="Cambria Math"/>
                        </a:rPr>
                        <m:t>𝐺𝑟𝑜𝑤𝑖𝑛𝑔</m:t>
                      </m:r>
                      <m:r>
                        <a:rPr lang="de-DE" sz="2800" b="0" i="1">
                          <a:latin typeface="Cambria Math"/>
                        </a:rPr>
                        <m:t> </m:t>
                      </m:r>
                      <m:r>
                        <a:rPr lang="de-DE" sz="2800" b="0" i="1">
                          <a:latin typeface="Cambria Math"/>
                        </a:rPr>
                        <m:t>𝑝𝑒𝑟𝑝𝑒𝑡𝑢𝑖𝑡𝑦</m:t>
                      </m:r>
                    </m:sub>
                  </m:sSub>
                  <m:r>
                    <a:rPr lang="en-US" sz="2800" b="0" i="1">
                      <a:latin typeface="Cambria Math"/>
                    </a:rPr>
                    <m:t>=</m:t>
                  </m:r>
                  <m:f>
                    <m:fPr>
                      <m:ctrlPr>
                        <a:rPr lang="en-US" sz="2800" b="0" i="1">
                          <a:latin typeface="Cambria Math" panose="02040503050406030204" pitchFamily="18" charset="0"/>
                        </a:rPr>
                      </m:ctrlPr>
                    </m:fPr>
                    <m:num>
                      <m:f>
                        <m:fPr>
                          <m:ctrlPr>
                            <a:rPr lang="en-US" sz="2800" b="0" i="1">
                              <a:solidFill>
                                <a:schemeClr val="tx1"/>
                              </a:solidFill>
                              <a:effectLst/>
                              <a:latin typeface="Cambria Math" panose="02040503050406030204" pitchFamily="18" charset="0"/>
                              <a:ea typeface="+mn-ea"/>
                              <a:cs typeface="+mn-cs"/>
                            </a:rPr>
                          </m:ctrlPr>
                        </m:fPr>
                        <m:num>
                          <m:sSub>
                            <m:sSubPr>
                              <m:ctrlPr>
                                <a:rPr lang="en-US" sz="2800" b="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a:ea typeface="+mn-ea"/>
                                  <a:cs typeface="+mn-cs"/>
                                </a:rPr>
                                <m:t>𝐶</m:t>
                              </m:r>
                            </m:e>
                            <m:sub>
                              <m:r>
                                <a:rPr lang="en-US" sz="2800" b="0" i="1">
                                  <a:solidFill>
                                    <a:schemeClr val="tx1"/>
                                  </a:solidFill>
                                  <a:effectLst/>
                                  <a:latin typeface="Cambria Math"/>
                                  <a:ea typeface="+mn-ea"/>
                                  <a:cs typeface="+mn-cs"/>
                                </a:rPr>
                                <m:t>1</m:t>
                              </m:r>
                            </m:sub>
                          </m:sSub>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𝑔</m:t>
                                  </m:r>
                                </m:e>
                              </m:d>
                            </m:e>
                            <m:sup>
                              <m:r>
                                <a:rPr lang="en-US" sz="2800" b="0" i="1">
                                  <a:solidFill>
                                    <a:schemeClr val="tx1"/>
                                  </a:solidFill>
                                  <a:effectLst/>
                                  <a:latin typeface="Cambria Math"/>
                                  <a:ea typeface="+mn-ea"/>
                                  <a:cs typeface="+mn-cs"/>
                                </a:rPr>
                                <m:t>3</m:t>
                              </m:r>
                            </m:sup>
                          </m:sSup>
                        </m:num>
                        <m:den>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𝑟</m:t>
                              </m:r>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𝑔</m:t>
                              </m:r>
                            </m:e>
                          </m:d>
                        </m:den>
                      </m:f>
                    </m:num>
                    <m:den>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oMath>
              </a14:m>
              <a:r>
                <a:rPr lang="ru-RU" sz="2800"/>
                <a:t>=</a:t>
              </a:r>
              <a14:m>
                <m:oMath xmlns:m="http://schemas.openxmlformats.org/officeDocument/2006/math">
                  <m:f>
                    <m:fPr>
                      <m:ctrlPr>
                        <a:rPr lang="en-US" sz="2800" b="0" i="1">
                          <a:solidFill>
                            <a:schemeClr val="tx1"/>
                          </a:solidFill>
                          <a:effectLst/>
                          <a:latin typeface="Cambria Math" panose="02040503050406030204" pitchFamily="18" charset="0"/>
                          <a:ea typeface="+mn-ea"/>
                          <a:cs typeface="+mn-cs"/>
                        </a:rPr>
                      </m:ctrlPr>
                    </m:fPr>
                    <m:num>
                      <m:sSub>
                        <m:sSubPr>
                          <m:ctrlPr>
                            <a:rPr lang="en-US" sz="2800" b="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a:ea typeface="+mn-ea"/>
                              <a:cs typeface="+mn-cs"/>
                            </a:rPr>
                            <m:t>𝐶</m:t>
                          </m:r>
                        </m:e>
                        <m:sub>
                          <m:r>
                            <a:rPr lang="en-US" sz="2800" b="0" i="1">
                              <a:solidFill>
                                <a:schemeClr val="tx1"/>
                              </a:solidFill>
                              <a:effectLst/>
                              <a:latin typeface="Cambria Math"/>
                              <a:ea typeface="+mn-ea"/>
                              <a:cs typeface="+mn-cs"/>
                            </a:rPr>
                            <m:t>1</m:t>
                          </m:r>
                        </m:sub>
                      </m:sSub>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𝑔</m:t>
                              </m:r>
                            </m:e>
                          </m:d>
                        </m:e>
                        <m:sup>
                          <m:r>
                            <a:rPr lang="en-US" sz="2800" b="0" i="1">
                              <a:solidFill>
                                <a:schemeClr val="tx1"/>
                              </a:solidFill>
                              <a:effectLst/>
                              <a:latin typeface="Cambria Math"/>
                              <a:ea typeface="+mn-ea"/>
                              <a:cs typeface="+mn-cs"/>
                            </a:rPr>
                            <m:t>3</m:t>
                          </m:r>
                        </m:sup>
                      </m:sSup>
                    </m:num>
                    <m:den>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𝑟</m:t>
                          </m:r>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𝑔</m:t>
                          </m:r>
                        </m:e>
                      </m:d>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oMath>
              </a14:m>
              <a:endParaRPr lang="ru-RU" sz="2800"/>
            </a:p>
          </xdr:txBody>
        </xdr:sp>
      </mc:Choice>
      <mc:Fallback xmlns="">
        <xdr:sp macro="" textlink="">
          <xdr:nvSpPr>
            <xdr:cNvPr id="9" name="TextBox 8"/>
            <xdr:cNvSpPr txBox="1"/>
          </xdr:nvSpPr>
          <xdr:spPr>
            <a:xfrm>
              <a:off x="7142067" y="3016702"/>
              <a:ext cx="8277227" cy="1078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2800" i="0">
                  <a:latin typeface="Cambria Math" panose="02040503050406030204" pitchFamily="18" charset="0"/>
                </a:rPr>
                <a:t>〖</a:t>
              </a:r>
              <a:r>
                <a:rPr lang="en-US" sz="2800" b="0" i="0">
                  <a:latin typeface="Cambria Math"/>
                </a:rPr>
                <a:t>𝑃𝑉</a:t>
              </a:r>
              <a:r>
                <a:rPr lang="ru-RU" sz="2800" b="0" i="0">
                  <a:latin typeface="Cambria Math" panose="02040503050406030204" pitchFamily="18" charset="0"/>
                </a:rPr>
                <a:t>〗_(</a:t>
              </a:r>
              <a:r>
                <a:rPr lang="de-DE" sz="2800" b="0" i="0">
                  <a:latin typeface="Cambria Math"/>
                </a:rPr>
                <a:t>𝐺𝑟𝑜𝑤𝑖𝑛𝑔 𝑝𝑒𝑟𝑝𝑒𝑡𝑢𝑖𝑡𝑦</a:t>
              </a:r>
              <a:r>
                <a:rPr lang="ru-RU" sz="2800" b="0" i="0">
                  <a:latin typeface="Cambria Math" panose="02040503050406030204" pitchFamily="18" charset="0"/>
                </a:rPr>
                <a:t>)</a:t>
              </a:r>
              <a:r>
                <a:rPr lang="en-US" sz="2800" b="0" i="0">
                  <a:latin typeface="Cambria Math"/>
                </a:rPr>
                <a:t>=</a:t>
              </a:r>
              <a:r>
                <a:rPr lang="en-US" sz="2800" b="0" i="0">
                  <a:latin typeface="Cambria Math" panose="02040503050406030204" pitchFamily="18" charset="0"/>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𝐶</a:t>
              </a:r>
              <a:r>
                <a:rPr lang="en-US" sz="2800" b="0" i="0">
                  <a:solidFill>
                    <a:schemeClr val="tx1"/>
                  </a:solidFill>
                  <a:effectLst/>
                  <a:latin typeface="Cambria Math" panose="02040503050406030204" pitchFamily="18" charset="0"/>
                  <a:ea typeface="+mn-ea"/>
                  <a:cs typeface="+mn-cs"/>
                </a:rPr>
                <a:t>_</a:t>
              </a:r>
              <a:r>
                <a:rPr lang="en-US" sz="2800" b="0" i="0">
                  <a:solidFill>
                    <a:schemeClr val="tx1"/>
                  </a:solidFill>
                  <a:effectLst/>
                  <a:latin typeface="Cambria Math"/>
                  <a:ea typeface="+mn-ea"/>
                  <a:cs typeface="+mn-cs"/>
                </a:rPr>
                <a:t>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1+𝑔</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𝑟−𝑔</a:t>
              </a:r>
              <a:r>
                <a:rPr lang="en-US" sz="2800" b="0" i="0">
                  <a:solidFill>
                    <a:schemeClr val="tx1"/>
                  </a:solidFill>
                  <a:effectLst/>
                  <a:latin typeface="Cambria Math" panose="02040503050406030204" pitchFamily="18" charset="0"/>
                  <a:ea typeface="+mn-ea"/>
                  <a:cs typeface="+mn-cs"/>
                </a:rPr>
                <a:t>) ))/(</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r>
                <a:rPr lang="ru-RU" sz="2800"/>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𝐶</a:t>
              </a:r>
              <a:r>
                <a:rPr lang="en-US" sz="2800" b="0" i="0">
                  <a:solidFill>
                    <a:schemeClr val="tx1"/>
                  </a:solidFill>
                  <a:effectLst/>
                  <a:latin typeface="Cambria Math" panose="02040503050406030204" pitchFamily="18" charset="0"/>
                  <a:ea typeface="+mn-ea"/>
                  <a:cs typeface="+mn-cs"/>
                </a:rPr>
                <a:t>_</a:t>
              </a:r>
              <a:r>
                <a:rPr lang="en-US" sz="2800" b="0" i="0">
                  <a:solidFill>
                    <a:schemeClr val="tx1"/>
                  </a:solidFill>
                  <a:effectLst/>
                  <a:latin typeface="Cambria Math"/>
                  <a:ea typeface="+mn-ea"/>
                  <a:cs typeface="+mn-cs"/>
                </a:rPr>
                <a:t>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1+𝑔</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𝑟−𝑔</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3</xdr:col>
      <xdr:colOff>41460</xdr:colOff>
      <xdr:row>73</xdr:row>
      <xdr:rowOff>13446</xdr:rowOff>
    </xdr:from>
    <xdr:ext cx="4911539" cy="1544782"/>
    <mc:AlternateContent xmlns:mc="http://schemas.openxmlformats.org/markup-compatibility/2006" xmlns:a14="http://schemas.microsoft.com/office/drawing/2010/main">
      <mc:Choice Requires="a14">
        <xdr:sp macro="" textlink="">
          <xdr:nvSpPr>
            <xdr:cNvPr id="10" name="TextBox 9"/>
            <xdr:cNvSpPr txBox="1"/>
          </xdr:nvSpPr>
          <xdr:spPr>
            <a:xfrm>
              <a:off x="2356035" y="13919946"/>
              <a:ext cx="4911539" cy="15447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2800" b="0" i="1">
                        <a:solidFill>
                          <a:schemeClr val="tx1"/>
                        </a:solidFill>
                        <a:effectLst/>
                        <a:latin typeface="Cambria Math"/>
                        <a:ea typeface="+mn-ea"/>
                        <a:cs typeface="+mn-cs"/>
                      </a:rPr>
                      <m:t>𝑄𝑢𝑜𝑡𝑒𝑑</m:t>
                    </m:r>
                    <m:r>
                      <a:rPr lang="en-US" sz="2800" b="0" i="1">
                        <a:solidFill>
                          <a:schemeClr val="tx1"/>
                        </a:solidFill>
                        <a:effectLst/>
                        <a:latin typeface="Cambria Math"/>
                        <a:ea typeface="+mn-ea"/>
                        <a:cs typeface="+mn-cs"/>
                      </a:rPr>
                      <m:t> </m:t>
                    </m:r>
                    <m:r>
                      <a:rPr lang="en-US" sz="2800" b="0" i="1">
                        <a:solidFill>
                          <a:schemeClr val="tx1"/>
                        </a:solidFill>
                        <a:effectLst/>
                        <a:latin typeface="Cambria Math"/>
                        <a:ea typeface="+mn-ea"/>
                        <a:cs typeface="+mn-cs"/>
                      </a:rPr>
                      <m:t>𝑖𝑛𝑡𝑒𝑟𝑒𝑠𝑡</m:t>
                    </m:r>
                    <m:r>
                      <a:rPr lang="en-US" sz="2800" b="0" i="1">
                        <a:solidFill>
                          <a:schemeClr val="tx1"/>
                        </a:solidFill>
                        <a:effectLst/>
                        <a:latin typeface="Cambria Math"/>
                        <a:ea typeface="+mn-ea"/>
                        <a:cs typeface="+mn-cs"/>
                      </a:rPr>
                      <m:t> </m:t>
                    </m:r>
                    <m:r>
                      <a:rPr lang="en-US" sz="2800" b="0" i="1">
                        <a:solidFill>
                          <a:schemeClr val="tx1"/>
                        </a:solidFill>
                        <a:effectLst/>
                        <a:latin typeface="Cambria Math"/>
                        <a:ea typeface="+mn-ea"/>
                        <a:cs typeface="+mn-cs"/>
                      </a:rPr>
                      <m:t>𝑟𝑎𝑡𝑒</m:t>
                    </m:r>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𝑟</m:t>
                    </m:r>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r>
                          <a:rPr lang="en-US" sz="2800" b="0" i="1">
                            <a:solidFill>
                              <a:schemeClr val="tx1"/>
                            </a:solidFill>
                            <a:effectLst/>
                            <a:latin typeface="Cambria Math"/>
                            <a:ea typeface="+mn-ea"/>
                            <a:cs typeface="+mn-cs"/>
                          </a:rPr>
                          <m:t>𝑟</m:t>
                        </m:r>
                      </m:e>
                      <m:sup>
                        <m:r>
                          <a:rPr lang="en-US" sz="2800" b="0" i="1">
                            <a:solidFill>
                              <a:schemeClr val="tx1"/>
                            </a:solidFill>
                            <a:effectLst/>
                            <a:latin typeface="Cambria Math"/>
                            <a:ea typeface="+mn-ea"/>
                            <a:cs typeface="+mn-cs"/>
                          </a:rPr>
                          <m:t>∗</m:t>
                        </m:r>
                      </m:sup>
                    </m:sSup>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𝐼𝑃</m:t>
                    </m:r>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𝐷𝑅𝑃</m:t>
                    </m:r>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𝐿𝑃</m:t>
                    </m:r>
                    <m:r>
                      <a:rPr lang="en-US" sz="2800" b="0" i="1">
                        <a:solidFill>
                          <a:schemeClr val="tx1"/>
                        </a:solidFill>
                        <a:effectLst/>
                        <a:latin typeface="Cambria Math"/>
                        <a:ea typeface="+mn-ea"/>
                        <a:cs typeface="+mn-cs"/>
                      </a:rPr>
                      <m:t>+</m:t>
                    </m:r>
                    <m:r>
                      <a:rPr lang="en-US" sz="2800" b="0" i="1">
                        <a:solidFill>
                          <a:schemeClr val="tx1"/>
                        </a:solidFill>
                        <a:effectLst/>
                        <a:latin typeface="Cambria Math"/>
                        <a:ea typeface="+mn-ea"/>
                        <a:cs typeface="+mn-cs"/>
                      </a:rPr>
                      <m:t>𝑀𝑅𝑃</m:t>
                    </m:r>
                  </m:oMath>
                </m:oMathPara>
              </a14:m>
              <a:endParaRPr lang="ru-RU" sz="2800">
                <a:effectLst/>
              </a:endParaRPr>
            </a:p>
            <a:p>
              <a:endParaRPr lang="ru-RU" sz="1100"/>
            </a:p>
          </xdr:txBody>
        </xdr:sp>
      </mc:Choice>
      <mc:Fallback xmlns="">
        <xdr:sp macro="" textlink="">
          <xdr:nvSpPr>
            <xdr:cNvPr id="10" name="TextBox 9"/>
            <xdr:cNvSpPr txBox="1"/>
          </xdr:nvSpPr>
          <xdr:spPr>
            <a:xfrm>
              <a:off x="2356035" y="13919946"/>
              <a:ext cx="4911539" cy="15447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en-US" sz="2800" b="0" i="0">
                  <a:solidFill>
                    <a:schemeClr val="tx1"/>
                  </a:solidFill>
                  <a:effectLst/>
                  <a:latin typeface="Cambria Math"/>
                  <a:ea typeface="+mn-ea"/>
                  <a:cs typeface="+mn-cs"/>
                </a:rPr>
                <a:t>𝑄𝑢𝑜𝑡𝑒𝑑 𝑖𝑛𝑡𝑒𝑟𝑒𝑠𝑡 𝑟𝑎𝑡𝑒=𝑟=𝑟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∗+𝐼𝑃+𝐷𝑅𝑃+𝐿𝑃+𝑀𝑅𝑃</a:t>
              </a:r>
              <a:endParaRPr lang="ru-RU" sz="2800">
                <a:effectLst/>
              </a:endParaRPr>
            </a:p>
            <a:p>
              <a:endParaRPr lang="ru-RU" sz="1100"/>
            </a:p>
          </xdr:txBody>
        </xdr:sp>
      </mc:Fallback>
    </mc:AlternateContent>
    <xdr:clientData/>
  </xdr:oneCellAnchor>
  <xdr:oneCellAnchor>
    <xdr:from>
      <xdr:col>4</xdr:col>
      <xdr:colOff>78442</xdr:colOff>
      <xdr:row>132</xdr:row>
      <xdr:rowOff>19050</xdr:rowOff>
    </xdr:from>
    <xdr:ext cx="5726205" cy="728533"/>
    <mc:AlternateContent xmlns:mc="http://schemas.openxmlformats.org/markup-compatibility/2006" xmlns:a14="http://schemas.microsoft.com/office/drawing/2010/main">
      <mc:Choice Requires="a14">
        <xdr:sp macro="" textlink="">
          <xdr:nvSpPr>
            <xdr:cNvPr id="11" name="TextBox 10"/>
            <xdr:cNvSpPr txBox="1"/>
          </xdr:nvSpPr>
          <xdr:spPr>
            <a:xfrm>
              <a:off x="3164542" y="25165050"/>
              <a:ext cx="5726205" cy="728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000" i="1">
                        <a:solidFill>
                          <a:schemeClr val="tx1"/>
                        </a:solidFill>
                        <a:effectLst/>
                        <a:latin typeface="Cambria Math"/>
                        <a:ea typeface="+mn-ea"/>
                        <a:cs typeface="+mn-cs"/>
                      </a:rPr>
                      <m:t>𝐶𝑢𝑟𝑟𝑒𝑛𝑡</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𝑦𝑖𝑒𝑙𝑑</m:t>
                    </m:r>
                    <m:r>
                      <a:rPr lang="en-US" sz="2000" i="1">
                        <a:solidFill>
                          <a:schemeClr val="tx1"/>
                        </a:solidFill>
                        <a:effectLst/>
                        <a:latin typeface="Cambria Math"/>
                        <a:ea typeface="+mn-ea"/>
                        <a:cs typeface="+mn-cs"/>
                      </a:rPr>
                      <m:t>=</m:t>
                    </m:r>
                    <m:f>
                      <m:fPr>
                        <m:ctrlPr>
                          <a:rPr lang="ru-RU" sz="2000" i="1">
                            <a:solidFill>
                              <a:schemeClr val="tx1"/>
                            </a:solidFill>
                            <a:effectLst/>
                            <a:latin typeface="Cambria Math" panose="02040503050406030204" pitchFamily="18" charset="0"/>
                            <a:ea typeface="+mn-ea"/>
                            <a:cs typeface="+mn-cs"/>
                          </a:rPr>
                        </m:ctrlPr>
                      </m:fPr>
                      <m:num>
                        <m:r>
                          <a:rPr lang="en-US" sz="2000" i="1">
                            <a:solidFill>
                              <a:schemeClr val="tx1"/>
                            </a:solidFill>
                            <a:effectLst/>
                            <a:latin typeface="Cambria Math"/>
                            <a:ea typeface="+mn-ea"/>
                            <a:cs typeface="+mn-cs"/>
                          </a:rPr>
                          <m:t>𝐴𝑛𝑛𝑢𝑎𝑙</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𝑐𝑜𝑢𝑝𝑜𝑛</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𝑝𝑎𝑦𝑛𝑒𝑛𝑡</m:t>
                        </m:r>
                      </m:num>
                      <m:den>
                        <m:r>
                          <a:rPr lang="en-US" sz="2000" i="1">
                            <a:solidFill>
                              <a:schemeClr val="tx1"/>
                            </a:solidFill>
                            <a:effectLst/>
                            <a:latin typeface="Cambria Math"/>
                            <a:ea typeface="+mn-ea"/>
                            <a:cs typeface="+mn-cs"/>
                          </a:rPr>
                          <m:t>𝐵𝑜𝑛𝑑</m:t>
                        </m:r>
                        <m:r>
                          <a:rPr lang="en-US" sz="2000" i="1">
                            <a:solidFill>
                              <a:schemeClr val="tx1"/>
                            </a:solidFill>
                            <a:effectLst/>
                            <a:latin typeface="Cambria Math"/>
                            <a:ea typeface="+mn-ea"/>
                            <a:cs typeface="+mn-cs"/>
                          </a:rPr>
                          <m:t> </m:t>
                        </m:r>
                        <m:r>
                          <a:rPr lang="en-US" sz="2000" i="1">
                            <a:solidFill>
                              <a:schemeClr val="tx1"/>
                            </a:solidFill>
                            <a:effectLst/>
                            <a:latin typeface="Cambria Math"/>
                            <a:ea typeface="+mn-ea"/>
                            <a:cs typeface="+mn-cs"/>
                          </a:rPr>
                          <m:t>𝑝𝑟𝑖𝑐𝑒</m:t>
                        </m:r>
                      </m:den>
                    </m:f>
                  </m:oMath>
                </m:oMathPara>
              </a14:m>
              <a:endParaRPr lang="ru-RU" sz="2000"/>
            </a:p>
          </xdr:txBody>
        </xdr:sp>
      </mc:Choice>
      <mc:Fallback xmlns="">
        <xdr:sp macro="" textlink="">
          <xdr:nvSpPr>
            <xdr:cNvPr id="11" name="TextBox 10"/>
            <xdr:cNvSpPr txBox="1"/>
          </xdr:nvSpPr>
          <xdr:spPr>
            <a:xfrm>
              <a:off x="3164542" y="25165050"/>
              <a:ext cx="5726205" cy="728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000" i="0">
                  <a:solidFill>
                    <a:schemeClr val="tx1"/>
                  </a:solidFill>
                  <a:effectLst/>
                  <a:latin typeface="Cambria Math"/>
                  <a:ea typeface="+mn-ea"/>
                  <a:cs typeface="+mn-cs"/>
                </a:rPr>
                <a:t>𝐶𝑢𝑟𝑟𝑒𝑛𝑡 𝑦𝑖𝑒𝑙𝑑=</a:t>
              </a:r>
              <a:r>
                <a:rPr lang="ru-RU"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𝐴𝑛𝑛𝑢𝑎𝑙 𝑐𝑜𝑢𝑝𝑜𝑛 𝑝𝑎𝑦𝑛𝑒𝑛𝑡</a:t>
              </a:r>
              <a:r>
                <a:rPr lang="ru-RU"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𝐵𝑜𝑛𝑑 𝑝𝑟𝑖𝑐𝑒</a:t>
              </a:r>
              <a:r>
                <a:rPr lang="ru-RU" sz="2000" i="0">
                  <a:solidFill>
                    <a:schemeClr val="tx1"/>
                  </a:solidFill>
                  <a:effectLst/>
                  <a:latin typeface="Cambria Math" panose="02040503050406030204" pitchFamily="18" charset="0"/>
                  <a:ea typeface="+mn-ea"/>
                  <a:cs typeface="+mn-cs"/>
                </a:rPr>
                <a:t>)</a:t>
              </a:r>
              <a:endParaRPr lang="ru-RU" sz="2000"/>
            </a:p>
          </xdr:txBody>
        </xdr:sp>
      </mc:Fallback>
    </mc:AlternateContent>
    <xdr:clientData/>
  </xdr:oneCellAnchor>
  <xdr:oneCellAnchor>
    <xdr:from>
      <xdr:col>4</xdr:col>
      <xdr:colOff>28576</xdr:colOff>
      <xdr:row>39</xdr:row>
      <xdr:rowOff>178253</xdr:rowOff>
    </xdr:from>
    <xdr:ext cx="10896600" cy="1051185"/>
    <mc:AlternateContent xmlns:mc="http://schemas.openxmlformats.org/markup-compatibility/2006" xmlns:a14="http://schemas.microsoft.com/office/drawing/2010/main">
      <mc:Choice Requires="a14">
        <xdr:sp macro="" textlink="">
          <xdr:nvSpPr>
            <xdr:cNvPr id="12" name="TextBox 11"/>
            <xdr:cNvSpPr txBox="1"/>
          </xdr:nvSpPr>
          <xdr:spPr>
            <a:xfrm>
              <a:off x="3114676" y="7607753"/>
              <a:ext cx="10896600" cy="1051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ru-RU" sz="2800" i="1">
                            <a:solidFill>
                              <a:schemeClr val="tx1"/>
                            </a:solidFill>
                            <a:effectLst/>
                            <a:latin typeface="Cambria Math" panose="02040503050406030204" pitchFamily="18" charset="0"/>
                            <a:ea typeface="+mn-ea"/>
                            <a:cs typeface="+mn-cs"/>
                          </a:rPr>
                        </m:ctrlPr>
                      </m:sSubPr>
                      <m:e>
                        <m:r>
                          <a:rPr lang="en-US" sz="2800" i="1">
                            <a:solidFill>
                              <a:schemeClr val="tx1"/>
                            </a:solidFill>
                            <a:effectLst/>
                            <a:latin typeface="Cambria Math" panose="02040503050406030204" pitchFamily="18" charset="0"/>
                            <a:ea typeface="+mn-ea"/>
                            <a:cs typeface="+mn-cs"/>
                          </a:rPr>
                          <m:t>𝑃𝑉</m:t>
                        </m:r>
                      </m:e>
                      <m:sub>
                        <m:r>
                          <a:rPr lang="de-DE" sz="2800" i="1">
                            <a:solidFill>
                              <a:schemeClr val="tx1"/>
                            </a:solidFill>
                            <a:effectLst/>
                            <a:latin typeface="Cambria Math" panose="02040503050406030204" pitchFamily="18" charset="0"/>
                            <a:ea typeface="+mn-ea"/>
                            <a:cs typeface="+mn-cs"/>
                          </a:rPr>
                          <m:t>𝐺𝑟𝑜𝑤𝑖𝑛𝑔</m:t>
                        </m:r>
                        <m:r>
                          <a:rPr lang="de-DE" sz="2800" i="1">
                            <a:solidFill>
                              <a:schemeClr val="tx1"/>
                            </a:solidFill>
                            <a:effectLst/>
                            <a:latin typeface="Cambria Math" panose="02040503050406030204" pitchFamily="18" charset="0"/>
                            <a:ea typeface="+mn-ea"/>
                            <a:cs typeface="+mn-cs"/>
                          </a:rPr>
                          <m:t> </m:t>
                        </m:r>
                        <m:r>
                          <a:rPr lang="en-US" sz="2800" i="1">
                            <a:solidFill>
                              <a:schemeClr val="tx1"/>
                            </a:solidFill>
                            <a:effectLst/>
                            <a:latin typeface="Cambria Math" panose="02040503050406030204" pitchFamily="18" charset="0"/>
                            <a:ea typeface="+mn-ea"/>
                            <a:cs typeface="+mn-cs"/>
                          </a:rPr>
                          <m:t>𝑎𝑛𝑛𝑢𝑖𝑡𝑦</m:t>
                        </m:r>
                      </m:sub>
                    </m:sSub>
                    <m:r>
                      <a:rPr lang="en-US" sz="2800" i="1">
                        <a:solidFill>
                          <a:schemeClr val="tx1"/>
                        </a:solidFill>
                        <a:effectLst/>
                        <a:latin typeface="Cambria Math" panose="02040503050406030204" pitchFamily="18" charset="0"/>
                        <a:ea typeface="+mn-ea"/>
                        <a:cs typeface="+mn-cs"/>
                      </a:rPr>
                      <m:t>=</m:t>
                    </m:r>
                    <m:sSub>
                      <m:sSubPr>
                        <m:ctrlPr>
                          <a:rPr lang="en-US" sz="280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panose="02040503050406030204" pitchFamily="18" charset="0"/>
                            <a:ea typeface="+mn-ea"/>
                            <a:cs typeface="+mn-cs"/>
                          </a:rPr>
                          <m:t>𝐶</m:t>
                        </m:r>
                      </m:e>
                      <m:sub>
                        <m:r>
                          <a:rPr lang="en-US" sz="2800" i="1">
                            <a:solidFill>
                              <a:schemeClr val="tx1"/>
                            </a:solidFill>
                            <a:effectLst/>
                            <a:latin typeface="Cambria Math" panose="02040503050406030204" pitchFamily="18" charset="0"/>
                            <a:ea typeface="+mn-ea"/>
                            <a:cs typeface="+mn-cs"/>
                          </a:rPr>
                          <m:t>1</m:t>
                        </m:r>
                      </m:sub>
                    </m:sSub>
                    <m:d>
                      <m:dPr>
                        <m:begChr m:val="["/>
                        <m:endChr m:val="]"/>
                        <m:ctrlPr>
                          <a:rPr lang="en-US" sz="2800" i="1">
                            <a:solidFill>
                              <a:schemeClr val="tx1"/>
                            </a:solidFill>
                            <a:effectLst/>
                            <a:latin typeface="Cambria Math" panose="02040503050406030204" pitchFamily="18" charset="0"/>
                            <a:ea typeface="+mn-ea"/>
                            <a:cs typeface="+mn-cs"/>
                          </a:rPr>
                        </m:ctrlPr>
                      </m:dPr>
                      <m:e>
                        <m:f>
                          <m:fPr>
                            <m:ctrlPr>
                              <a:rPr lang="en-US" sz="2800" i="1">
                                <a:solidFill>
                                  <a:schemeClr val="tx1"/>
                                </a:solidFill>
                                <a:effectLst/>
                                <a:latin typeface="Cambria Math" panose="02040503050406030204" pitchFamily="18" charset="0"/>
                                <a:ea typeface="+mn-ea"/>
                                <a:cs typeface="+mn-cs"/>
                              </a:rPr>
                            </m:ctrlPr>
                          </m:fPr>
                          <m:num>
                            <m:r>
                              <a:rPr lang="en-US" sz="2800" i="1">
                                <a:solidFill>
                                  <a:schemeClr val="tx1"/>
                                </a:solidFill>
                                <a:effectLst/>
                                <a:latin typeface="Cambria Math" panose="02040503050406030204" pitchFamily="18" charset="0"/>
                                <a:ea typeface="+mn-ea"/>
                                <a:cs typeface="+mn-cs"/>
                              </a:rPr>
                              <m:t>1</m:t>
                            </m:r>
                          </m:num>
                          <m:den>
                            <m:d>
                              <m:dPr>
                                <m:ctrlPr>
                                  <a:rPr lang="en-US" sz="2800" i="1">
                                    <a:solidFill>
                                      <a:schemeClr val="tx1"/>
                                    </a:solidFill>
                                    <a:effectLst/>
                                    <a:latin typeface="Cambria Math" panose="02040503050406030204" pitchFamily="18" charset="0"/>
                                    <a:ea typeface="+mn-ea"/>
                                    <a:cs typeface="+mn-cs"/>
                                  </a:rPr>
                                </m:ctrlPr>
                              </m:dPr>
                              <m:e>
                                <m:r>
                                  <a:rPr lang="en-US" sz="2800" i="1">
                                    <a:solidFill>
                                      <a:schemeClr val="tx1"/>
                                    </a:solidFill>
                                    <a:effectLst/>
                                    <a:latin typeface="Cambria Math" panose="02040503050406030204" pitchFamily="18" charset="0"/>
                                    <a:ea typeface="+mn-ea"/>
                                    <a:cs typeface="+mn-cs"/>
                                  </a:rPr>
                                  <m:t>𝑟</m:t>
                                </m:r>
                                <m:r>
                                  <a:rPr lang="en-US" sz="2800" i="1">
                                    <a:solidFill>
                                      <a:schemeClr val="tx1"/>
                                    </a:solidFill>
                                    <a:effectLst/>
                                    <a:latin typeface="Cambria Math" panose="02040503050406030204" pitchFamily="18" charset="0"/>
                                    <a:ea typeface="+mn-ea"/>
                                    <a:cs typeface="+mn-cs"/>
                                  </a:rPr>
                                  <m:t>−</m:t>
                                </m:r>
                                <m:r>
                                  <a:rPr lang="en-US" sz="2800" i="1">
                                    <a:solidFill>
                                      <a:schemeClr val="tx1"/>
                                    </a:solidFill>
                                    <a:effectLst/>
                                    <a:latin typeface="Cambria Math" panose="02040503050406030204" pitchFamily="18" charset="0"/>
                                    <a:ea typeface="+mn-ea"/>
                                    <a:cs typeface="+mn-cs"/>
                                  </a:rPr>
                                  <m:t>𝑔</m:t>
                                </m:r>
                              </m:e>
                            </m:d>
                          </m:den>
                        </m:f>
                        <m:r>
                          <a:rPr lang="en-US" sz="2800" i="1">
                            <a:solidFill>
                              <a:schemeClr val="tx1"/>
                            </a:solidFill>
                            <a:effectLst/>
                            <a:latin typeface="Cambria Math" panose="02040503050406030204" pitchFamily="18" charset="0"/>
                            <a:ea typeface="+mn-ea"/>
                            <a:cs typeface="+mn-cs"/>
                          </a:rPr>
                          <m:t>−</m:t>
                        </m:r>
                        <m:f>
                          <m:fPr>
                            <m:ctrlPr>
                              <a:rPr lang="en-US" sz="2800" i="1">
                                <a:solidFill>
                                  <a:schemeClr val="tx1"/>
                                </a:solidFill>
                                <a:effectLst/>
                                <a:latin typeface="Cambria Math" panose="02040503050406030204" pitchFamily="18" charset="0"/>
                                <a:ea typeface="+mn-ea"/>
                                <a:cs typeface="+mn-cs"/>
                              </a:rPr>
                            </m:ctrlPr>
                          </m:fPr>
                          <m:num>
                            <m:sSup>
                              <m:sSupPr>
                                <m:ctrlPr>
                                  <a:rPr lang="en-US" sz="2800" i="1">
                                    <a:solidFill>
                                      <a:schemeClr val="tx1"/>
                                    </a:solidFill>
                                    <a:effectLst/>
                                    <a:latin typeface="Cambria Math" panose="02040503050406030204" pitchFamily="18" charset="0"/>
                                    <a:ea typeface="+mn-ea"/>
                                    <a:cs typeface="+mn-cs"/>
                                  </a:rPr>
                                </m:ctrlPr>
                              </m:sSupPr>
                              <m:e>
                                <m:d>
                                  <m:dPr>
                                    <m:ctrlPr>
                                      <a:rPr lang="en-US" sz="2800" i="1">
                                        <a:solidFill>
                                          <a:schemeClr val="tx1"/>
                                        </a:solidFill>
                                        <a:effectLst/>
                                        <a:latin typeface="Cambria Math" panose="02040503050406030204" pitchFamily="18" charset="0"/>
                                        <a:ea typeface="+mn-ea"/>
                                        <a:cs typeface="+mn-cs"/>
                                      </a:rPr>
                                    </m:ctrlPr>
                                  </m:dPr>
                                  <m:e>
                                    <m:r>
                                      <a:rPr lang="en-US" sz="2800" i="1">
                                        <a:solidFill>
                                          <a:schemeClr val="tx1"/>
                                        </a:solidFill>
                                        <a:effectLst/>
                                        <a:latin typeface="Cambria Math" panose="02040503050406030204" pitchFamily="18" charset="0"/>
                                        <a:ea typeface="+mn-ea"/>
                                        <a:cs typeface="+mn-cs"/>
                                      </a:rPr>
                                      <m:t>1+</m:t>
                                    </m:r>
                                    <m:r>
                                      <a:rPr lang="en-US" sz="2800" i="1">
                                        <a:solidFill>
                                          <a:schemeClr val="tx1"/>
                                        </a:solidFill>
                                        <a:effectLst/>
                                        <a:latin typeface="Cambria Math" panose="02040503050406030204" pitchFamily="18" charset="0"/>
                                        <a:ea typeface="+mn-ea"/>
                                        <a:cs typeface="+mn-cs"/>
                                      </a:rPr>
                                      <m:t>𝑔</m:t>
                                    </m:r>
                                  </m:e>
                                </m:d>
                              </m:e>
                              <m:sup>
                                <m:r>
                                  <a:rPr lang="en-US" sz="2800" i="1">
                                    <a:solidFill>
                                      <a:schemeClr val="tx1"/>
                                    </a:solidFill>
                                    <a:effectLst/>
                                    <a:latin typeface="Cambria Math" panose="02040503050406030204" pitchFamily="18" charset="0"/>
                                    <a:ea typeface="+mn-ea"/>
                                    <a:cs typeface="+mn-cs"/>
                                  </a:rPr>
                                  <m:t>𝑛</m:t>
                                </m:r>
                              </m:sup>
                            </m:sSup>
                          </m:num>
                          <m:den>
                            <m:d>
                              <m:dPr>
                                <m:ctrlPr>
                                  <a:rPr lang="en-US" sz="2800" i="1">
                                    <a:solidFill>
                                      <a:schemeClr val="tx1"/>
                                    </a:solidFill>
                                    <a:effectLst/>
                                    <a:latin typeface="Cambria Math" panose="02040503050406030204" pitchFamily="18" charset="0"/>
                                    <a:ea typeface="+mn-ea"/>
                                    <a:cs typeface="+mn-cs"/>
                                  </a:rPr>
                                </m:ctrlPr>
                              </m:dPr>
                              <m:e>
                                <m:r>
                                  <a:rPr lang="en-US" sz="2800" i="1">
                                    <a:solidFill>
                                      <a:schemeClr val="tx1"/>
                                    </a:solidFill>
                                    <a:effectLst/>
                                    <a:latin typeface="Cambria Math" panose="02040503050406030204" pitchFamily="18" charset="0"/>
                                    <a:ea typeface="+mn-ea"/>
                                    <a:cs typeface="+mn-cs"/>
                                  </a:rPr>
                                  <m:t>𝑟</m:t>
                                </m:r>
                                <m:r>
                                  <a:rPr lang="en-US" sz="2800" i="1">
                                    <a:solidFill>
                                      <a:schemeClr val="tx1"/>
                                    </a:solidFill>
                                    <a:effectLst/>
                                    <a:latin typeface="Cambria Math" panose="02040503050406030204" pitchFamily="18" charset="0"/>
                                    <a:ea typeface="+mn-ea"/>
                                    <a:cs typeface="+mn-cs"/>
                                  </a:rPr>
                                  <m:t>−</m:t>
                                </m:r>
                                <m:r>
                                  <a:rPr lang="en-US" sz="2800" i="1">
                                    <a:solidFill>
                                      <a:schemeClr val="tx1"/>
                                    </a:solidFill>
                                    <a:effectLst/>
                                    <a:latin typeface="Cambria Math" panose="02040503050406030204" pitchFamily="18" charset="0"/>
                                    <a:ea typeface="+mn-ea"/>
                                    <a:cs typeface="+mn-cs"/>
                                  </a:rPr>
                                  <m:t>𝑔</m:t>
                                </m:r>
                              </m:e>
                            </m:d>
                            <m:r>
                              <a:rPr lang="en-US" sz="2800" i="1">
                                <a:solidFill>
                                  <a:schemeClr val="tx1"/>
                                </a:solidFill>
                                <a:effectLst/>
                                <a:latin typeface="Cambria Math" panose="02040503050406030204" pitchFamily="18" charset="0"/>
                                <a:ea typeface="+mn-ea"/>
                                <a:cs typeface="+mn-cs"/>
                              </a:rPr>
                              <m:t>∗</m:t>
                            </m:r>
                            <m:sSup>
                              <m:sSupPr>
                                <m:ctrlPr>
                                  <a:rPr lang="en-US" sz="2800" i="1">
                                    <a:solidFill>
                                      <a:schemeClr val="tx1"/>
                                    </a:solidFill>
                                    <a:effectLst/>
                                    <a:latin typeface="Cambria Math" panose="02040503050406030204" pitchFamily="18" charset="0"/>
                                    <a:ea typeface="+mn-ea"/>
                                    <a:cs typeface="+mn-cs"/>
                                  </a:rPr>
                                </m:ctrlPr>
                              </m:sSupPr>
                              <m:e>
                                <m:d>
                                  <m:dPr>
                                    <m:ctrlPr>
                                      <a:rPr lang="en-US" sz="2800" i="1">
                                        <a:solidFill>
                                          <a:schemeClr val="tx1"/>
                                        </a:solidFill>
                                        <a:effectLst/>
                                        <a:latin typeface="Cambria Math" panose="02040503050406030204" pitchFamily="18" charset="0"/>
                                        <a:ea typeface="+mn-ea"/>
                                        <a:cs typeface="+mn-cs"/>
                                      </a:rPr>
                                    </m:ctrlPr>
                                  </m:dPr>
                                  <m:e>
                                    <m:r>
                                      <a:rPr lang="en-US" sz="2800" i="1">
                                        <a:solidFill>
                                          <a:schemeClr val="tx1"/>
                                        </a:solidFill>
                                        <a:effectLst/>
                                        <a:latin typeface="Cambria Math" panose="02040503050406030204" pitchFamily="18" charset="0"/>
                                        <a:ea typeface="+mn-ea"/>
                                        <a:cs typeface="+mn-cs"/>
                                      </a:rPr>
                                      <m:t>1+</m:t>
                                    </m:r>
                                    <m:r>
                                      <a:rPr lang="en-US" sz="2800" i="1">
                                        <a:solidFill>
                                          <a:schemeClr val="tx1"/>
                                        </a:solidFill>
                                        <a:effectLst/>
                                        <a:latin typeface="Cambria Math" panose="02040503050406030204" pitchFamily="18" charset="0"/>
                                        <a:ea typeface="+mn-ea"/>
                                        <a:cs typeface="+mn-cs"/>
                                      </a:rPr>
                                      <m:t>𝑟</m:t>
                                    </m:r>
                                  </m:e>
                                </m:d>
                              </m:e>
                              <m:sup>
                                <m:r>
                                  <a:rPr lang="en-US" sz="2800" i="1">
                                    <a:solidFill>
                                      <a:schemeClr val="tx1"/>
                                    </a:solidFill>
                                    <a:effectLst/>
                                    <a:latin typeface="Cambria Math" panose="02040503050406030204" pitchFamily="18" charset="0"/>
                                    <a:ea typeface="+mn-ea"/>
                                    <a:cs typeface="+mn-cs"/>
                                  </a:rPr>
                                  <m:t>𝑛</m:t>
                                </m:r>
                              </m:sup>
                            </m:sSup>
                          </m:den>
                        </m:f>
                      </m:e>
                    </m:d>
                  </m:oMath>
                </m:oMathPara>
              </a14:m>
              <a:endParaRPr lang="ru-RU" sz="2800">
                <a:effectLst/>
              </a:endParaRPr>
            </a:p>
          </xdr:txBody>
        </xdr:sp>
      </mc:Choice>
      <mc:Fallback xmlns="">
        <xdr:sp macro="" textlink="">
          <xdr:nvSpPr>
            <xdr:cNvPr id="12" name="TextBox 11"/>
            <xdr:cNvSpPr txBox="1"/>
          </xdr:nvSpPr>
          <xdr:spPr>
            <a:xfrm>
              <a:off x="3114676" y="7607753"/>
              <a:ext cx="10896600" cy="1051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ru-RU" sz="2800" i="0">
                  <a:solidFill>
                    <a:schemeClr val="tx1"/>
                  </a:solidFill>
                  <a:effectLst/>
                  <a:latin typeface="Cambria Math" panose="02040503050406030204" pitchFamily="18" charset="0"/>
                  <a:ea typeface="+mn-ea"/>
                  <a:cs typeface="+mn-cs"/>
                </a:rPr>
                <a:t>〖</a:t>
              </a:r>
              <a:r>
                <a:rPr lang="en-US" sz="2800" i="0">
                  <a:solidFill>
                    <a:schemeClr val="tx1"/>
                  </a:solidFill>
                  <a:effectLst/>
                  <a:latin typeface="Cambria Math" panose="02040503050406030204" pitchFamily="18" charset="0"/>
                  <a:ea typeface="+mn-ea"/>
                  <a:cs typeface="+mn-cs"/>
                </a:rPr>
                <a:t>𝑃𝑉</a:t>
              </a:r>
              <a:r>
                <a:rPr lang="ru-RU" sz="2800" i="0">
                  <a:solidFill>
                    <a:schemeClr val="tx1"/>
                  </a:solidFill>
                  <a:effectLst/>
                  <a:latin typeface="Cambria Math" panose="02040503050406030204" pitchFamily="18" charset="0"/>
                  <a:ea typeface="+mn-ea"/>
                  <a:cs typeface="+mn-cs"/>
                </a:rPr>
                <a:t>〗_(</a:t>
              </a:r>
              <a:r>
                <a:rPr lang="de-DE" sz="2800" i="0">
                  <a:solidFill>
                    <a:schemeClr val="tx1"/>
                  </a:solidFill>
                  <a:effectLst/>
                  <a:latin typeface="Cambria Math" panose="02040503050406030204" pitchFamily="18" charset="0"/>
                  <a:ea typeface="+mn-ea"/>
                  <a:cs typeface="+mn-cs"/>
                </a:rPr>
                <a:t>𝐺𝑟𝑜𝑤𝑖𝑛𝑔 </a:t>
              </a:r>
              <a:r>
                <a:rPr lang="en-US" sz="2800" i="0">
                  <a:solidFill>
                    <a:schemeClr val="tx1"/>
                  </a:solidFill>
                  <a:effectLst/>
                  <a:latin typeface="Cambria Math" panose="02040503050406030204" pitchFamily="18" charset="0"/>
                  <a:ea typeface="+mn-ea"/>
                  <a:cs typeface="+mn-cs"/>
                </a:rPr>
                <a:t>𝑎𝑛𝑛𝑢𝑖𝑡𝑦</a:t>
              </a:r>
              <a:r>
                <a:rPr lang="ru-RU" sz="2800" i="0">
                  <a:solidFill>
                    <a:schemeClr val="tx1"/>
                  </a:solidFill>
                  <a:effectLst/>
                  <a:latin typeface="Cambria Math" panose="02040503050406030204" pitchFamily="18" charset="0"/>
                  <a:ea typeface="+mn-ea"/>
                  <a:cs typeface="+mn-cs"/>
                </a:rPr>
                <a:t>)</a:t>
              </a:r>
              <a:r>
                <a:rPr lang="en-US" sz="280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panose="02040503050406030204" pitchFamily="18" charset="0"/>
                  <a:ea typeface="+mn-ea"/>
                  <a:cs typeface="+mn-cs"/>
                </a:rPr>
                <a:t>𝐶_</a:t>
              </a:r>
              <a:r>
                <a:rPr lang="en-US" sz="2800" i="0">
                  <a:solidFill>
                    <a:schemeClr val="tx1"/>
                  </a:solidFill>
                  <a:effectLst/>
                  <a:latin typeface="Cambria Math" panose="02040503050406030204" pitchFamily="18" charset="0"/>
                  <a:ea typeface="+mn-ea"/>
                  <a:cs typeface="+mn-cs"/>
                </a:rPr>
                <a:t>1 [1/((𝑟−𝑔) )−(1+𝑔)^𝑛/((𝑟−𝑔)∗(1+𝑟)^𝑛 )]</a:t>
              </a:r>
              <a:endParaRPr lang="ru-RU" sz="2800">
                <a:effectLst/>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4</xdr:col>
      <xdr:colOff>318405</xdr:colOff>
      <xdr:row>7</xdr:row>
      <xdr:rowOff>243568</xdr:rowOff>
    </xdr:from>
    <xdr:ext cx="3872593" cy="470385"/>
    <mc:AlternateContent xmlns:mc="http://schemas.openxmlformats.org/markup-compatibility/2006" xmlns:a14="http://schemas.microsoft.com/office/drawing/2010/main">
      <mc:Choice Requires="a14">
        <xdr:sp macro="" textlink="">
          <xdr:nvSpPr>
            <xdr:cNvPr id="2" name="TextBox 1"/>
            <xdr:cNvSpPr txBox="1"/>
          </xdr:nvSpPr>
          <xdr:spPr>
            <a:xfrm>
              <a:off x="3404505" y="1519918"/>
              <a:ext cx="3872593" cy="470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𝐹𝑉</m:t>
                    </m:r>
                    <m:r>
                      <a:rPr lang="en-US" sz="2400" b="0" i="1">
                        <a:latin typeface="Cambria Math"/>
                      </a:rPr>
                      <m:t>=</m:t>
                    </m:r>
                    <m:r>
                      <a:rPr lang="en-US" sz="2400" b="0" i="1">
                        <a:latin typeface="Cambria Math"/>
                      </a:rPr>
                      <m:t>𝑃𝑉</m:t>
                    </m:r>
                    <m:r>
                      <a:rPr lang="en-US" sz="2400" b="0" i="1">
                        <a:latin typeface="Cambria Math"/>
                      </a:rPr>
                      <m:t>∗</m:t>
                    </m:r>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𝑟</m:t>
                            </m:r>
                          </m:e>
                        </m:d>
                      </m:e>
                      <m:sup>
                        <m:r>
                          <a:rPr lang="en-US" sz="2400" b="0" i="1">
                            <a:latin typeface="Cambria Math"/>
                          </a:rPr>
                          <m:t>𝑡</m:t>
                        </m:r>
                      </m:sup>
                    </m:sSup>
                  </m:oMath>
                </m:oMathPara>
              </a14:m>
              <a:endParaRPr lang="ru-RU" sz="2400"/>
            </a:p>
          </xdr:txBody>
        </xdr:sp>
      </mc:Choice>
      <mc:Fallback xmlns="">
        <xdr:sp macro="" textlink="">
          <xdr:nvSpPr>
            <xdr:cNvPr id="2" name="TextBox 1"/>
            <xdr:cNvSpPr txBox="1"/>
          </xdr:nvSpPr>
          <xdr:spPr>
            <a:xfrm>
              <a:off x="3404505" y="1519918"/>
              <a:ext cx="3872593" cy="470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𝐹𝑉=𝑃𝑉∗</a:t>
              </a:r>
              <a:r>
                <a:rPr lang="en-US" sz="2400" b="0" i="0">
                  <a:latin typeface="Cambria Math" panose="02040503050406030204" pitchFamily="18" charset="0"/>
                </a:rPr>
                <a:t>(</a:t>
              </a:r>
              <a:r>
                <a:rPr lang="en-US" sz="2400" b="0" i="0">
                  <a:latin typeface="Cambria Math"/>
                </a:rPr>
                <a:t>1+𝑟</a:t>
              </a:r>
              <a:r>
                <a:rPr lang="en-US" sz="2400" b="0" i="0">
                  <a:latin typeface="Cambria Math" panose="02040503050406030204" pitchFamily="18" charset="0"/>
                </a:rPr>
                <a:t>)^</a:t>
              </a:r>
              <a:r>
                <a:rPr lang="en-US" sz="2400" b="0" i="0">
                  <a:latin typeface="Cambria Math"/>
                </a:rPr>
                <a:t>𝑡</a:t>
              </a:r>
              <a:endParaRPr lang="ru-RU" sz="2400"/>
            </a:p>
          </xdr:txBody>
        </xdr:sp>
      </mc:Fallback>
    </mc:AlternateContent>
    <xdr:clientData/>
  </xdr:oneCellAnchor>
  <xdr:oneCellAnchor>
    <xdr:from>
      <xdr:col>3</xdr:col>
      <xdr:colOff>459919</xdr:colOff>
      <xdr:row>21</xdr:row>
      <xdr:rowOff>121103</xdr:rowOff>
    </xdr:from>
    <xdr:ext cx="3872593" cy="470385"/>
    <mc:AlternateContent xmlns:mc="http://schemas.openxmlformats.org/markup-compatibility/2006" xmlns:a14="http://schemas.microsoft.com/office/drawing/2010/main">
      <mc:Choice Requires="a14">
        <xdr:sp macro="" textlink="">
          <xdr:nvSpPr>
            <xdr:cNvPr id="3" name="TextBox 2"/>
            <xdr:cNvSpPr txBox="1"/>
          </xdr:nvSpPr>
          <xdr:spPr>
            <a:xfrm>
              <a:off x="2774494" y="4121603"/>
              <a:ext cx="3872593" cy="470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𝐹𝑉</m:t>
                    </m:r>
                    <m:r>
                      <a:rPr lang="en-US" sz="2400" b="0" i="1">
                        <a:latin typeface="Cambria Math"/>
                      </a:rPr>
                      <m:t>=</m:t>
                    </m:r>
                    <m:r>
                      <a:rPr lang="en-US" sz="2400" b="0" i="1">
                        <a:latin typeface="Cambria Math"/>
                      </a:rPr>
                      <m:t>𝑃𝑉</m:t>
                    </m:r>
                    <m:r>
                      <a:rPr lang="en-US" sz="2400" b="0" i="1">
                        <a:latin typeface="Cambria Math"/>
                      </a:rPr>
                      <m:t>∗</m:t>
                    </m:r>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𝑟</m:t>
                            </m:r>
                          </m:e>
                        </m:d>
                      </m:e>
                      <m:sup>
                        <m:r>
                          <a:rPr lang="en-US" sz="2400" b="0" i="1">
                            <a:latin typeface="Cambria Math"/>
                          </a:rPr>
                          <m:t>𝑡</m:t>
                        </m:r>
                      </m:sup>
                    </m:sSup>
                  </m:oMath>
                </m:oMathPara>
              </a14:m>
              <a:endParaRPr lang="ru-RU" sz="2400"/>
            </a:p>
          </xdr:txBody>
        </xdr:sp>
      </mc:Choice>
      <mc:Fallback xmlns="">
        <xdr:sp macro="" textlink="">
          <xdr:nvSpPr>
            <xdr:cNvPr id="3" name="TextBox 2"/>
            <xdr:cNvSpPr txBox="1"/>
          </xdr:nvSpPr>
          <xdr:spPr>
            <a:xfrm>
              <a:off x="2774494" y="4121603"/>
              <a:ext cx="3872593" cy="470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𝐹𝑉=𝑃𝑉∗</a:t>
              </a:r>
              <a:r>
                <a:rPr lang="en-US" sz="2400" b="0" i="0">
                  <a:latin typeface="Cambria Math" panose="02040503050406030204" pitchFamily="18" charset="0"/>
                </a:rPr>
                <a:t>(</a:t>
              </a:r>
              <a:r>
                <a:rPr lang="en-US" sz="2400" b="0" i="0">
                  <a:latin typeface="Cambria Math"/>
                </a:rPr>
                <a:t>1+𝑟</a:t>
              </a:r>
              <a:r>
                <a:rPr lang="en-US" sz="2400" b="0" i="0">
                  <a:latin typeface="Cambria Math" panose="02040503050406030204" pitchFamily="18" charset="0"/>
                </a:rPr>
                <a:t>)^</a:t>
              </a:r>
              <a:r>
                <a:rPr lang="en-US" sz="2400" b="0" i="0">
                  <a:latin typeface="Cambria Math"/>
                </a:rPr>
                <a:t>𝑡</a:t>
              </a:r>
              <a:endParaRPr lang="ru-RU" sz="2400"/>
            </a:p>
          </xdr:txBody>
        </xdr:sp>
      </mc:Fallback>
    </mc:AlternateContent>
    <xdr:clientData/>
  </xdr:oneCellAnchor>
  <xdr:oneCellAnchor>
    <xdr:from>
      <xdr:col>4</xdr:col>
      <xdr:colOff>17687</xdr:colOff>
      <xdr:row>31</xdr:row>
      <xdr:rowOff>174171</xdr:rowOff>
    </xdr:from>
    <xdr:ext cx="3872593" cy="835998"/>
    <mc:AlternateContent xmlns:mc="http://schemas.openxmlformats.org/markup-compatibility/2006" xmlns:a14="http://schemas.microsoft.com/office/drawing/2010/main">
      <mc:Choice Requires="a14">
        <xdr:sp macro="" textlink="">
          <xdr:nvSpPr>
            <xdr:cNvPr id="4" name="TextBox 3"/>
            <xdr:cNvSpPr txBox="1"/>
          </xdr:nvSpPr>
          <xdr:spPr>
            <a:xfrm>
              <a:off x="3103787" y="6079671"/>
              <a:ext cx="3872593" cy="835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𝑃𝑉</m:t>
                    </m:r>
                    <m:r>
                      <a:rPr lang="en-US" sz="2400" b="0" i="1">
                        <a:latin typeface="Cambria Math"/>
                      </a:rPr>
                      <m:t>=</m:t>
                    </m:r>
                    <m:f>
                      <m:fPr>
                        <m:ctrlPr>
                          <a:rPr lang="en-US" sz="2400" b="0" i="1">
                            <a:latin typeface="Cambria Math" panose="02040503050406030204" pitchFamily="18" charset="0"/>
                          </a:rPr>
                        </m:ctrlPr>
                      </m:fPr>
                      <m:num>
                        <m:r>
                          <a:rPr lang="de-DE" sz="2400" b="0" i="1">
                            <a:latin typeface="Cambria Math"/>
                          </a:rPr>
                          <m:t>𝐹𝑉</m:t>
                        </m:r>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en-US" sz="2400" b="0" i="1">
                                    <a:solidFill>
                                      <a:schemeClr val="tx1"/>
                                    </a:solidFill>
                                    <a:effectLst/>
                                    <a:latin typeface="Cambria Math"/>
                                    <a:ea typeface="+mn-ea"/>
                                    <a:cs typeface="+mn-cs"/>
                                  </a:rPr>
                                  <m:t>𝑟</m:t>
                                </m:r>
                              </m:e>
                            </m:d>
                          </m:e>
                          <m:sup>
                            <m:r>
                              <a:rPr lang="en-US" sz="2400" b="0" i="1">
                                <a:solidFill>
                                  <a:schemeClr val="tx1"/>
                                </a:solidFill>
                                <a:effectLst/>
                                <a:latin typeface="Cambria Math"/>
                                <a:ea typeface="+mn-ea"/>
                                <a:cs typeface="+mn-cs"/>
                              </a:rPr>
                              <m:t>𝑡</m:t>
                            </m:r>
                          </m:sup>
                        </m:sSup>
                      </m:den>
                    </m:f>
                  </m:oMath>
                </m:oMathPara>
              </a14:m>
              <a:endParaRPr lang="ru-RU" sz="2400"/>
            </a:p>
          </xdr:txBody>
        </xdr:sp>
      </mc:Choice>
      <mc:Fallback xmlns="">
        <xdr:sp macro="" textlink="">
          <xdr:nvSpPr>
            <xdr:cNvPr id="4" name="TextBox 3"/>
            <xdr:cNvSpPr txBox="1"/>
          </xdr:nvSpPr>
          <xdr:spPr>
            <a:xfrm>
              <a:off x="3103787" y="6079671"/>
              <a:ext cx="3872593" cy="835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𝑃𝑉=</a:t>
              </a:r>
              <a:r>
                <a:rPr lang="de-DE" sz="2400" b="0" i="0">
                  <a:latin typeface="Cambria Math"/>
                </a:rPr>
                <a:t>𝐹𝑉</a:t>
              </a:r>
              <a:r>
                <a:rPr lang="en-US" sz="2400" b="0" i="0">
                  <a:latin typeface="Cambria Math" panose="02040503050406030204" pitchFamily="18" charset="0"/>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1+𝑟</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𝑡</a:t>
              </a:r>
              <a:r>
                <a:rPr lang="en-US" sz="2400" b="0" i="0">
                  <a:solidFill>
                    <a:schemeClr val="tx1"/>
                  </a:solidFill>
                  <a:effectLst/>
                  <a:latin typeface="Cambria Math" panose="02040503050406030204" pitchFamily="18" charset="0"/>
                  <a:ea typeface="+mn-ea"/>
                  <a:cs typeface="+mn-cs"/>
                </a:rPr>
                <a:t> </a:t>
              </a:r>
              <a:endParaRPr lang="ru-RU" sz="2400"/>
            </a:p>
          </xdr:txBody>
        </xdr:sp>
      </mc:Fallback>
    </mc:AlternateContent>
    <xdr:clientData/>
  </xdr:oneCellAnchor>
  <xdr:oneCellAnchor>
    <xdr:from>
      <xdr:col>4</xdr:col>
      <xdr:colOff>617762</xdr:colOff>
      <xdr:row>42</xdr:row>
      <xdr:rowOff>138793</xdr:rowOff>
    </xdr:from>
    <xdr:ext cx="3872593" cy="835998"/>
    <mc:AlternateContent xmlns:mc="http://schemas.openxmlformats.org/markup-compatibility/2006" xmlns:a14="http://schemas.microsoft.com/office/drawing/2010/main">
      <mc:Choice Requires="a14">
        <xdr:sp macro="" textlink="">
          <xdr:nvSpPr>
            <xdr:cNvPr id="5" name="TextBox 4"/>
            <xdr:cNvSpPr txBox="1"/>
          </xdr:nvSpPr>
          <xdr:spPr>
            <a:xfrm>
              <a:off x="3703862" y="8139793"/>
              <a:ext cx="3872593" cy="835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𝑃𝑉</m:t>
                    </m:r>
                    <m:r>
                      <a:rPr lang="en-US" sz="2400" b="0" i="1">
                        <a:latin typeface="Cambria Math"/>
                      </a:rPr>
                      <m:t>=</m:t>
                    </m:r>
                    <m:f>
                      <m:fPr>
                        <m:ctrlPr>
                          <a:rPr lang="en-US" sz="2400" b="0" i="1">
                            <a:latin typeface="Cambria Math" panose="02040503050406030204" pitchFamily="18" charset="0"/>
                          </a:rPr>
                        </m:ctrlPr>
                      </m:fPr>
                      <m:num>
                        <m:r>
                          <a:rPr lang="de-DE" sz="2400" b="0" i="1">
                            <a:latin typeface="Cambria Math"/>
                          </a:rPr>
                          <m:t>𝐹𝑉</m:t>
                        </m:r>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en-US" sz="2400" b="0" i="1">
                                    <a:solidFill>
                                      <a:schemeClr val="tx1"/>
                                    </a:solidFill>
                                    <a:effectLst/>
                                    <a:latin typeface="Cambria Math"/>
                                    <a:ea typeface="+mn-ea"/>
                                    <a:cs typeface="+mn-cs"/>
                                  </a:rPr>
                                  <m:t>𝑟</m:t>
                                </m:r>
                              </m:e>
                            </m:d>
                          </m:e>
                          <m:sup>
                            <m:r>
                              <a:rPr lang="en-US" sz="2400" b="0" i="1">
                                <a:solidFill>
                                  <a:schemeClr val="tx1"/>
                                </a:solidFill>
                                <a:effectLst/>
                                <a:latin typeface="Cambria Math"/>
                                <a:ea typeface="+mn-ea"/>
                                <a:cs typeface="+mn-cs"/>
                              </a:rPr>
                              <m:t>𝑡</m:t>
                            </m:r>
                          </m:sup>
                        </m:sSup>
                      </m:den>
                    </m:f>
                  </m:oMath>
                </m:oMathPara>
              </a14:m>
              <a:endParaRPr lang="ru-RU" sz="2400"/>
            </a:p>
          </xdr:txBody>
        </xdr:sp>
      </mc:Choice>
      <mc:Fallback xmlns="">
        <xdr:sp macro="" textlink="">
          <xdr:nvSpPr>
            <xdr:cNvPr id="5" name="TextBox 4"/>
            <xdr:cNvSpPr txBox="1"/>
          </xdr:nvSpPr>
          <xdr:spPr>
            <a:xfrm>
              <a:off x="3703862" y="8139793"/>
              <a:ext cx="3872593" cy="835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𝑃𝑉=</a:t>
              </a:r>
              <a:r>
                <a:rPr lang="de-DE" sz="2400" b="0" i="0">
                  <a:latin typeface="Cambria Math"/>
                </a:rPr>
                <a:t>𝐹𝑉</a:t>
              </a:r>
              <a:r>
                <a:rPr lang="en-US" sz="2400" b="0" i="0">
                  <a:latin typeface="Cambria Math" panose="02040503050406030204" pitchFamily="18" charset="0"/>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1+𝑟</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𝑡</a:t>
              </a:r>
              <a:r>
                <a:rPr lang="en-US" sz="2400" b="0" i="0">
                  <a:solidFill>
                    <a:schemeClr val="tx1"/>
                  </a:solidFill>
                  <a:effectLst/>
                  <a:latin typeface="Cambria Math" panose="02040503050406030204" pitchFamily="18" charset="0"/>
                  <a:ea typeface="+mn-ea"/>
                  <a:cs typeface="+mn-cs"/>
                </a:rPr>
                <a:t> </a:t>
              </a:r>
              <a:endParaRPr lang="ru-RU" sz="2400"/>
            </a:p>
          </xdr:txBody>
        </xdr:sp>
      </mc:Fallback>
    </mc:AlternateContent>
    <xdr:clientData/>
  </xdr:oneCellAnchor>
  <xdr:oneCellAnchor>
    <xdr:from>
      <xdr:col>4</xdr:col>
      <xdr:colOff>781047</xdr:colOff>
      <xdr:row>46</xdr:row>
      <xdr:rowOff>193222</xdr:rowOff>
    </xdr:from>
    <xdr:ext cx="3872593" cy="898964"/>
    <mc:AlternateContent xmlns:mc="http://schemas.openxmlformats.org/markup-compatibility/2006" xmlns:a14="http://schemas.microsoft.com/office/drawing/2010/main">
      <mc:Choice Requires="a14">
        <xdr:sp macro="" textlink="">
          <xdr:nvSpPr>
            <xdr:cNvPr id="6" name="TextBox 5"/>
            <xdr:cNvSpPr txBox="1"/>
          </xdr:nvSpPr>
          <xdr:spPr>
            <a:xfrm>
              <a:off x="3857622" y="8956222"/>
              <a:ext cx="3872593" cy="8989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𝑡</m:t>
                        </m:r>
                      </m:sup>
                    </m:sSup>
                    <m:r>
                      <a:rPr lang="en-US" sz="2800" b="0" i="1">
                        <a:latin typeface="Cambria Math"/>
                      </a:rPr>
                      <m:t>=</m:t>
                    </m:r>
                    <m:f>
                      <m:fPr>
                        <m:ctrlPr>
                          <a:rPr lang="en-US" sz="2800" b="0" i="1">
                            <a:latin typeface="Cambria Math" panose="02040503050406030204" pitchFamily="18" charset="0"/>
                          </a:rPr>
                        </m:ctrlPr>
                      </m:fPr>
                      <m:num>
                        <m:r>
                          <a:rPr lang="de-DE" sz="2800" b="0" i="1">
                            <a:latin typeface="Cambria Math"/>
                          </a:rPr>
                          <m:t>𝐹𝑉</m:t>
                        </m:r>
                      </m:num>
                      <m:den>
                        <m:r>
                          <a:rPr lang="en-US" sz="2800" b="0" i="1">
                            <a:solidFill>
                              <a:schemeClr val="tx1"/>
                            </a:solidFill>
                            <a:effectLst/>
                            <a:latin typeface="Cambria Math"/>
                            <a:ea typeface="+mn-ea"/>
                            <a:cs typeface="+mn-cs"/>
                          </a:rPr>
                          <m:t>𝑃𝑉</m:t>
                        </m:r>
                      </m:den>
                    </m:f>
                  </m:oMath>
                </m:oMathPara>
              </a14:m>
              <a:endParaRPr lang="ru-RU" sz="2800"/>
            </a:p>
          </xdr:txBody>
        </xdr:sp>
      </mc:Choice>
      <mc:Fallback xmlns="">
        <xdr:sp macro="" textlink="">
          <xdr:nvSpPr>
            <xdr:cNvPr id="6" name="TextBox 5"/>
            <xdr:cNvSpPr txBox="1"/>
          </xdr:nvSpPr>
          <xdr:spPr>
            <a:xfrm>
              <a:off x="3857622" y="8956222"/>
              <a:ext cx="3872593" cy="8989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𝑡</a:t>
              </a:r>
              <a:r>
                <a:rPr lang="en-US" sz="2800" b="0" i="0">
                  <a:latin typeface="Cambria Math"/>
                </a:rPr>
                <a:t>=</a:t>
              </a:r>
              <a:r>
                <a:rPr lang="de-DE" sz="2800" b="0" i="0">
                  <a:latin typeface="Cambria Math"/>
                </a:rPr>
                <a:t>𝐹𝑉</a:t>
              </a:r>
              <a:r>
                <a:rPr lang="en-US" sz="2800" b="0" i="0">
                  <a:latin typeface="Cambria Math" panose="02040503050406030204" pitchFamily="18" charset="0"/>
                </a:rPr>
                <a:t>/</a:t>
              </a:r>
              <a:r>
                <a:rPr lang="en-US" sz="2800" b="0" i="0">
                  <a:solidFill>
                    <a:schemeClr val="tx1"/>
                  </a:solidFill>
                  <a:effectLst/>
                  <a:latin typeface="Cambria Math"/>
                  <a:ea typeface="+mn-ea"/>
                  <a:cs typeface="+mn-cs"/>
                </a:rPr>
                <a:t>𝑃𝑉</a:t>
              </a:r>
              <a:endParaRPr lang="ru-RU" sz="2800"/>
            </a:p>
          </xdr:txBody>
        </xdr:sp>
      </mc:Fallback>
    </mc:AlternateContent>
    <xdr:clientData/>
  </xdr:oneCellAnchor>
  <xdr:oneCellAnchor>
    <xdr:from>
      <xdr:col>4</xdr:col>
      <xdr:colOff>903512</xdr:colOff>
      <xdr:row>51</xdr:row>
      <xdr:rowOff>70758</xdr:rowOff>
    </xdr:from>
    <xdr:ext cx="3872593" cy="1251946"/>
    <mc:AlternateContent xmlns:mc="http://schemas.openxmlformats.org/markup-compatibility/2006" xmlns:a14="http://schemas.microsoft.com/office/drawing/2010/main">
      <mc:Choice Requires="a14">
        <xdr:sp macro="" textlink="">
          <xdr:nvSpPr>
            <xdr:cNvPr id="7" name="TextBox 6"/>
            <xdr:cNvSpPr txBox="1"/>
          </xdr:nvSpPr>
          <xdr:spPr>
            <a:xfrm>
              <a:off x="3856262" y="9786258"/>
              <a:ext cx="3872593" cy="1251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de-DE" sz="2800" b="0" i="1">
                        <a:solidFill>
                          <a:schemeClr val="tx1"/>
                        </a:solidFill>
                        <a:effectLst/>
                        <a:latin typeface="Cambria Math"/>
                        <a:ea typeface="+mn-ea"/>
                        <a:cs typeface="+mn-cs"/>
                      </a:rPr>
                      <m:t>𝑡</m:t>
                    </m:r>
                    <m:r>
                      <a:rPr lang="en-US" sz="2800" b="0" i="1">
                        <a:latin typeface="Cambria Math"/>
                      </a:rPr>
                      <m:t>=</m:t>
                    </m:r>
                    <m:f>
                      <m:fPr>
                        <m:ctrlPr>
                          <a:rPr lang="en-US" sz="2800" b="0" i="1">
                            <a:latin typeface="Cambria Math" panose="02040503050406030204" pitchFamily="18" charset="0"/>
                          </a:rPr>
                        </m:ctrlPr>
                      </m:fPr>
                      <m:num>
                        <m:r>
                          <m:rPr>
                            <m:sty m:val="p"/>
                          </m:rPr>
                          <a:rPr lang="de-DE" sz="2800" b="0" i="0">
                            <a:latin typeface="Cambria Math"/>
                          </a:rPr>
                          <m:t>ln</m:t>
                        </m:r>
                        <m:d>
                          <m:dPr>
                            <m:ctrlPr>
                              <a:rPr lang="de-DE" sz="2800" b="0" i="1">
                                <a:latin typeface="Cambria Math" panose="02040503050406030204" pitchFamily="18" charset="0"/>
                              </a:rPr>
                            </m:ctrlPr>
                          </m:dPr>
                          <m:e>
                            <m:f>
                              <m:fPr>
                                <m:ctrlPr>
                                  <a:rPr lang="de-DE" sz="2800" b="0" i="1">
                                    <a:solidFill>
                                      <a:schemeClr val="tx1"/>
                                    </a:solidFill>
                                    <a:effectLst/>
                                    <a:latin typeface="Cambria Math" panose="02040503050406030204" pitchFamily="18" charset="0"/>
                                    <a:ea typeface="+mn-ea"/>
                                    <a:cs typeface="+mn-cs"/>
                                  </a:rPr>
                                </m:ctrlPr>
                              </m:fPr>
                              <m:num>
                                <m:r>
                                  <a:rPr lang="de-DE" sz="2800" b="0" i="1">
                                    <a:solidFill>
                                      <a:schemeClr val="tx1"/>
                                    </a:solidFill>
                                    <a:effectLst/>
                                    <a:latin typeface="Cambria Math"/>
                                    <a:ea typeface="+mn-ea"/>
                                    <a:cs typeface="+mn-cs"/>
                                  </a:rPr>
                                  <m:t>𝐹𝑉</m:t>
                                </m:r>
                              </m:num>
                              <m:den>
                                <m:r>
                                  <a:rPr lang="de-DE" sz="2800" b="0" i="1">
                                    <a:solidFill>
                                      <a:schemeClr val="tx1"/>
                                    </a:solidFill>
                                    <a:effectLst/>
                                    <a:latin typeface="Cambria Math"/>
                                    <a:ea typeface="+mn-ea"/>
                                    <a:cs typeface="+mn-cs"/>
                                  </a:rPr>
                                  <m:t>𝑃𝑉</m:t>
                                </m:r>
                              </m:den>
                            </m:f>
                          </m:e>
                        </m:d>
                        <m:r>
                          <a:rPr lang="de-DE" sz="2800" b="0" i="1">
                            <a:latin typeface="Cambria Math"/>
                          </a:rPr>
                          <m:t>⁡</m:t>
                        </m:r>
                      </m:num>
                      <m:den>
                        <m:r>
                          <m:rPr>
                            <m:sty m:val="p"/>
                          </m:rPr>
                          <a:rPr lang="de-DE" sz="2800" b="0" i="0">
                            <a:latin typeface="Cambria Math"/>
                          </a:rPr>
                          <m:t>ln</m:t>
                        </m:r>
                        <m:r>
                          <a:rPr lang="de-DE" sz="2800" b="0" i="1">
                            <a:latin typeface="Cambria Math"/>
                          </a:rPr>
                          <m:t>⁡</m:t>
                        </m:r>
                        <m:d>
                          <m:dPr>
                            <m:ctrlPr>
                              <a:rPr lang="de-DE" sz="2800" b="0" i="1">
                                <a:latin typeface="Cambria Math" panose="02040503050406030204" pitchFamily="18" charset="0"/>
                              </a:rPr>
                            </m:ctrlPr>
                          </m:dPr>
                          <m:e>
                            <m:r>
                              <a:rPr lang="de-DE" sz="2800" b="0" i="1">
                                <a:latin typeface="Cambria Math"/>
                              </a:rPr>
                              <m:t>1+</m:t>
                            </m:r>
                            <m:r>
                              <a:rPr lang="de-DE" sz="2800" b="0" i="1">
                                <a:latin typeface="Cambria Math"/>
                              </a:rPr>
                              <m:t>𝑟</m:t>
                            </m:r>
                          </m:e>
                        </m:d>
                      </m:den>
                    </m:f>
                  </m:oMath>
                </m:oMathPara>
              </a14:m>
              <a:endParaRPr lang="ru-RU" sz="2800"/>
            </a:p>
          </xdr:txBody>
        </xdr:sp>
      </mc:Choice>
      <mc:Fallback xmlns="">
        <xdr:sp macro="" textlink="">
          <xdr:nvSpPr>
            <xdr:cNvPr id="7" name="TextBox 6"/>
            <xdr:cNvSpPr txBox="1"/>
          </xdr:nvSpPr>
          <xdr:spPr>
            <a:xfrm>
              <a:off x="3856262" y="9786258"/>
              <a:ext cx="3872593" cy="1251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de-DE" sz="2800" b="0" i="0">
                  <a:solidFill>
                    <a:schemeClr val="tx1"/>
                  </a:solidFill>
                  <a:effectLst/>
                  <a:latin typeface="Cambria Math"/>
                  <a:ea typeface="+mn-ea"/>
                  <a:cs typeface="+mn-cs"/>
                </a:rPr>
                <a:t>𝑡</a:t>
              </a:r>
              <a:r>
                <a:rPr lang="en-US" sz="2800" b="0" i="0">
                  <a:latin typeface="Cambria Math"/>
                </a:rPr>
                <a:t>=</a:t>
              </a:r>
              <a:r>
                <a:rPr lang="en-US" sz="2800" b="0" i="0">
                  <a:latin typeface="Cambria Math" panose="02040503050406030204" pitchFamily="18" charset="0"/>
                </a:rPr>
                <a:t>(</a:t>
              </a:r>
              <a:r>
                <a:rPr lang="de-DE" sz="2800" b="0" i="0">
                  <a:latin typeface="Cambria Math"/>
                </a:rPr>
                <a:t>ln</a:t>
              </a:r>
              <a:r>
                <a:rPr lang="de-DE" sz="2800" b="0" i="0">
                  <a:latin typeface="Cambria Math" panose="02040503050406030204" pitchFamily="18" charset="0"/>
                </a:rPr>
                <a:t>(</a:t>
              </a:r>
              <a:r>
                <a:rPr lang="de-DE" sz="2800" b="0" i="0">
                  <a:solidFill>
                    <a:schemeClr val="tx1"/>
                  </a:solidFill>
                  <a:effectLst/>
                  <a:latin typeface="Cambria Math"/>
                  <a:ea typeface="+mn-ea"/>
                  <a:cs typeface="+mn-cs"/>
                </a:rPr>
                <a:t>𝐹𝑉</a:t>
              </a:r>
              <a:r>
                <a:rPr lang="de-DE" sz="2800" b="0" i="0">
                  <a:solidFill>
                    <a:schemeClr val="tx1"/>
                  </a:solidFill>
                  <a:effectLst/>
                  <a:latin typeface="Cambria Math" panose="02040503050406030204" pitchFamily="18" charset="0"/>
                  <a:ea typeface="+mn-ea"/>
                  <a:cs typeface="+mn-cs"/>
                </a:rPr>
                <a:t>/</a:t>
              </a:r>
              <a:r>
                <a:rPr lang="de-DE" sz="2800" b="0" i="0">
                  <a:solidFill>
                    <a:schemeClr val="tx1"/>
                  </a:solidFill>
                  <a:effectLst/>
                  <a:latin typeface="Cambria Math"/>
                  <a:ea typeface="+mn-ea"/>
                  <a:cs typeface="+mn-cs"/>
                </a:rPr>
                <a:t>𝑃𝑉</a:t>
              </a:r>
              <a:r>
                <a:rPr lang="de-DE" sz="2800" b="0" i="0">
                  <a:solidFill>
                    <a:schemeClr val="tx1"/>
                  </a:solidFill>
                  <a:effectLst/>
                  <a:latin typeface="Cambria Math" panose="02040503050406030204" pitchFamily="18" charset="0"/>
                  <a:ea typeface="+mn-ea"/>
                  <a:cs typeface="+mn-cs"/>
                </a:rPr>
                <a:t>)</a:t>
              </a:r>
              <a:r>
                <a:rPr lang="de-DE" sz="2800" b="0" i="0">
                  <a:latin typeface="Cambria Math"/>
                </a:rPr>
                <a:t>⁡</a:t>
              </a:r>
              <a:r>
                <a:rPr lang="en-US" sz="2800" b="0" i="0">
                  <a:latin typeface="Cambria Math" panose="02040503050406030204" pitchFamily="18" charset="0"/>
                </a:rPr>
                <a:t>)/(</a:t>
              </a:r>
              <a:r>
                <a:rPr lang="de-DE" sz="2800" b="0" i="0">
                  <a:latin typeface="Cambria Math"/>
                </a:rPr>
                <a:t>ln⁡</a:t>
              </a:r>
              <a:r>
                <a:rPr lang="de-DE" sz="2800" b="0" i="0">
                  <a:latin typeface="Cambria Math" panose="02040503050406030204" pitchFamily="18" charset="0"/>
                </a:rPr>
                <a:t>(</a:t>
              </a:r>
              <a:r>
                <a:rPr lang="de-DE" sz="2800" b="0" i="0">
                  <a:latin typeface="Cambria Math"/>
                </a:rPr>
                <a:t>1+𝑟</a:t>
              </a:r>
              <a:r>
                <a:rPr lang="de-DE" sz="2800" b="0" i="0">
                  <a:latin typeface="Cambria Math" panose="02040503050406030204" pitchFamily="18" charset="0"/>
                </a:rPr>
                <a:t>) </a:t>
              </a:r>
              <a:r>
                <a:rPr lang="en-US" sz="2800" b="0" i="0">
                  <a:latin typeface="Cambria Math" panose="02040503050406030204" pitchFamily="18" charset="0"/>
                </a:rPr>
                <a:t>)</a:t>
              </a:r>
              <a:endParaRPr lang="ru-RU" sz="2800"/>
            </a:p>
          </xdr:txBody>
        </xdr:sp>
      </mc:Fallback>
    </mc:AlternateContent>
    <xdr:clientData/>
  </xdr:oneCellAnchor>
  <xdr:oneCellAnchor>
    <xdr:from>
      <xdr:col>4</xdr:col>
      <xdr:colOff>917120</xdr:colOff>
      <xdr:row>100</xdr:row>
      <xdr:rowOff>202746</xdr:rowOff>
    </xdr:from>
    <xdr:ext cx="8553451" cy="854529"/>
    <mc:AlternateContent xmlns:mc="http://schemas.openxmlformats.org/markup-compatibility/2006" xmlns:a14="http://schemas.microsoft.com/office/drawing/2010/main">
      <mc:Choice Requires="a14">
        <xdr:sp macro="" textlink="">
          <xdr:nvSpPr>
            <xdr:cNvPr id="8" name="TextBox 7"/>
            <xdr:cNvSpPr txBox="1"/>
          </xdr:nvSpPr>
          <xdr:spPr>
            <a:xfrm>
              <a:off x="3860345" y="19243221"/>
              <a:ext cx="8553451" cy="8545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3200"/>
                <a:t>NPV=</a:t>
              </a:r>
              <a14:m>
                <m:oMath xmlns:m="http://schemas.openxmlformats.org/officeDocument/2006/math">
                  <m:f>
                    <m:fPr>
                      <m:ctrlPr>
                        <a:rPr lang="de-DE" sz="3200" i="1">
                          <a:latin typeface="Cambria Math" panose="02040503050406030204" pitchFamily="18" charset="0"/>
                        </a:rPr>
                      </m:ctrlPr>
                    </m:fPr>
                    <m:num>
                      <m:sSub>
                        <m:sSubPr>
                          <m:ctrlPr>
                            <a:rPr lang="de-DE" sz="3200" i="1">
                              <a:latin typeface="Cambria Math" panose="02040503050406030204" pitchFamily="18" charset="0"/>
                            </a:rPr>
                          </m:ctrlPr>
                        </m:sSubPr>
                        <m:e>
                          <m:r>
                            <a:rPr lang="en-US" sz="3200" b="0" i="1">
                              <a:latin typeface="Cambria Math"/>
                            </a:rPr>
                            <m:t>𝐶𝐹</m:t>
                          </m:r>
                        </m:e>
                        <m:sub>
                          <m:r>
                            <a:rPr lang="en-US" sz="3200" b="0" i="1">
                              <a:latin typeface="Cambria Math"/>
                            </a:rPr>
                            <m:t>0</m:t>
                          </m:r>
                        </m:sub>
                      </m:sSub>
                    </m:num>
                    <m:den>
                      <m:sSup>
                        <m:sSupPr>
                          <m:ctrlPr>
                            <a:rPr lang="de-DE" sz="3200" i="1">
                              <a:latin typeface="Cambria Math" panose="02040503050406030204" pitchFamily="18" charset="0"/>
                            </a:rPr>
                          </m:ctrlPr>
                        </m:sSupPr>
                        <m:e>
                          <m:d>
                            <m:dPr>
                              <m:ctrlPr>
                                <a:rPr lang="de-DE" sz="3200" i="1">
                                  <a:latin typeface="Cambria Math" panose="02040503050406030204" pitchFamily="18" charset="0"/>
                                </a:rPr>
                              </m:ctrlPr>
                            </m:dPr>
                            <m:e>
                              <m:r>
                                <a:rPr lang="en-US" sz="3200" b="0" i="1">
                                  <a:latin typeface="Cambria Math"/>
                                </a:rPr>
                                <m:t>1+</m:t>
                              </m:r>
                              <m:r>
                                <a:rPr lang="en-US" sz="3200" b="0" i="1">
                                  <a:latin typeface="Cambria Math"/>
                                </a:rPr>
                                <m:t>𝑟</m:t>
                              </m:r>
                            </m:e>
                          </m:d>
                        </m:e>
                        <m:sup>
                          <m:r>
                            <a:rPr lang="en-US" sz="3200" b="0" i="1">
                              <a:latin typeface="Cambria Math"/>
                            </a:rPr>
                            <m:t>0</m:t>
                          </m:r>
                        </m:sup>
                      </m:sSup>
                    </m:den>
                  </m:f>
                  <m:r>
                    <a:rPr lang="en-US" sz="3200" b="0" i="1">
                      <a:latin typeface="Cambria Math"/>
                    </a:rPr>
                    <m:t>+</m:t>
                  </m:r>
                  <m:f>
                    <m:fPr>
                      <m:ctrlPr>
                        <a:rPr lang="de-DE" sz="3200" i="1">
                          <a:solidFill>
                            <a:schemeClr val="tx1"/>
                          </a:solidFill>
                          <a:effectLst/>
                          <a:latin typeface="Cambria Math" panose="02040503050406030204" pitchFamily="18" charset="0"/>
                          <a:ea typeface="+mn-ea"/>
                          <a:cs typeface="+mn-cs"/>
                        </a:rPr>
                      </m:ctrlPr>
                    </m:fPr>
                    <m:num>
                      <m:sSub>
                        <m:sSubPr>
                          <m:ctrlPr>
                            <a:rPr lang="de-DE" sz="3200" i="1">
                              <a:solidFill>
                                <a:schemeClr val="tx1"/>
                              </a:solidFill>
                              <a:effectLst/>
                              <a:latin typeface="Cambria Math" panose="02040503050406030204" pitchFamily="18" charset="0"/>
                              <a:ea typeface="+mn-ea"/>
                              <a:cs typeface="+mn-cs"/>
                            </a:rPr>
                          </m:ctrlPr>
                        </m:sSubPr>
                        <m:e>
                          <m:r>
                            <a:rPr lang="en-US" sz="3200" b="0" i="1">
                              <a:solidFill>
                                <a:schemeClr val="tx1"/>
                              </a:solidFill>
                              <a:effectLst/>
                              <a:latin typeface="Cambria Math"/>
                              <a:ea typeface="+mn-ea"/>
                              <a:cs typeface="+mn-cs"/>
                            </a:rPr>
                            <m:t>𝐶𝐹</m:t>
                          </m:r>
                        </m:e>
                        <m:sub>
                          <m:r>
                            <a:rPr lang="en-US" sz="3200" b="0" i="1">
                              <a:solidFill>
                                <a:schemeClr val="tx1"/>
                              </a:solidFill>
                              <a:effectLst/>
                              <a:latin typeface="Cambria Math"/>
                              <a:ea typeface="+mn-ea"/>
                              <a:cs typeface="+mn-cs"/>
                            </a:rPr>
                            <m:t>1</m:t>
                          </m:r>
                        </m:sub>
                      </m:sSub>
                    </m:num>
                    <m:den>
                      <m:sSup>
                        <m:sSupPr>
                          <m:ctrlPr>
                            <a:rPr lang="de-DE" sz="3200" i="1">
                              <a:solidFill>
                                <a:schemeClr val="tx1"/>
                              </a:solidFill>
                              <a:effectLst/>
                              <a:latin typeface="Cambria Math" panose="02040503050406030204" pitchFamily="18" charset="0"/>
                              <a:ea typeface="+mn-ea"/>
                              <a:cs typeface="+mn-cs"/>
                            </a:rPr>
                          </m:ctrlPr>
                        </m:sSupPr>
                        <m:e>
                          <m:d>
                            <m:dPr>
                              <m:ctrlPr>
                                <a:rPr lang="de-DE" sz="3200" i="1">
                                  <a:solidFill>
                                    <a:schemeClr val="tx1"/>
                                  </a:solidFill>
                                  <a:effectLst/>
                                  <a:latin typeface="Cambria Math" panose="02040503050406030204" pitchFamily="18" charset="0"/>
                                  <a:ea typeface="+mn-ea"/>
                                  <a:cs typeface="+mn-cs"/>
                                </a:rPr>
                              </m:ctrlPr>
                            </m:dPr>
                            <m:e>
                              <m:r>
                                <a:rPr lang="en-US" sz="3200" b="0" i="1">
                                  <a:solidFill>
                                    <a:schemeClr val="tx1"/>
                                  </a:solidFill>
                                  <a:effectLst/>
                                  <a:latin typeface="Cambria Math"/>
                                  <a:ea typeface="+mn-ea"/>
                                  <a:cs typeface="+mn-cs"/>
                                </a:rPr>
                                <m:t>1+</m:t>
                              </m:r>
                              <m:r>
                                <a:rPr lang="en-US" sz="3200" b="0" i="1">
                                  <a:solidFill>
                                    <a:schemeClr val="tx1"/>
                                  </a:solidFill>
                                  <a:effectLst/>
                                  <a:latin typeface="Cambria Math"/>
                                  <a:ea typeface="+mn-ea"/>
                                  <a:cs typeface="+mn-cs"/>
                                </a:rPr>
                                <m:t>𝑟</m:t>
                              </m:r>
                            </m:e>
                          </m:d>
                        </m:e>
                        <m:sup>
                          <m:r>
                            <a:rPr lang="en-US" sz="3200" b="0" i="1">
                              <a:solidFill>
                                <a:schemeClr val="tx1"/>
                              </a:solidFill>
                              <a:effectLst/>
                              <a:latin typeface="Cambria Math"/>
                              <a:ea typeface="+mn-ea"/>
                              <a:cs typeface="+mn-cs"/>
                            </a:rPr>
                            <m:t>1</m:t>
                          </m:r>
                        </m:sup>
                      </m:sSup>
                    </m:den>
                  </m:f>
                  <m:r>
                    <a:rPr lang="en-US" sz="3200" b="0" i="1">
                      <a:solidFill>
                        <a:schemeClr val="tx1"/>
                      </a:solidFill>
                      <a:effectLst/>
                      <a:latin typeface="Cambria Math"/>
                      <a:ea typeface="+mn-ea"/>
                      <a:cs typeface="+mn-cs"/>
                    </a:rPr>
                    <m:t>+</m:t>
                  </m:r>
                  <m:f>
                    <m:fPr>
                      <m:ctrlPr>
                        <a:rPr lang="de-DE" sz="3200" i="1">
                          <a:solidFill>
                            <a:schemeClr val="tx1"/>
                          </a:solidFill>
                          <a:effectLst/>
                          <a:latin typeface="Cambria Math" panose="02040503050406030204" pitchFamily="18" charset="0"/>
                          <a:ea typeface="+mn-ea"/>
                          <a:cs typeface="+mn-cs"/>
                        </a:rPr>
                      </m:ctrlPr>
                    </m:fPr>
                    <m:num>
                      <m:sSub>
                        <m:sSubPr>
                          <m:ctrlPr>
                            <a:rPr lang="de-DE" sz="3200" i="1">
                              <a:solidFill>
                                <a:schemeClr val="tx1"/>
                              </a:solidFill>
                              <a:effectLst/>
                              <a:latin typeface="Cambria Math" panose="02040503050406030204" pitchFamily="18" charset="0"/>
                              <a:ea typeface="+mn-ea"/>
                              <a:cs typeface="+mn-cs"/>
                            </a:rPr>
                          </m:ctrlPr>
                        </m:sSubPr>
                        <m:e>
                          <m:r>
                            <a:rPr lang="en-US" sz="3200" b="0" i="1">
                              <a:solidFill>
                                <a:schemeClr val="tx1"/>
                              </a:solidFill>
                              <a:effectLst/>
                              <a:latin typeface="Cambria Math"/>
                              <a:ea typeface="+mn-ea"/>
                              <a:cs typeface="+mn-cs"/>
                            </a:rPr>
                            <m:t>𝐶𝐹</m:t>
                          </m:r>
                        </m:e>
                        <m:sub>
                          <m:r>
                            <a:rPr lang="en-US" sz="3200" b="0" i="1">
                              <a:solidFill>
                                <a:schemeClr val="tx1"/>
                              </a:solidFill>
                              <a:effectLst/>
                              <a:latin typeface="Cambria Math"/>
                              <a:ea typeface="+mn-ea"/>
                              <a:cs typeface="+mn-cs"/>
                            </a:rPr>
                            <m:t>2</m:t>
                          </m:r>
                        </m:sub>
                      </m:sSub>
                    </m:num>
                    <m:den>
                      <m:sSup>
                        <m:sSupPr>
                          <m:ctrlPr>
                            <a:rPr lang="de-DE" sz="3200" i="1">
                              <a:solidFill>
                                <a:schemeClr val="tx1"/>
                              </a:solidFill>
                              <a:effectLst/>
                              <a:latin typeface="Cambria Math" panose="02040503050406030204" pitchFamily="18" charset="0"/>
                              <a:ea typeface="+mn-ea"/>
                              <a:cs typeface="+mn-cs"/>
                            </a:rPr>
                          </m:ctrlPr>
                        </m:sSupPr>
                        <m:e>
                          <m:d>
                            <m:dPr>
                              <m:ctrlPr>
                                <a:rPr lang="de-DE" sz="3200" i="1">
                                  <a:solidFill>
                                    <a:schemeClr val="tx1"/>
                                  </a:solidFill>
                                  <a:effectLst/>
                                  <a:latin typeface="Cambria Math" panose="02040503050406030204" pitchFamily="18" charset="0"/>
                                  <a:ea typeface="+mn-ea"/>
                                  <a:cs typeface="+mn-cs"/>
                                </a:rPr>
                              </m:ctrlPr>
                            </m:dPr>
                            <m:e>
                              <m:r>
                                <a:rPr lang="en-US" sz="3200" b="0" i="1">
                                  <a:solidFill>
                                    <a:schemeClr val="tx1"/>
                                  </a:solidFill>
                                  <a:effectLst/>
                                  <a:latin typeface="Cambria Math"/>
                                  <a:ea typeface="+mn-ea"/>
                                  <a:cs typeface="+mn-cs"/>
                                </a:rPr>
                                <m:t>1+</m:t>
                              </m:r>
                              <m:r>
                                <a:rPr lang="en-US" sz="3200" b="0" i="1">
                                  <a:solidFill>
                                    <a:schemeClr val="tx1"/>
                                  </a:solidFill>
                                  <a:effectLst/>
                                  <a:latin typeface="Cambria Math"/>
                                  <a:ea typeface="+mn-ea"/>
                                  <a:cs typeface="+mn-cs"/>
                                </a:rPr>
                                <m:t>𝑟</m:t>
                              </m:r>
                            </m:e>
                          </m:d>
                        </m:e>
                        <m:sup>
                          <m:r>
                            <a:rPr lang="en-US" sz="3200" b="0" i="1">
                              <a:solidFill>
                                <a:schemeClr val="tx1"/>
                              </a:solidFill>
                              <a:effectLst/>
                              <a:latin typeface="Cambria Math"/>
                              <a:ea typeface="+mn-ea"/>
                              <a:cs typeface="+mn-cs"/>
                            </a:rPr>
                            <m:t>2</m:t>
                          </m:r>
                        </m:sup>
                      </m:sSup>
                    </m:den>
                  </m:f>
                  <m:r>
                    <a:rPr lang="en-US" sz="3200" b="0" i="1">
                      <a:solidFill>
                        <a:schemeClr val="tx1"/>
                      </a:solidFill>
                      <a:effectLst/>
                      <a:latin typeface="Cambria Math"/>
                      <a:ea typeface="+mn-ea"/>
                      <a:cs typeface="+mn-cs"/>
                    </a:rPr>
                    <m:t>+…+</m:t>
                  </m:r>
                  <m:f>
                    <m:fPr>
                      <m:ctrlPr>
                        <a:rPr lang="de-DE" sz="3200" i="1">
                          <a:solidFill>
                            <a:schemeClr val="tx1"/>
                          </a:solidFill>
                          <a:effectLst/>
                          <a:latin typeface="Cambria Math" panose="02040503050406030204" pitchFamily="18" charset="0"/>
                          <a:ea typeface="+mn-ea"/>
                          <a:cs typeface="+mn-cs"/>
                        </a:rPr>
                      </m:ctrlPr>
                    </m:fPr>
                    <m:num>
                      <m:sSub>
                        <m:sSubPr>
                          <m:ctrlPr>
                            <a:rPr lang="de-DE" sz="3200" i="1">
                              <a:solidFill>
                                <a:schemeClr val="tx1"/>
                              </a:solidFill>
                              <a:effectLst/>
                              <a:latin typeface="Cambria Math" panose="02040503050406030204" pitchFamily="18" charset="0"/>
                              <a:ea typeface="+mn-ea"/>
                              <a:cs typeface="+mn-cs"/>
                            </a:rPr>
                          </m:ctrlPr>
                        </m:sSubPr>
                        <m:e>
                          <m:r>
                            <a:rPr lang="en-US" sz="3200" b="0" i="1">
                              <a:solidFill>
                                <a:schemeClr val="tx1"/>
                              </a:solidFill>
                              <a:effectLst/>
                              <a:latin typeface="Cambria Math"/>
                              <a:ea typeface="+mn-ea"/>
                              <a:cs typeface="+mn-cs"/>
                            </a:rPr>
                            <m:t>𝐶𝐹</m:t>
                          </m:r>
                        </m:e>
                        <m:sub>
                          <m:r>
                            <a:rPr lang="en-US" sz="3200" b="0" i="1">
                              <a:solidFill>
                                <a:schemeClr val="tx1"/>
                              </a:solidFill>
                              <a:effectLst/>
                              <a:latin typeface="Cambria Math"/>
                              <a:ea typeface="+mn-ea"/>
                              <a:cs typeface="+mn-cs"/>
                            </a:rPr>
                            <m:t>𝑛</m:t>
                          </m:r>
                        </m:sub>
                      </m:sSub>
                    </m:num>
                    <m:den>
                      <m:sSup>
                        <m:sSupPr>
                          <m:ctrlPr>
                            <a:rPr lang="de-DE" sz="3200" i="1">
                              <a:solidFill>
                                <a:schemeClr val="tx1"/>
                              </a:solidFill>
                              <a:effectLst/>
                              <a:latin typeface="Cambria Math" panose="02040503050406030204" pitchFamily="18" charset="0"/>
                              <a:ea typeface="+mn-ea"/>
                              <a:cs typeface="+mn-cs"/>
                            </a:rPr>
                          </m:ctrlPr>
                        </m:sSupPr>
                        <m:e>
                          <m:d>
                            <m:dPr>
                              <m:ctrlPr>
                                <a:rPr lang="de-DE" sz="3200" i="1">
                                  <a:solidFill>
                                    <a:schemeClr val="tx1"/>
                                  </a:solidFill>
                                  <a:effectLst/>
                                  <a:latin typeface="Cambria Math" panose="02040503050406030204" pitchFamily="18" charset="0"/>
                                  <a:ea typeface="+mn-ea"/>
                                  <a:cs typeface="+mn-cs"/>
                                </a:rPr>
                              </m:ctrlPr>
                            </m:dPr>
                            <m:e>
                              <m:r>
                                <a:rPr lang="en-US" sz="3200" b="0" i="1">
                                  <a:solidFill>
                                    <a:schemeClr val="tx1"/>
                                  </a:solidFill>
                                  <a:effectLst/>
                                  <a:latin typeface="Cambria Math"/>
                                  <a:ea typeface="+mn-ea"/>
                                  <a:cs typeface="+mn-cs"/>
                                </a:rPr>
                                <m:t>1+</m:t>
                              </m:r>
                              <m:r>
                                <a:rPr lang="en-US" sz="3200" b="0" i="1">
                                  <a:solidFill>
                                    <a:schemeClr val="tx1"/>
                                  </a:solidFill>
                                  <a:effectLst/>
                                  <a:latin typeface="Cambria Math"/>
                                  <a:ea typeface="+mn-ea"/>
                                  <a:cs typeface="+mn-cs"/>
                                </a:rPr>
                                <m:t>𝑟</m:t>
                              </m:r>
                            </m:e>
                          </m:d>
                        </m:e>
                        <m:sup>
                          <m:r>
                            <a:rPr lang="en-US" sz="3200" b="0" i="1">
                              <a:solidFill>
                                <a:schemeClr val="tx1"/>
                              </a:solidFill>
                              <a:effectLst/>
                              <a:latin typeface="Cambria Math"/>
                              <a:ea typeface="+mn-ea"/>
                              <a:cs typeface="+mn-cs"/>
                            </a:rPr>
                            <m:t>𝑛</m:t>
                          </m:r>
                        </m:sup>
                      </m:sSup>
                    </m:den>
                  </m:f>
                </m:oMath>
              </a14:m>
              <a:endParaRPr lang="ru-RU" sz="3200"/>
            </a:p>
          </xdr:txBody>
        </xdr:sp>
      </mc:Choice>
      <mc:Fallback xmlns="">
        <xdr:sp macro="" textlink="">
          <xdr:nvSpPr>
            <xdr:cNvPr id="8" name="TextBox 7"/>
            <xdr:cNvSpPr txBox="1"/>
          </xdr:nvSpPr>
          <xdr:spPr>
            <a:xfrm>
              <a:off x="3860345" y="19243221"/>
              <a:ext cx="8553451" cy="8545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3200"/>
                <a:t>NPV=</a:t>
              </a:r>
              <a:r>
                <a:rPr lang="de-DE" sz="3200" i="0">
                  <a:latin typeface="Cambria Math" panose="02040503050406030204" pitchFamily="18" charset="0"/>
                </a:rPr>
                <a:t>〖</a:t>
              </a:r>
              <a:r>
                <a:rPr lang="en-US" sz="3200" b="0" i="0">
                  <a:latin typeface="Cambria Math"/>
                </a:rPr>
                <a:t>𝐶𝐹</a:t>
              </a:r>
              <a:r>
                <a:rPr lang="de-DE" sz="3200" b="0" i="0">
                  <a:latin typeface="Cambria Math" panose="02040503050406030204" pitchFamily="18" charset="0"/>
                </a:rPr>
                <a:t>〗_</a:t>
              </a:r>
              <a:r>
                <a:rPr lang="en-US" sz="3200" b="0" i="0">
                  <a:latin typeface="Cambria Math"/>
                </a:rPr>
                <a:t>0</a:t>
              </a:r>
              <a:r>
                <a:rPr lang="de-DE" sz="3200" b="0" i="0">
                  <a:latin typeface="Cambria Math" panose="02040503050406030204" pitchFamily="18" charset="0"/>
                </a:rPr>
                <a:t>/(</a:t>
              </a:r>
              <a:r>
                <a:rPr lang="en-US" sz="3200" b="0" i="0">
                  <a:latin typeface="Cambria Math"/>
                </a:rPr>
                <a:t>1+𝑟</a:t>
              </a:r>
              <a:r>
                <a:rPr lang="en-US" sz="3200" b="0" i="0">
                  <a:latin typeface="Cambria Math" panose="02040503050406030204" pitchFamily="18" charset="0"/>
                </a:rPr>
                <a:t>)</a:t>
              </a:r>
              <a:r>
                <a:rPr lang="de-DE" sz="3200" b="0" i="0">
                  <a:latin typeface="Cambria Math" panose="02040503050406030204" pitchFamily="18" charset="0"/>
                </a:rPr>
                <a:t>^</a:t>
              </a:r>
              <a:r>
                <a:rPr lang="en-US" sz="3200" b="0" i="0">
                  <a:latin typeface="Cambria Math"/>
                </a:rPr>
                <a:t>0</a:t>
              </a:r>
              <a:r>
                <a:rPr lang="en-US" sz="3200" b="0" i="0">
                  <a:latin typeface="Cambria Math" panose="02040503050406030204" pitchFamily="18" charset="0"/>
                </a:rPr>
                <a:t> </a:t>
              </a:r>
              <a:r>
                <a:rPr lang="en-US" sz="3200" b="0" i="0">
                  <a:latin typeface="Cambria Math"/>
                </a:rPr>
                <a:t>+</a:t>
              </a:r>
              <a:r>
                <a:rPr lang="de-DE" sz="320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𝐶𝐹</a:t>
              </a:r>
              <a:r>
                <a:rPr lang="de-DE" sz="3200" b="0" i="0">
                  <a:solidFill>
                    <a:schemeClr val="tx1"/>
                  </a:solidFill>
                  <a:effectLst/>
                  <a:latin typeface="Cambria Math" panose="02040503050406030204" pitchFamily="18" charset="0"/>
                  <a:ea typeface="+mn-ea"/>
                  <a:cs typeface="+mn-cs"/>
                </a:rPr>
                <a:t>〗_</a:t>
              </a:r>
              <a:r>
                <a:rPr lang="en-US" sz="3200" b="0" i="0">
                  <a:solidFill>
                    <a:schemeClr val="tx1"/>
                  </a:solidFill>
                  <a:effectLst/>
                  <a:latin typeface="Cambria Math"/>
                  <a:ea typeface="+mn-ea"/>
                  <a:cs typeface="+mn-cs"/>
                </a:rPr>
                <a:t>1</a:t>
              </a:r>
              <a:r>
                <a:rPr lang="de-DE"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1+𝑟</a:t>
              </a:r>
              <a:r>
                <a:rPr lang="en-US" sz="3200" b="0" i="0">
                  <a:solidFill>
                    <a:schemeClr val="tx1"/>
                  </a:solidFill>
                  <a:effectLst/>
                  <a:latin typeface="Cambria Math" panose="02040503050406030204" pitchFamily="18" charset="0"/>
                  <a:ea typeface="+mn-ea"/>
                  <a:cs typeface="+mn-cs"/>
                </a:rPr>
                <a:t>)</a:t>
              </a:r>
              <a:r>
                <a:rPr lang="de-DE"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a:t>
              </a:r>
              <a:r>
                <a:rPr lang="en-US" sz="3200" b="0" i="0">
                  <a:solidFill>
                    <a:schemeClr val="tx1"/>
                  </a:solidFill>
                  <a:effectLst/>
                  <a:latin typeface="Cambria Math" panose="02040503050406030204" pitchFamily="18" charset="0"/>
                  <a:ea typeface="+mn-ea"/>
                  <a:cs typeface="+mn-cs"/>
                </a:rPr>
                <a:t> </a:t>
              </a:r>
              <a:r>
                <a:rPr lang="en-US" sz="3200" b="0" i="0">
                  <a:solidFill>
                    <a:schemeClr val="tx1"/>
                  </a:solidFill>
                  <a:effectLst/>
                  <a:latin typeface="Cambria Math"/>
                  <a:ea typeface="+mn-ea"/>
                  <a:cs typeface="+mn-cs"/>
                </a:rPr>
                <a:t>+</a:t>
              </a:r>
              <a:r>
                <a:rPr lang="de-DE" sz="320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𝐶𝐹</a:t>
              </a:r>
              <a:r>
                <a:rPr lang="de-DE" sz="3200" b="0" i="0">
                  <a:solidFill>
                    <a:schemeClr val="tx1"/>
                  </a:solidFill>
                  <a:effectLst/>
                  <a:latin typeface="Cambria Math" panose="02040503050406030204" pitchFamily="18" charset="0"/>
                  <a:ea typeface="+mn-ea"/>
                  <a:cs typeface="+mn-cs"/>
                </a:rPr>
                <a:t>〗_</a:t>
              </a:r>
              <a:r>
                <a:rPr lang="en-US" sz="3200" b="0" i="0">
                  <a:solidFill>
                    <a:schemeClr val="tx1"/>
                  </a:solidFill>
                  <a:effectLst/>
                  <a:latin typeface="Cambria Math"/>
                  <a:ea typeface="+mn-ea"/>
                  <a:cs typeface="+mn-cs"/>
                </a:rPr>
                <a:t>2</a:t>
              </a:r>
              <a:r>
                <a:rPr lang="de-DE"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1+𝑟</a:t>
              </a:r>
              <a:r>
                <a:rPr lang="en-US" sz="3200" b="0" i="0">
                  <a:solidFill>
                    <a:schemeClr val="tx1"/>
                  </a:solidFill>
                  <a:effectLst/>
                  <a:latin typeface="Cambria Math" panose="02040503050406030204" pitchFamily="18" charset="0"/>
                  <a:ea typeface="+mn-ea"/>
                  <a:cs typeface="+mn-cs"/>
                </a:rPr>
                <a:t>)</a:t>
              </a:r>
              <a:r>
                <a:rPr lang="de-DE"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2</a:t>
              </a:r>
              <a:r>
                <a:rPr lang="en-US" sz="3200" b="0" i="0">
                  <a:solidFill>
                    <a:schemeClr val="tx1"/>
                  </a:solidFill>
                  <a:effectLst/>
                  <a:latin typeface="Cambria Math" panose="02040503050406030204" pitchFamily="18" charset="0"/>
                  <a:ea typeface="+mn-ea"/>
                  <a:cs typeface="+mn-cs"/>
                </a:rPr>
                <a:t> </a:t>
              </a:r>
              <a:r>
                <a:rPr lang="en-US" sz="3200" b="0" i="0">
                  <a:solidFill>
                    <a:schemeClr val="tx1"/>
                  </a:solidFill>
                  <a:effectLst/>
                  <a:latin typeface="Cambria Math"/>
                  <a:ea typeface="+mn-ea"/>
                  <a:cs typeface="+mn-cs"/>
                </a:rPr>
                <a:t>+…+</a:t>
              </a:r>
              <a:r>
                <a:rPr lang="de-DE" sz="320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𝐶𝐹</a:t>
              </a:r>
              <a:r>
                <a:rPr lang="de-DE" sz="3200" b="0" i="0">
                  <a:solidFill>
                    <a:schemeClr val="tx1"/>
                  </a:solidFill>
                  <a:effectLst/>
                  <a:latin typeface="Cambria Math" panose="02040503050406030204" pitchFamily="18" charset="0"/>
                  <a:ea typeface="+mn-ea"/>
                  <a:cs typeface="+mn-cs"/>
                </a:rPr>
                <a:t>〗_</a:t>
              </a:r>
              <a:r>
                <a:rPr lang="en-US" sz="3200" b="0" i="0">
                  <a:solidFill>
                    <a:schemeClr val="tx1"/>
                  </a:solidFill>
                  <a:effectLst/>
                  <a:latin typeface="Cambria Math"/>
                  <a:ea typeface="+mn-ea"/>
                  <a:cs typeface="+mn-cs"/>
                </a:rPr>
                <a:t>𝑛</a:t>
              </a:r>
              <a:r>
                <a:rPr lang="de-DE"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1+𝑟</a:t>
              </a:r>
              <a:r>
                <a:rPr lang="en-US" sz="3200" b="0" i="0">
                  <a:solidFill>
                    <a:schemeClr val="tx1"/>
                  </a:solidFill>
                  <a:effectLst/>
                  <a:latin typeface="Cambria Math" panose="02040503050406030204" pitchFamily="18" charset="0"/>
                  <a:ea typeface="+mn-ea"/>
                  <a:cs typeface="+mn-cs"/>
                </a:rPr>
                <a:t>)</a:t>
              </a:r>
              <a:r>
                <a:rPr lang="de-DE"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𝑛</a:t>
              </a:r>
              <a:r>
                <a:rPr lang="en-US" sz="3200" b="0" i="0">
                  <a:solidFill>
                    <a:schemeClr val="tx1"/>
                  </a:solidFill>
                  <a:effectLst/>
                  <a:latin typeface="Cambria Math" panose="02040503050406030204" pitchFamily="18" charset="0"/>
                  <a:ea typeface="+mn-ea"/>
                  <a:cs typeface="+mn-cs"/>
                </a:rPr>
                <a:t> </a:t>
              </a:r>
              <a:endParaRPr lang="ru-RU" sz="3200"/>
            </a:p>
          </xdr:txBody>
        </xdr:sp>
      </mc:Fallback>
    </mc:AlternateContent>
    <xdr:clientData/>
  </xdr:oneCellAnchor>
  <xdr:oneCellAnchor>
    <xdr:from>
      <xdr:col>4</xdr:col>
      <xdr:colOff>767443</xdr:colOff>
      <xdr:row>113</xdr:row>
      <xdr:rowOff>12246</xdr:rowOff>
    </xdr:from>
    <xdr:ext cx="4280808" cy="858611"/>
    <mc:AlternateContent xmlns:mc="http://schemas.openxmlformats.org/markup-compatibility/2006" xmlns:a14="http://schemas.microsoft.com/office/drawing/2010/main">
      <mc:Choice Requires="a14">
        <xdr:sp macro="" textlink="">
          <xdr:nvSpPr>
            <xdr:cNvPr id="9" name="TextBox 8"/>
            <xdr:cNvSpPr txBox="1"/>
          </xdr:nvSpPr>
          <xdr:spPr>
            <a:xfrm>
              <a:off x="3853543" y="21538746"/>
              <a:ext cx="4280808" cy="858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3200"/>
                <a:t>Discount factor = </a:t>
              </a:r>
              <a14:m>
                <m:oMath xmlns:m="http://schemas.openxmlformats.org/officeDocument/2006/math">
                  <m:f>
                    <m:fPr>
                      <m:ctrlPr>
                        <a:rPr lang="de-DE" sz="3200" i="1">
                          <a:latin typeface="Cambria Math" panose="02040503050406030204" pitchFamily="18" charset="0"/>
                        </a:rPr>
                      </m:ctrlPr>
                    </m:fPr>
                    <m:num>
                      <m:r>
                        <a:rPr lang="en-US" sz="3200" b="0" i="1">
                          <a:latin typeface="Cambria Math"/>
                        </a:rPr>
                        <m:t>1</m:t>
                      </m:r>
                    </m:num>
                    <m:den>
                      <m:sSup>
                        <m:sSupPr>
                          <m:ctrlPr>
                            <a:rPr lang="de-DE" sz="3200" i="1">
                              <a:latin typeface="Cambria Math" panose="02040503050406030204" pitchFamily="18" charset="0"/>
                            </a:rPr>
                          </m:ctrlPr>
                        </m:sSupPr>
                        <m:e>
                          <m:d>
                            <m:dPr>
                              <m:ctrlPr>
                                <a:rPr lang="de-DE" sz="3200" i="1">
                                  <a:latin typeface="Cambria Math" panose="02040503050406030204" pitchFamily="18" charset="0"/>
                                </a:rPr>
                              </m:ctrlPr>
                            </m:dPr>
                            <m:e>
                              <m:r>
                                <a:rPr lang="en-US" sz="3200" b="0" i="1">
                                  <a:latin typeface="Cambria Math"/>
                                </a:rPr>
                                <m:t>1+</m:t>
                              </m:r>
                              <m:r>
                                <a:rPr lang="en-US" sz="3200" b="0" i="1">
                                  <a:latin typeface="Cambria Math"/>
                                </a:rPr>
                                <m:t>𝑟</m:t>
                              </m:r>
                            </m:e>
                          </m:d>
                        </m:e>
                        <m:sup>
                          <m:r>
                            <a:rPr lang="en-US" sz="3200" b="0" i="1">
                              <a:latin typeface="Cambria Math"/>
                            </a:rPr>
                            <m:t>𝑡</m:t>
                          </m:r>
                        </m:sup>
                      </m:sSup>
                    </m:den>
                  </m:f>
                </m:oMath>
              </a14:m>
              <a:endParaRPr lang="ru-RU" sz="3200"/>
            </a:p>
          </xdr:txBody>
        </xdr:sp>
      </mc:Choice>
      <mc:Fallback xmlns="">
        <xdr:sp macro="" textlink="">
          <xdr:nvSpPr>
            <xdr:cNvPr id="9" name="TextBox 8"/>
            <xdr:cNvSpPr txBox="1"/>
          </xdr:nvSpPr>
          <xdr:spPr>
            <a:xfrm>
              <a:off x="3853543" y="21538746"/>
              <a:ext cx="4280808" cy="858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3200"/>
                <a:t>Discount factor = </a:t>
              </a:r>
              <a:r>
                <a:rPr lang="en-US" sz="3200" b="0" i="0">
                  <a:latin typeface="Cambria Math"/>
                </a:rPr>
                <a:t>1</a:t>
              </a:r>
              <a:r>
                <a:rPr lang="de-DE" sz="3200" b="0" i="0">
                  <a:latin typeface="Cambria Math" panose="02040503050406030204" pitchFamily="18" charset="0"/>
                </a:rPr>
                <a:t>/(</a:t>
              </a:r>
              <a:r>
                <a:rPr lang="en-US" sz="3200" b="0" i="0">
                  <a:latin typeface="Cambria Math"/>
                </a:rPr>
                <a:t>1+𝑟</a:t>
              </a:r>
              <a:r>
                <a:rPr lang="en-US" sz="3200" b="0" i="0">
                  <a:latin typeface="Cambria Math" panose="02040503050406030204" pitchFamily="18" charset="0"/>
                </a:rPr>
                <a:t>)</a:t>
              </a:r>
              <a:r>
                <a:rPr lang="de-DE" sz="3200" b="0" i="0">
                  <a:latin typeface="Cambria Math" panose="02040503050406030204" pitchFamily="18" charset="0"/>
                </a:rPr>
                <a:t>^</a:t>
              </a:r>
              <a:r>
                <a:rPr lang="en-US" sz="3200" b="0" i="0">
                  <a:latin typeface="Cambria Math"/>
                </a:rPr>
                <a:t>𝑡</a:t>
              </a:r>
              <a:r>
                <a:rPr lang="en-US" sz="3200" b="0" i="0">
                  <a:latin typeface="Cambria Math" panose="02040503050406030204" pitchFamily="18" charset="0"/>
                </a:rPr>
                <a:t> </a:t>
              </a:r>
              <a:endParaRPr lang="ru-RU" sz="3200"/>
            </a:p>
          </xdr:txBody>
        </xdr:sp>
      </mc:Fallback>
    </mc:AlternateContent>
    <xdr:clientData/>
  </xdr:oneCellAnchor>
  <xdr:oneCellAnchor>
    <xdr:from>
      <xdr:col>7</xdr:col>
      <xdr:colOff>224518</xdr:colOff>
      <xdr:row>114</xdr:row>
      <xdr:rowOff>5443</xdr:rowOff>
    </xdr:from>
    <xdr:ext cx="6417128" cy="593304"/>
    <xdr:sp macro="" textlink="">
      <xdr:nvSpPr>
        <xdr:cNvPr id="10" name="TextBox 9"/>
        <xdr:cNvSpPr txBox="1"/>
      </xdr:nvSpPr>
      <xdr:spPr>
        <a:xfrm>
          <a:off x="5625193" y="21722443"/>
          <a:ext cx="6417128"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3200"/>
            <a:t>Discounted CF= CF*Discount</a:t>
          </a:r>
          <a:r>
            <a:rPr lang="de-DE" sz="3200" baseline="0"/>
            <a:t> factor</a:t>
          </a:r>
          <a:endParaRPr lang="ru-RU" sz="3200"/>
        </a:p>
      </xdr:txBody>
    </xdr:sp>
    <xdr:clientData/>
  </xdr:oneCellAnchor>
  <xdr:oneCellAnchor>
    <xdr:from>
      <xdr:col>6</xdr:col>
      <xdr:colOff>979831</xdr:colOff>
      <xdr:row>64</xdr:row>
      <xdr:rowOff>190263</xdr:rowOff>
    </xdr:from>
    <xdr:ext cx="5546273" cy="530658"/>
    <mc:AlternateContent xmlns:mc="http://schemas.openxmlformats.org/markup-compatibility/2006" xmlns:a14="http://schemas.microsoft.com/office/drawing/2010/main">
      <mc:Choice Requires="a14">
        <xdr:sp macro="" textlink="">
          <xdr:nvSpPr>
            <xdr:cNvPr id="11" name="TextBox 10"/>
            <xdr:cNvSpPr txBox="1"/>
          </xdr:nvSpPr>
          <xdr:spPr>
            <a:xfrm>
              <a:off x="5399431" y="12382263"/>
              <a:ext cx="554627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b="0">
                  <a:solidFill>
                    <a:schemeClr val="tx1"/>
                  </a:solidFill>
                  <a:effectLst/>
                  <a:ea typeface="+mn-ea"/>
                  <a:cs typeface="+mn-cs"/>
                </a:rPr>
                <a:t>EAR</a:t>
              </a:r>
              <a14:m>
                <m:oMath xmlns:m="http://schemas.openxmlformats.org/officeDocument/2006/math">
                  <m:r>
                    <a:rPr lang="en-US" sz="2800" b="0" i="0">
                      <a:latin typeface="Cambria Math"/>
                    </a:rPr>
                    <m:t> </m:t>
                  </m:r>
                  <m:r>
                    <a:rPr lang="en-US" sz="2800" b="0" i="1">
                      <a:latin typeface="Cambria Math"/>
                    </a:rPr>
                    <m:t>=</m:t>
                  </m:r>
                  <m:sSup>
                    <m:sSupPr>
                      <m:ctrlPr>
                        <a:rPr lang="en-US" sz="2800" b="0" i="1">
                          <a:latin typeface="Cambria Math" panose="02040503050406030204" pitchFamily="18" charset="0"/>
                        </a:rPr>
                      </m:ctrlPr>
                    </m:sSupPr>
                    <m:e>
                      <m:d>
                        <m:dPr>
                          <m:ctrlPr>
                            <a:rPr lang="en-US" sz="2800" b="0" i="1">
                              <a:latin typeface="Cambria Math" panose="02040503050406030204" pitchFamily="18" charset="0"/>
                            </a:rPr>
                          </m:ctrlPr>
                        </m:dPr>
                        <m:e>
                          <m:r>
                            <a:rPr lang="en-US" sz="2800" b="0" i="1">
                              <a:latin typeface="Cambria Math"/>
                            </a:rPr>
                            <m:t>1+</m:t>
                          </m:r>
                          <m:f>
                            <m:fPr>
                              <m:type m:val="lin"/>
                              <m:ctrlPr>
                                <a:rPr lang="en-US" sz="2800" b="0" i="1">
                                  <a:latin typeface="Cambria Math" panose="02040503050406030204" pitchFamily="18" charset="0"/>
                                </a:rPr>
                              </m:ctrlPr>
                            </m:fPr>
                            <m:num>
                              <m:r>
                                <a:rPr lang="en-US" sz="2800" b="0" i="1">
                                  <a:latin typeface="Cambria Math"/>
                                </a:rPr>
                                <m:t>𝑃𝑒𝑟𝑖𝑜𝑑𝑖𝑐</m:t>
                              </m:r>
                              <m:r>
                                <a:rPr lang="en-US" sz="2800" b="0" i="1">
                                  <a:latin typeface="Cambria Math"/>
                                </a:rPr>
                                <m:t> </m:t>
                              </m:r>
                              <m:r>
                                <a:rPr lang="en-US" sz="2800" b="0" i="1">
                                  <a:latin typeface="Cambria Math"/>
                                </a:rPr>
                                <m:t>𝑟𝑎𝑡𝑒</m:t>
                              </m:r>
                            </m:num>
                            <m:den>
                              <m:r>
                                <a:rPr lang="en-US" sz="2800" b="0" i="1">
                                  <a:latin typeface="Cambria Math"/>
                                </a:rPr>
                                <m:t>𝑛</m:t>
                              </m:r>
                            </m:den>
                          </m:f>
                        </m:e>
                      </m:d>
                    </m:e>
                    <m:sup>
                      <m:r>
                        <a:rPr lang="en-US" sz="2800" b="0" i="1">
                          <a:latin typeface="Cambria Math"/>
                        </a:rPr>
                        <m:t>𝑛</m:t>
                      </m:r>
                    </m:sup>
                  </m:sSup>
                  <m:r>
                    <a:rPr lang="en-US" sz="2800" b="0" i="1">
                      <a:latin typeface="Cambria Math"/>
                    </a:rPr>
                    <m:t>−1</m:t>
                  </m:r>
                </m:oMath>
              </a14:m>
              <a:endParaRPr lang="ru-RU" sz="2800"/>
            </a:p>
          </xdr:txBody>
        </xdr:sp>
      </mc:Choice>
      <mc:Fallback xmlns="">
        <xdr:sp macro="" textlink="">
          <xdr:nvSpPr>
            <xdr:cNvPr id="11" name="TextBox 10"/>
            <xdr:cNvSpPr txBox="1"/>
          </xdr:nvSpPr>
          <xdr:spPr>
            <a:xfrm>
              <a:off x="5399431" y="12382263"/>
              <a:ext cx="554627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b="0">
                  <a:solidFill>
                    <a:schemeClr val="tx1"/>
                  </a:solidFill>
                  <a:effectLst/>
                  <a:ea typeface="+mn-ea"/>
                  <a:cs typeface="+mn-cs"/>
                </a:rPr>
                <a:t>EAR</a:t>
              </a:r>
              <a:r>
                <a:rPr lang="en-US" sz="2800" b="0" i="0">
                  <a:latin typeface="Cambria Math"/>
                </a:rPr>
                <a:t> =</a:t>
              </a:r>
              <a:r>
                <a:rPr lang="en-US" sz="2800" b="0" i="0">
                  <a:latin typeface="Cambria Math" panose="02040503050406030204" pitchFamily="18" charset="0"/>
                </a:rPr>
                <a:t>(</a:t>
              </a:r>
              <a:r>
                <a:rPr lang="en-US" sz="2800" b="0" i="0">
                  <a:latin typeface="Cambria Math"/>
                </a:rPr>
                <a:t>1+</a:t>
              </a:r>
              <a:r>
                <a:rPr lang="en-US" sz="2800" b="0" i="0">
                  <a:latin typeface="Cambria Math" panose="02040503050406030204" pitchFamily="18" charset="0"/>
                </a:rPr>
                <a:t>〖</a:t>
              </a:r>
              <a:r>
                <a:rPr lang="en-US" sz="2800" b="0" i="0">
                  <a:latin typeface="Cambria Math"/>
                </a:rPr>
                <a:t>𝑃𝑒𝑟𝑖𝑜𝑑𝑖𝑐 𝑟𝑎𝑡𝑒</a:t>
              </a:r>
              <a:r>
                <a:rPr lang="en-US" sz="2800" b="0" i="0">
                  <a:latin typeface="Cambria Math" panose="02040503050406030204" pitchFamily="18" charset="0"/>
                </a:rPr>
                <a:t>〗∕</a:t>
              </a:r>
              <a:r>
                <a:rPr lang="en-US" sz="2800" b="0" i="0">
                  <a:latin typeface="Cambria Math"/>
                </a:rPr>
                <a:t>𝑛</a:t>
              </a:r>
              <a:r>
                <a:rPr lang="en-US" sz="2800" b="0" i="0">
                  <a:latin typeface="Cambria Math" panose="02040503050406030204" pitchFamily="18" charset="0"/>
                </a:rPr>
                <a:t>)^</a:t>
              </a:r>
              <a:r>
                <a:rPr lang="en-US" sz="2800" b="0" i="0">
                  <a:latin typeface="Cambria Math"/>
                </a:rPr>
                <a:t>𝑛−1</a:t>
              </a:r>
              <a:endParaRPr lang="ru-RU" sz="2800"/>
            </a:p>
          </xdr:txBody>
        </xdr:sp>
      </mc:Fallback>
    </mc:AlternateContent>
    <xdr:clientData/>
  </xdr:oneCellAnchor>
  <xdr:twoCellAnchor>
    <xdr:from>
      <xdr:col>4</xdr:col>
      <xdr:colOff>137845</xdr:colOff>
      <xdr:row>86</xdr:row>
      <xdr:rowOff>212389</xdr:rowOff>
    </xdr:from>
    <xdr:to>
      <xdr:col>7</xdr:col>
      <xdr:colOff>1015685</xdr:colOff>
      <xdr:row>89</xdr:row>
      <xdr:rowOff>45600</xdr:rowOff>
    </xdr:to>
    <mc:AlternateContent xmlns:mc="http://schemas.openxmlformats.org/markup-compatibility/2006" xmlns:a14="http://schemas.microsoft.com/office/drawing/2010/main">
      <mc:Choice Requires="a14">
        <xdr:sp macro="" textlink="">
          <xdr:nvSpPr>
            <xdr:cNvPr id="12" name="TextBox 10"/>
            <xdr:cNvSpPr txBox="1"/>
          </xdr:nvSpPr>
          <xdr:spPr>
            <a:xfrm>
              <a:off x="3223945" y="16576339"/>
              <a:ext cx="2944765" cy="42376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de-DE" sz="2800" b="0">
                  <a:solidFill>
                    <a:schemeClr val="tx1"/>
                  </a:solidFill>
                  <a:effectLst/>
                  <a:ea typeface="+mn-ea"/>
                  <a:cs typeface="+mn-cs"/>
                </a:rPr>
                <a:t>EAR</a:t>
              </a:r>
              <a14:m>
                <m:oMath xmlns:m="http://schemas.openxmlformats.org/officeDocument/2006/math">
                  <m:r>
                    <a:rPr lang="en-US" sz="2800" b="0" i="0">
                      <a:latin typeface="Cambria Math"/>
                    </a:rPr>
                    <m:t> </m:t>
                  </m:r>
                  <m:r>
                    <a:rPr lang="en-US" sz="2800" b="0" i="1">
                      <a:latin typeface="Cambria Math"/>
                    </a:rPr>
                    <m:t>=</m:t>
                  </m:r>
                  <m:sSup>
                    <m:sSupPr>
                      <m:ctrlPr>
                        <a:rPr lang="en-US" sz="2800" b="0" i="1">
                          <a:latin typeface="Cambria Math" panose="02040503050406030204" pitchFamily="18" charset="0"/>
                        </a:rPr>
                      </m:ctrlPr>
                    </m:sSupPr>
                    <m:e>
                      <m:r>
                        <a:rPr lang="en-US" sz="2800" b="0" i="1">
                          <a:latin typeface="Cambria Math"/>
                        </a:rPr>
                        <m:t>𝑒</m:t>
                      </m:r>
                    </m:e>
                    <m:sup>
                      <m:r>
                        <a:rPr lang="en-US" sz="2800" b="0" i="1">
                          <a:latin typeface="Cambria Math"/>
                        </a:rPr>
                        <m:t>𝑘</m:t>
                      </m:r>
                    </m:sup>
                  </m:sSup>
                  <m:r>
                    <a:rPr lang="en-US" sz="2800" b="0" i="1">
                      <a:latin typeface="Cambria Math"/>
                    </a:rPr>
                    <m:t>−1</m:t>
                  </m:r>
                </m:oMath>
              </a14:m>
              <a:endParaRPr lang="ru-RU" sz="2800"/>
            </a:p>
          </xdr:txBody>
        </xdr:sp>
      </mc:Choice>
      <mc:Fallback xmlns="">
        <xdr:sp macro="" textlink="">
          <xdr:nvSpPr>
            <xdr:cNvPr id="12" name="TextBox 10"/>
            <xdr:cNvSpPr txBox="1"/>
          </xdr:nvSpPr>
          <xdr:spPr>
            <a:xfrm>
              <a:off x="3223945" y="16576339"/>
              <a:ext cx="2944765" cy="42376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de-DE" sz="2800" b="0">
                  <a:solidFill>
                    <a:schemeClr val="tx1"/>
                  </a:solidFill>
                  <a:effectLst/>
                  <a:ea typeface="+mn-ea"/>
                  <a:cs typeface="+mn-cs"/>
                </a:rPr>
                <a:t>EAR</a:t>
              </a:r>
              <a:r>
                <a:rPr lang="en-US" sz="2800" b="0" i="0">
                  <a:latin typeface="Cambria Math"/>
                </a:rPr>
                <a:t> =𝑒</a:t>
              </a:r>
              <a:r>
                <a:rPr lang="en-US" sz="2800" b="0" i="0">
                  <a:latin typeface="Cambria Math" panose="02040503050406030204" pitchFamily="18" charset="0"/>
                </a:rPr>
                <a:t>^</a:t>
              </a:r>
              <a:r>
                <a:rPr lang="en-US" sz="2800" b="0" i="0">
                  <a:latin typeface="Cambria Math"/>
                </a:rPr>
                <a:t>𝑘−1</a:t>
              </a:r>
              <a:endParaRPr lang="ru-RU" sz="2800"/>
            </a:p>
          </xdr:txBody>
        </xdr:sp>
      </mc:Fallback>
    </mc:AlternateContent>
    <xdr:clientData/>
  </xdr:twoCellAnchor>
  <xdr:oneCellAnchor>
    <xdr:from>
      <xdr:col>5</xdr:col>
      <xdr:colOff>0</xdr:colOff>
      <xdr:row>148</xdr:row>
      <xdr:rowOff>0</xdr:rowOff>
    </xdr:from>
    <xdr:ext cx="5456465" cy="759375"/>
    <mc:AlternateContent xmlns:mc="http://schemas.openxmlformats.org/markup-compatibility/2006" xmlns:a14="http://schemas.microsoft.com/office/drawing/2010/main">
      <mc:Choice Requires="a14">
        <xdr:sp macro="" textlink="">
          <xdr:nvSpPr>
            <xdr:cNvPr id="13" name="TextBox 12"/>
            <xdr:cNvSpPr txBox="1"/>
          </xdr:nvSpPr>
          <xdr:spPr>
            <a:xfrm>
              <a:off x="3857625" y="28194000"/>
              <a:ext cx="5456465" cy="759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a:t>PV=</a:t>
              </a:r>
              <a14:m>
                <m:oMath xmlns:m="http://schemas.openxmlformats.org/officeDocument/2006/math">
                  <m:f>
                    <m:fPr>
                      <m:ctrlPr>
                        <a:rPr lang="de-DE" sz="2800" i="1">
                          <a:latin typeface="Cambria Math" panose="02040503050406030204" pitchFamily="18" charset="0"/>
                        </a:rPr>
                      </m:ctrlPr>
                    </m:fPr>
                    <m:num>
                      <m:r>
                        <a:rPr lang="en-US" sz="2800" b="0" i="1">
                          <a:latin typeface="Cambria Math"/>
                        </a:rPr>
                        <m:t>100</m:t>
                      </m:r>
                    </m:num>
                    <m:den>
                      <m:sSup>
                        <m:sSupPr>
                          <m:ctrlPr>
                            <a:rPr lang="de-DE" sz="2800" i="1">
                              <a:latin typeface="Cambria Math" panose="02040503050406030204" pitchFamily="18" charset="0"/>
                            </a:rPr>
                          </m:ctrlPr>
                        </m:sSupPr>
                        <m:e>
                          <m:d>
                            <m:dPr>
                              <m:ctrlPr>
                                <a:rPr lang="de-DE" sz="2800" i="1">
                                  <a:latin typeface="Cambria Math" panose="02040503050406030204" pitchFamily="18" charset="0"/>
                                </a:rPr>
                              </m:ctrlPr>
                            </m:dPr>
                            <m:e>
                              <m:r>
                                <a:rPr lang="en-US" sz="2800" b="0" i="1">
                                  <a:latin typeface="Cambria Math"/>
                                </a:rPr>
                                <m:t>1+0,05</m:t>
                              </m:r>
                            </m:e>
                          </m:d>
                        </m:e>
                        <m:sup>
                          <m:r>
                            <a:rPr lang="en-US" sz="2800" b="0" i="1">
                              <a:latin typeface="Cambria Math"/>
                            </a:rPr>
                            <m:t>1</m:t>
                          </m:r>
                        </m:sup>
                      </m:sSup>
                    </m:den>
                  </m:f>
                  <m:r>
                    <a:rPr lang="en-US" sz="2800" b="0" i="1">
                      <a:latin typeface="Cambria Math"/>
                    </a:rPr>
                    <m:t>+</m:t>
                  </m:r>
                  <m:f>
                    <m:fPr>
                      <m:ctrlPr>
                        <a:rPr lang="de-DE" sz="280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100</m:t>
                      </m:r>
                    </m:num>
                    <m:den>
                      <m:sSup>
                        <m:sSupPr>
                          <m:ctrlPr>
                            <a:rPr lang="de-DE" sz="2800" i="1">
                              <a:solidFill>
                                <a:schemeClr val="tx1"/>
                              </a:solidFill>
                              <a:effectLst/>
                              <a:latin typeface="Cambria Math" panose="02040503050406030204" pitchFamily="18" charset="0"/>
                              <a:ea typeface="+mn-ea"/>
                              <a:cs typeface="+mn-cs"/>
                            </a:rPr>
                          </m:ctrlPr>
                        </m:sSupPr>
                        <m:e>
                          <m:d>
                            <m:dPr>
                              <m:ctrlPr>
                                <a:rPr lang="de-DE" sz="280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1+0,05</m:t>
                              </m:r>
                            </m:e>
                          </m:d>
                        </m:e>
                        <m:sup>
                          <m:r>
                            <a:rPr lang="en-US" sz="2800" b="0" i="1">
                              <a:solidFill>
                                <a:schemeClr val="tx1"/>
                              </a:solidFill>
                              <a:effectLst/>
                              <a:latin typeface="Cambria Math"/>
                              <a:ea typeface="+mn-ea"/>
                              <a:cs typeface="+mn-cs"/>
                            </a:rPr>
                            <m:t>2</m:t>
                          </m:r>
                        </m:sup>
                      </m:sSup>
                    </m:den>
                  </m:f>
                  <m:r>
                    <a:rPr lang="en-US" sz="2800" b="0" i="1">
                      <a:solidFill>
                        <a:schemeClr val="tx1"/>
                      </a:solidFill>
                      <a:effectLst/>
                      <a:latin typeface="Cambria Math"/>
                      <a:ea typeface="+mn-ea"/>
                      <a:cs typeface="+mn-cs"/>
                    </a:rPr>
                    <m:t>+</m:t>
                  </m:r>
                  <m:f>
                    <m:fPr>
                      <m:ctrlPr>
                        <a:rPr lang="de-DE" sz="280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100</m:t>
                      </m:r>
                    </m:num>
                    <m:den>
                      <m:sSup>
                        <m:sSupPr>
                          <m:ctrlPr>
                            <a:rPr lang="de-DE" sz="2800" i="1">
                              <a:solidFill>
                                <a:schemeClr val="tx1"/>
                              </a:solidFill>
                              <a:effectLst/>
                              <a:latin typeface="Cambria Math" panose="02040503050406030204" pitchFamily="18" charset="0"/>
                              <a:ea typeface="+mn-ea"/>
                              <a:cs typeface="+mn-cs"/>
                            </a:rPr>
                          </m:ctrlPr>
                        </m:sSupPr>
                        <m:e>
                          <m:d>
                            <m:dPr>
                              <m:ctrlPr>
                                <a:rPr lang="de-DE" sz="280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1+0,05</m:t>
                              </m:r>
                            </m:e>
                          </m:d>
                        </m:e>
                        <m:sup>
                          <m:r>
                            <a:rPr lang="en-US" sz="2800" b="0" i="1">
                              <a:solidFill>
                                <a:schemeClr val="tx1"/>
                              </a:solidFill>
                              <a:effectLst/>
                              <a:latin typeface="Cambria Math"/>
                              <a:ea typeface="+mn-ea"/>
                              <a:cs typeface="+mn-cs"/>
                            </a:rPr>
                            <m:t>3</m:t>
                          </m:r>
                        </m:sup>
                      </m:sSup>
                    </m:den>
                  </m:f>
                </m:oMath>
              </a14:m>
              <a:endParaRPr lang="ru-RU" sz="2800"/>
            </a:p>
          </xdr:txBody>
        </xdr:sp>
      </mc:Choice>
      <mc:Fallback xmlns="">
        <xdr:sp macro="" textlink="">
          <xdr:nvSpPr>
            <xdr:cNvPr id="13" name="TextBox 12"/>
            <xdr:cNvSpPr txBox="1"/>
          </xdr:nvSpPr>
          <xdr:spPr>
            <a:xfrm>
              <a:off x="3857625" y="28194000"/>
              <a:ext cx="5456465" cy="759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a:t>PV=</a:t>
              </a:r>
              <a:r>
                <a:rPr lang="en-US" sz="2800" b="0" i="0">
                  <a:latin typeface="Cambria Math"/>
                </a:rPr>
                <a:t>100</a:t>
              </a:r>
              <a:r>
                <a:rPr lang="de-DE" sz="2800" b="0" i="0">
                  <a:latin typeface="Cambria Math" panose="02040503050406030204" pitchFamily="18" charset="0"/>
                </a:rPr>
                <a:t>/(</a:t>
              </a:r>
              <a:r>
                <a:rPr lang="en-US" sz="2800" b="0" i="0">
                  <a:latin typeface="Cambria Math"/>
                </a:rPr>
                <a:t>1+0,05</a:t>
              </a:r>
              <a:r>
                <a:rPr lang="en-US" sz="2800" b="0" i="0">
                  <a:latin typeface="Cambria Math" panose="02040503050406030204" pitchFamily="18" charset="0"/>
                </a:rPr>
                <a:t>)</a:t>
              </a:r>
              <a:r>
                <a:rPr lang="de-DE" sz="2800" b="0" i="0">
                  <a:latin typeface="Cambria Math" panose="02040503050406030204" pitchFamily="18" charset="0"/>
                </a:rPr>
                <a:t>^</a:t>
              </a:r>
              <a:r>
                <a:rPr lang="en-US" sz="2800" b="0" i="0">
                  <a:latin typeface="Cambria Math"/>
                </a:rPr>
                <a:t>1</a:t>
              </a:r>
              <a:r>
                <a:rPr lang="en-US" sz="2800" b="0" i="0">
                  <a:latin typeface="Cambria Math" panose="02040503050406030204" pitchFamily="18" charset="0"/>
                </a:rPr>
                <a:t> </a:t>
              </a:r>
              <a:r>
                <a:rPr lang="en-US" sz="2800" b="0" i="0">
                  <a:latin typeface="Cambria Math"/>
                </a:rPr>
                <a:t>+</a:t>
              </a:r>
              <a:r>
                <a:rPr lang="en-US" sz="2800" b="0" i="0">
                  <a:solidFill>
                    <a:schemeClr val="tx1"/>
                  </a:solidFill>
                  <a:effectLst/>
                  <a:latin typeface="Cambria Math"/>
                  <a:ea typeface="+mn-ea"/>
                  <a:cs typeface="+mn-cs"/>
                </a:rPr>
                <a:t>100</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1+0,05</a:t>
              </a:r>
              <a:r>
                <a:rPr lang="en-US" sz="2800" b="0" i="0">
                  <a:solidFill>
                    <a:schemeClr val="tx1"/>
                  </a:solidFill>
                  <a:effectLst/>
                  <a:latin typeface="Cambria Math" panose="02040503050406030204" pitchFamily="18" charset="0"/>
                  <a:ea typeface="+mn-ea"/>
                  <a:cs typeface="+mn-cs"/>
                </a:rPr>
                <a:t>)</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2</a:t>
              </a:r>
              <a:r>
                <a:rPr lang="en-US" sz="2800" b="0" i="0">
                  <a:solidFill>
                    <a:schemeClr val="tx1"/>
                  </a:solidFill>
                  <a:effectLst/>
                  <a:latin typeface="Cambria Math" panose="02040503050406030204" pitchFamily="18" charset="0"/>
                  <a:ea typeface="+mn-ea"/>
                  <a:cs typeface="+mn-cs"/>
                </a:rPr>
                <a:t> </a:t>
              </a:r>
              <a:r>
                <a:rPr lang="en-US" sz="2800" b="0" i="0">
                  <a:solidFill>
                    <a:schemeClr val="tx1"/>
                  </a:solidFill>
                  <a:effectLst/>
                  <a:latin typeface="Cambria Math"/>
                  <a:ea typeface="+mn-ea"/>
                  <a:cs typeface="+mn-cs"/>
                </a:rPr>
                <a:t>+100</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1+0,05</a:t>
              </a:r>
              <a:r>
                <a:rPr lang="en-US" sz="2800" b="0" i="0">
                  <a:solidFill>
                    <a:schemeClr val="tx1"/>
                  </a:solidFill>
                  <a:effectLst/>
                  <a:latin typeface="Cambria Math" panose="02040503050406030204" pitchFamily="18" charset="0"/>
                  <a:ea typeface="+mn-ea"/>
                  <a:cs typeface="+mn-cs"/>
                </a:rPr>
                <a:t>)</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5</xdr:col>
      <xdr:colOff>0</xdr:colOff>
      <xdr:row>167</xdr:row>
      <xdr:rowOff>0</xdr:rowOff>
    </xdr:from>
    <xdr:ext cx="5456465" cy="759375"/>
    <mc:AlternateContent xmlns:mc="http://schemas.openxmlformats.org/markup-compatibility/2006" xmlns:a14="http://schemas.microsoft.com/office/drawing/2010/main">
      <mc:Choice Requires="a14">
        <xdr:sp macro="" textlink="">
          <xdr:nvSpPr>
            <xdr:cNvPr id="14" name="TextBox 13"/>
            <xdr:cNvSpPr txBox="1"/>
          </xdr:nvSpPr>
          <xdr:spPr>
            <a:xfrm>
              <a:off x="3857625" y="31813500"/>
              <a:ext cx="5456465" cy="759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a:t>PV=</a:t>
              </a:r>
              <a14:m>
                <m:oMath xmlns:m="http://schemas.openxmlformats.org/officeDocument/2006/math">
                  <m:f>
                    <m:fPr>
                      <m:ctrlPr>
                        <a:rPr lang="de-DE" sz="2800" i="1">
                          <a:latin typeface="Cambria Math" panose="02040503050406030204" pitchFamily="18" charset="0"/>
                        </a:rPr>
                      </m:ctrlPr>
                    </m:fPr>
                    <m:num>
                      <m:r>
                        <a:rPr lang="en-US" sz="2800" b="0" i="1">
                          <a:latin typeface="Cambria Math"/>
                        </a:rPr>
                        <m:t>100</m:t>
                      </m:r>
                    </m:num>
                    <m:den>
                      <m:sSup>
                        <m:sSupPr>
                          <m:ctrlPr>
                            <a:rPr lang="de-DE" sz="2800" i="1">
                              <a:latin typeface="Cambria Math" panose="02040503050406030204" pitchFamily="18" charset="0"/>
                            </a:rPr>
                          </m:ctrlPr>
                        </m:sSupPr>
                        <m:e>
                          <m:d>
                            <m:dPr>
                              <m:ctrlPr>
                                <a:rPr lang="de-DE" sz="2800" i="1">
                                  <a:latin typeface="Cambria Math" panose="02040503050406030204" pitchFamily="18" charset="0"/>
                                </a:rPr>
                              </m:ctrlPr>
                            </m:dPr>
                            <m:e>
                              <m:r>
                                <a:rPr lang="en-US" sz="2800" b="0" i="1">
                                  <a:latin typeface="Cambria Math"/>
                                </a:rPr>
                                <m:t>1+0,05</m:t>
                              </m:r>
                            </m:e>
                          </m:d>
                        </m:e>
                        <m:sup>
                          <m:r>
                            <a:rPr lang="en-US" sz="2800" b="0" i="1">
                              <a:latin typeface="Cambria Math"/>
                            </a:rPr>
                            <m:t>0</m:t>
                          </m:r>
                        </m:sup>
                      </m:sSup>
                    </m:den>
                  </m:f>
                  <m:r>
                    <a:rPr lang="en-US" sz="2800" b="0" i="1">
                      <a:latin typeface="Cambria Math"/>
                    </a:rPr>
                    <m:t>+</m:t>
                  </m:r>
                  <m:f>
                    <m:fPr>
                      <m:ctrlPr>
                        <a:rPr lang="de-DE" sz="280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100</m:t>
                      </m:r>
                    </m:num>
                    <m:den>
                      <m:sSup>
                        <m:sSupPr>
                          <m:ctrlPr>
                            <a:rPr lang="de-DE" sz="2800" i="1">
                              <a:solidFill>
                                <a:schemeClr val="tx1"/>
                              </a:solidFill>
                              <a:effectLst/>
                              <a:latin typeface="Cambria Math" panose="02040503050406030204" pitchFamily="18" charset="0"/>
                              <a:ea typeface="+mn-ea"/>
                              <a:cs typeface="+mn-cs"/>
                            </a:rPr>
                          </m:ctrlPr>
                        </m:sSupPr>
                        <m:e>
                          <m:d>
                            <m:dPr>
                              <m:ctrlPr>
                                <a:rPr lang="de-DE" sz="280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1+0,05</m:t>
                              </m:r>
                            </m:e>
                          </m:d>
                        </m:e>
                        <m:sup>
                          <m:r>
                            <a:rPr lang="en-US" sz="2800" b="0" i="1">
                              <a:solidFill>
                                <a:schemeClr val="tx1"/>
                              </a:solidFill>
                              <a:effectLst/>
                              <a:latin typeface="Cambria Math"/>
                              <a:ea typeface="+mn-ea"/>
                              <a:cs typeface="+mn-cs"/>
                            </a:rPr>
                            <m:t>1</m:t>
                          </m:r>
                        </m:sup>
                      </m:sSup>
                    </m:den>
                  </m:f>
                  <m:r>
                    <a:rPr lang="en-US" sz="2800" b="0" i="1">
                      <a:solidFill>
                        <a:schemeClr val="tx1"/>
                      </a:solidFill>
                      <a:effectLst/>
                      <a:latin typeface="Cambria Math"/>
                      <a:ea typeface="+mn-ea"/>
                      <a:cs typeface="+mn-cs"/>
                    </a:rPr>
                    <m:t>+</m:t>
                  </m:r>
                  <m:f>
                    <m:fPr>
                      <m:ctrlPr>
                        <a:rPr lang="de-DE" sz="280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100</m:t>
                      </m:r>
                    </m:num>
                    <m:den>
                      <m:sSup>
                        <m:sSupPr>
                          <m:ctrlPr>
                            <a:rPr lang="de-DE" sz="2800" i="1">
                              <a:solidFill>
                                <a:schemeClr val="tx1"/>
                              </a:solidFill>
                              <a:effectLst/>
                              <a:latin typeface="Cambria Math" panose="02040503050406030204" pitchFamily="18" charset="0"/>
                              <a:ea typeface="+mn-ea"/>
                              <a:cs typeface="+mn-cs"/>
                            </a:rPr>
                          </m:ctrlPr>
                        </m:sSupPr>
                        <m:e>
                          <m:d>
                            <m:dPr>
                              <m:ctrlPr>
                                <a:rPr lang="de-DE" sz="280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1+0,05</m:t>
                              </m:r>
                            </m:e>
                          </m:d>
                        </m:e>
                        <m:sup>
                          <m:r>
                            <a:rPr lang="en-US" sz="2800" b="0" i="1">
                              <a:solidFill>
                                <a:schemeClr val="tx1"/>
                              </a:solidFill>
                              <a:effectLst/>
                              <a:latin typeface="Cambria Math"/>
                              <a:ea typeface="+mn-ea"/>
                              <a:cs typeface="+mn-cs"/>
                            </a:rPr>
                            <m:t>2</m:t>
                          </m:r>
                        </m:sup>
                      </m:sSup>
                    </m:den>
                  </m:f>
                </m:oMath>
              </a14:m>
              <a:endParaRPr lang="ru-RU" sz="2800"/>
            </a:p>
          </xdr:txBody>
        </xdr:sp>
      </mc:Choice>
      <mc:Fallback xmlns="">
        <xdr:sp macro="" textlink="">
          <xdr:nvSpPr>
            <xdr:cNvPr id="14" name="TextBox 13"/>
            <xdr:cNvSpPr txBox="1"/>
          </xdr:nvSpPr>
          <xdr:spPr>
            <a:xfrm>
              <a:off x="3857625" y="31813500"/>
              <a:ext cx="5456465" cy="759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2800"/>
                <a:t>PV=</a:t>
              </a:r>
              <a:r>
                <a:rPr lang="en-US" sz="2800" b="0" i="0">
                  <a:latin typeface="Cambria Math"/>
                </a:rPr>
                <a:t>100</a:t>
              </a:r>
              <a:r>
                <a:rPr lang="de-DE" sz="2800" b="0" i="0">
                  <a:latin typeface="Cambria Math" panose="02040503050406030204" pitchFamily="18" charset="0"/>
                </a:rPr>
                <a:t>/(</a:t>
              </a:r>
              <a:r>
                <a:rPr lang="en-US" sz="2800" b="0" i="0">
                  <a:latin typeface="Cambria Math"/>
                </a:rPr>
                <a:t>1+0,05</a:t>
              </a:r>
              <a:r>
                <a:rPr lang="en-US" sz="2800" b="0" i="0">
                  <a:latin typeface="Cambria Math" panose="02040503050406030204" pitchFamily="18" charset="0"/>
                </a:rPr>
                <a:t>)</a:t>
              </a:r>
              <a:r>
                <a:rPr lang="de-DE" sz="2800" b="0" i="0">
                  <a:latin typeface="Cambria Math" panose="02040503050406030204" pitchFamily="18" charset="0"/>
                </a:rPr>
                <a:t>^</a:t>
              </a:r>
              <a:r>
                <a:rPr lang="en-US" sz="2800" b="0" i="0">
                  <a:latin typeface="Cambria Math"/>
                </a:rPr>
                <a:t>0</a:t>
              </a:r>
              <a:r>
                <a:rPr lang="en-US" sz="2800" b="0" i="0">
                  <a:latin typeface="Cambria Math" panose="02040503050406030204" pitchFamily="18" charset="0"/>
                </a:rPr>
                <a:t> </a:t>
              </a:r>
              <a:r>
                <a:rPr lang="en-US" sz="2800" b="0" i="0">
                  <a:latin typeface="Cambria Math"/>
                </a:rPr>
                <a:t>+</a:t>
              </a:r>
              <a:r>
                <a:rPr lang="en-US" sz="2800" b="0" i="0">
                  <a:solidFill>
                    <a:schemeClr val="tx1"/>
                  </a:solidFill>
                  <a:effectLst/>
                  <a:latin typeface="Cambria Math"/>
                  <a:ea typeface="+mn-ea"/>
                  <a:cs typeface="+mn-cs"/>
                </a:rPr>
                <a:t>100</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1+0,05</a:t>
              </a:r>
              <a:r>
                <a:rPr lang="en-US" sz="2800" b="0" i="0">
                  <a:solidFill>
                    <a:schemeClr val="tx1"/>
                  </a:solidFill>
                  <a:effectLst/>
                  <a:latin typeface="Cambria Math" panose="02040503050406030204" pitchFamily="18" charset="0"/>
                  <a:ea typeface="+mn-ea"/>
                  <a:cs typeface="+mn-cs"/>
                </a:rPr>
                <a:t>)</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a:t>
              </a:r>
              <a:r>
                <a:rPr lang="en-US" sz="2800" b="0" i="0">
                  <a:solidFill>
                    <a:schemeClr val="tx1"/>
                  </a:solidFill>
                  <a:effectLst/>
                  <a:latin typeface="Cambria Math" panose="02040503050406030204" pitchFamily="18" charset="0"/>
                  <a:ea typeface="+mn-ea"/>
                  <a:cs typeface="+mn-cs"/>
                </a:rPr>
                <a:t> </a:t>
              </a:r>
              <a:r>
                <a:rPr lang="en-US" sz="2800" b="0" i="0">
                  <a:solidFill>
                    <a:schemeClr val="tx1"/>
                  </a:solidFill>
                  <a:effectLst/>
                  <a:latin typeface="Cambria Math"/>
                  <a:ea typeface="+mn-ea"/>
                  <a:cs typeface="+mn-cs"/>
                </a:rPr>
                <a:t>+100</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1+0,05</a:t>
              </a:r>
              <a:r>
                <a:rPr lang="en-US" sz="2800" b="0" i="0">
                  <a:solidFill>
                    <a:schemeClr val="tx1"/>
                  </a:solidFill>
                  <a:effectLst/>
                  <a:latin typeface="Cambria Math" panose="02040503050406030204" pitchFamily="18" charset="0"/>
                  <a:ea typeface="+mn-ea"/>
                  <a:cs typeface="+mn-cs"/>
                </a:rPr>
                <a:t>)</a:t>
              </a:r>
              <a:r>
                <a:rPr lang="de-DE"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2</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8</xdr:col>
      <xdr:colOff>19048</xdr:colOff>
      <xdr:row>196</xdr:row>
      <xdr:rowOff>216353</xdr:rowOff>
    </xdr:from>
    <xdr:ext cx="6213023" cy="896143"/>
    <mc:AlternateContent xmlns:mc="http://schemas.openxmlformats.org/markup-compatibility/2006" xmlns:a14="http://schemas.microsoft.com/office/drawing/2010/main">
      <mc:Choice Requires="a14">
        <xdr:sp macro="" textlink="">
          <xdr:nvSpPr>
            <xdr:cNvPr id="15" name="TextBox 14"/>
            <xdr:cNvSpPr txBox="1"/>
          </xdr:nvSpPr>
          <xdr:spPr>
            <a:xfrm>
              <a:off x="6191248" y="37525778"/>
              <a:ext cx="6213023" cy="896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𝑃𝑉</m:t>
                        </m:r>
                      </m:e>
                      <m:sub>
                        <m:r>
                          <a:rPr lang="en-US" sz="2800" b="0" i="1">
                            <a:latin typeface="Cambria Math"/>
                          </a:rPr>
                          <m:t>𝑃𝑒𝑟𝑝𝑒𝑡𝑢𝑖𝑡𝑦</m:t>
                        </m:r>
                      </m:sub>
                    </m:sSub>
                    <m:r>
                      <a:rPr lang="en-US" sz="2800" b="0" i="1">
                        <a:latin typeface="Cambria Math"/>
                      </a:rPr>
                      <m:t>=</m:t>
                    </m:r>
                    <m:f>
                      <m:fPr>
                        <m:ctrlPr>
                          <a:rPr lang="en-US" sz="2800" b="0" i="1">
                            <a:latin typeface="Cambria Math" panose="02040503050406030204" pitchFamily="18" charset="0"/>
                          </a:rPr>
                        </m:ctrlPr>
                      </m:fPr>
                      <m:num>
                        <m:r>
                          <a:rPr lang="en-US" sz="2800" b="0" i="1">
                            <a:latin typeface="Cambria Math"/>
                          </a:rPr>
                          <m:t>𝑃𝑀𝑇</m:t>
                        </m:r>
                      </m:num>
                      <m:den>
                        <m:r>
                          <a:rPr lang="en-US" sz="2800" b="0" i="1">
                            <a:latin typeface="Cambria Math"/>
                          </a:rPr>
                          <m:t>𝑟</m:t>
                        </m:r>
                      </m:den>
                    </m:f>
                  </m:oMath>
                </m:oMathPara>
              </a14:m>
              <a:endParaRPr lang="ru-RU" sz="2800"/>
            </a:p>
          </xdr:txBody>
        </xdr:sp>
      </mc:Choice>
      <mc:Fallback xmlns="">
        <xdr:sp macro="" textlink="">
          <xdr:nvSpPr>
            <xdr:cNvPr id="15" name="TextBox 14"/>
            <xdr:cNvSpPr txBox="1"/>
          </xdr:nvSpPr>
          <xdr:spPr>
            <a:xfrm>
              <a:off x="6191248" y="37525778"/>
              <a:ext cx="6213023" cy="896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800" i="0">
                  <a:latin typeface="Cambria Math" panose="02040503050406030204" pitchFamily="18" charset="0"/>
                </a:rPr>
                <a:t>〖</a:t>
              </a:r>
              <a:r>
                <a:rPr lang="en-US" sz="2800" b="0" i="0">
                  <a:latin typeface="Cambria Math"/>
                </a:rPr>
                <a:t>𝑃𝑉</a:t>
              </a:r>
              <a:r>
                <a:rPr lang="ru-RU" sz="2800" b="0" i="0">
                  <a:latin typeface="Cambria Math" panose="02040503050406030204" pitchFamily="18" charset="0"/>
                </a:rPr>
                <a:t>〗_</a:t>
              </a:r>
              <a:r>
                <a:rPr lang="en-US" sz="2800" b="0" i="0">
                  <a:latin typeface="Cambria Math"/>
                </a:rPr>
                <a:t>𝑃𝑒𝑟𝑝𝑒𝑡𝑢𝑖𝑡𝑦=𝑃𝑀𝑇</a:t>
              </a:r>
              <a:r>
                <a:rPr lang="en-US" sz="2800" b="0" i="0">
                  <a:latin typeface="Cambria Math" panose="02040503050406030204" pitchFamily="18" charset="0"/>
                </a:rPr>
                <a:t>/</a:t>
              </a:r>
              <a:r>
                <a:rPr lang="en-US" sz="2800" b="0" i="0">
                  <a:latin typeface="Cambria Math"/>
                </a:rPr>
                <a:t>𝑟</a:t>
              </a:r>
              <a:endParaRPr lang="ru-RU" sz="2800"/>
            </a:p>
          </xdr:txBody>
        </xdr:sp>
      </mc:Fallback>
    </mc:AlternateContent>
    <xdr:clientData/>
  </xdr:oneCellAnchor>
  <xdr:oneCellAnchor>
    <xdr:from>
      <xdr:col>7</xdr:col>
      <xdr:colOff>1019172</xdr:colOff>
      <xdr:row>206</xdr:row>
      <xdr:rowOff>133350</xdr:rowOff>
    </xdr:from>
    <xdr:ext cx="6253845" cy="938270"/>
    <mc:AlternateContent xmlns:mc="http://schemas.openxmlformats.org/markup-compatibility/2006" xmlns:a14="http://schemas.microsoft.com/office/drawing/2010/main">
      <mc:Choice Requires="a14">
        <xdr:sp macro="" textlink="">
          <xdr:nvSpPr>
            <xdr:cNvPr id="16" name="TextBox 15"/>
            <xdr:cNvSpPr txBox="1"/>
          </xdr:nvSpPr>
          <xdr:spPr>
            <a:xfrm>
              <a:off x="6172197" y="39376350"/>
              <a:ext cx="6253845" cy="938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sSub>
                    <m:sSubPr>
                      <m:ctrlPr>
                        <a:rPr lang="en-US" sz="2800" i="1">
                          <a:latin typeface="Cambria Math" panose="02040503050406030204" pitchFamily="18" charset="0"/>
                        </a:rPr>
                      </m:ctrlPr>
                    </m:sSubPr>
                    <m:e>
                      <m:r>
                        <a:rPr lang="en-US" sz="2800" i="1">
                          <a:solidFill>
                            <a:schemeClr val="tx1"/>
                          </a:solidFill>
                          <a:effectLst/>
                          <a:latin typeface="Cambria Math"/>
                          <a:ea typeface="+mn-ea"/>
                          <a:cs typeface="+mn-cs"/>
                        </a:rPr>
                        <m:t>𝑃</m:t>
                      </m:r>
                      <m:r>
                        <a:rPr lang="en-US" sz="2800" b="0" i="1">
                          <a:solidFill>
                            <a:schemeClr val="tx1"/>
                          </a:solidFill>
                          <a:effectLst/>
                          <a:latin typeface="Cambria Math"/>
                          <a:ea typeface="+mn-ea"/>
                          <a:cs typeface="+mn-cs"/>
                        </a:rPr>
                        <m:t>𝑉</m:t>
                      </m:r>
                    </m:e>
                    <m:sub>
                      <m:r>
                        <a:rPr lang="en-US" sz="2800" b="0" i="1">
                          <a:latin typeface="Cambria Math"/>
                        </a:rPr>
                        <m:t>𝑖𝑛𝑖𝑡𝑖𝑎𝑙</m:t>
                      </m:r>
                    </m:sub>
                  </m:sSub>
                  <m:r>
                    <a:rPr lang="en-US" sz="2800" b="0" i="1">
                      <a:latin typeface="Cambria Math"/>
                    </a:rPr>
                    <m:t>=</m:t>
                  </m:r>
                  <m:f>
                    <m:fPr>
                      <m:ctrlPr>
                        <a:rPr lang="en-US" sz="2800" b="0" i="1">
                          <a:latin typeface="Cambria Math" panose="02040503050406030204" pitchFamily="18" charset="0"/>
                        </a:rPr>
                      </m:ctrlPr>
                    </m:fPr>
                    <m:num>
                      <m:sSub>
                        <m:sSubPr>
                          <m:ctrlPr>
                            <a:rPr lang="ru-RU" sz="280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a:ea typeface="+mn-ea"/>
                              <a:cs typeface="+mn-cs"/>
                            </a:rPr>
                            <m:t>𝑃𝑉</m:t>
                          </m:r>
                        </m:e>
                        <m:sub>
                          <m:r>
                            <a:rPr lang="en-US" sz="2800" b="0" i="1">
                              <a:solidFill>
                                <a:schemeClr val="tx1"/>
                              </a:solidFill>
                              <a:effectLst/>
                              <a:latin typeface="Cambria Math"/>
                              <a:ea typeface="+mn-ea"/>
                              <a:cs typeface="+mn-cs"/>
                            </a:rPr>
                            <m:t>𝑃𝑒𝑟𝑝𝑒𝑡𝑢𝑖𝑡𝑦</m:t>
                          </m:r>
                        </m:sub>
                      </m:sSub>
                    </m:num>
                    <m:den>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r>
                    <a:rPr lang="en-US" sz="2800" b="0" i="1">
                      <a:latin typeface="Cambria Math"/>
                    </a:rPr>
                    <m:t>=</m:t>
                  </m:r>
                  <m:f>
                    <m:fPr>
                      <m:ctrlPr>
                        <a:rPr lang="en-US" sz="2800" b="0" i="1">
                          <a:latin typeface="Cambria Math" panose="02040503050406030204" pitchFamily="18" charset="0"/>
                        </a:rPr>
                      </m:ctrlPr>
                    </m:fPr>
                    <m:num>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𝑃𝑀𝑇</m:t>
                          </m:r>
                        </m:num>
                        <m:den>
                          <m:r>
                            <a:rPr lang="en-US" sz="2800" b="0" i="1">
                              <a:solidFill>
                                <a:schemeClr val="tx1"/>
                              </a:solidFill>
                              <a:effectLst/>
                              <a:latin typeface="Cambria Math"/>
                              <a:ea typeface="+mn-ea"/>
                              <a:cs typeface="+mn-cs"/>
                            </a:rPr>
                            <m:t>𝑟</m:t>
                          </m:r>
                        </m:den>
                      </m:f>
                    </m:num>
                    <m:den>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oMath>
              </a14:m>
              <a:r>
                <a:rPr lang="en-US" sz="2800"/>
                <a:t>=</a:t>
              </a:r>
              <a14:m>
                <m:oMath xmlns:m="http://schemas.openxmlformats.org/officeDocument/2006/math">
                  <m:f>
                    <m:fPr>
                      <m:ctrlPr>
                        <a:rPr lang="en-US" sz="2800" i="1">
                          <a:latin typeface="Cambria Math" panose="02040503050406030204" pitchFamily="18" charset="0"/>
                        </a:rPr>
                      </m:ctrlPr>
                    </m:fPr>
                    <m:num>
                      <m:r>
                        <a:rPr lang="en-US" sz="2800" b="0" i="1">
                          <a:latin typeface="Cambria Math"/>
                        </a:rPr>
                        <m:t>𝑃𝑀𝑇</m:t>
                      </m:r>
                    </m:num>
                    <m:den>
                      <m:r>
                        <a:rPr lang="en-US" sz="2800" b="0" i="1">
                          <a:latin typeface="Cambria Math"/>
                        </a:rPr>
                        <m:t>𝑟</m:t>
                      </m:r>
                      <m:r>
                        <a:rPr lang="en-US" sz="2800" b="0" i="1">
                          <a:latin typeface="Cambria Math"/>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oMath>
              </a14:m>
              <a:endParaRPr lang="ru-RU" sz="2800"/>
            </a:p>
          </xdr:txBody>
        </xdr:sp>
      </mc:Choice>
      <mc:Fallback xmlns="">
        <xdr:sp macro="" textlink="">
          <xdr:nvSpPr>
            <xdr:cNvPr id="16" name="TextBox 15"/>
            <xdr:cNvSpPr txBox="1"/>
          </xdr:nvSpPr>
          <xdr:spPr>
            <a:xfrm>
              <a:off x="6172197" y="39376350"/>
              <a:ext cx="6253845" cy="938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i="0">
                  <a:latin typeface="Cambria Math" panose="02040503050406030204" pitchFamily="18" charset="0"/>
                </a:rPr>
                <a:t>〖</a:t>
              </a:r>
              <a:r>
                <a:rPr lang="en-US" sz="2800" i="0">
                  <a:solidFill>
                    <a:schemeClr val="tx1"/>
                  </a:solidFill>
                  <a:effectLst/>
                  <a:latin typeface="Cambria Math"/>
                  <a:ea typeface="+mn-ea"/>
                  <a:cs typeface="+mn-cs"/>
                </a:rPr>
                <a:t>𝑃</a:t>
              </a:r>
              <a:r>
                <a:rPr lang="en-US" sz="2800" b="0" i="0">
                  <a:solidFill>
                    <a:schemeClr val="tx1"/>
                  </a:solidFill>
                  <a:effectLst/>
                  <a:latin typeface="Cambria Math"/>
                  <a:ea typeface="+mn-ea"/>
                  <a:cs typeface="+mn-cs"/>
                </a:rPr>
                <a:t>𝑉</a:t>
              </a:r>
              <a:r>
                <a:rPr lang="en-US" sz="2800" b="0" i="0">
                  <a:solidFill>
                    <a:schemeClr val="tx1"/>
                  </a:solidFill>
                  <a:effectLst/>
                  <a:latin typeface="Cambria Math" panose="02040503050406030204" pitchFamily="18" charset="0"/>
                  <a:ea typeface="+mn-ea"/>
                  <a:cs typeface="+mn-cs"/>
                </a:rPr>
                <a:t>〗_</a:t>
              </a:r>
              <a:r>
                <a:rPr lang="en-US" sz="2800" b="0" i="0">
                  <a:latin typeface="Cambria Math"/>
                </a:rPr>
                <a:t>𝑖𝑛𝑖𝑡𝑖𝑎𝑙=</a:t>
              </a:r>
              <a:r>
                <a:rPr lang="ru-RU" sz="280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𝑃𝑉</a:t>
              </a:r>
              <a:r>
                <a:rPr lang="ru-RU" sz="2800" b="0" i="0">
                  <a:solidFill>
                    <a:schemeClr val="tx1"/>
                  </a:solidFill>
                  <a:effectLst/>
                  <a:latin typeface="Cambria Math" panose="02040503050406030204" pitchFamily="18" charset="0"/>
                  <a:ea typeface="+mn-ea"/>
                  <a:cs typeface="+mn-cs"/>
                </a:rPr>
                <a:t>〗_</a:t>
              </a:r>
              <a:r>
                <a:rPr lang="en-US" sz="2800" b="0" i="0">
                  <a:solidFill>
                    <a:schemeClr val="tx1"/>
                  </a:solidFill>
                  <a:effectLst/>
                  <a:latin typeface="Cambria Math"/>
                  <a:ea typeface="+mn-ea"/>
                  <a:cs typeface="+mn-cs"/>
                </a:rPr>
                <a:t>𝑃𝑒𝑟𝑝𝑒𝑡𝑢𝑖𝑡𝑦</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r>
                <a:rPr lang="en-US" sz="2800" b="0" i="0">
                  <a:latin typeface="Cambria Math"/>
                </a:rPr>
                <a:t>=</a:t>
              </a:r>
              <a:r>
                <a:rPr lang="en-US" sz="2800" b="0" i="0">
                  <a:latin typeface="Cambria Math" panose="02040503050406030204" pitchFamily="18" charset="0"/>
                </a:rPr>
                <a:t>(</a:t>
              </a:r>
              <a:r>
                <a:rPr lang="en-US" sz="2800" b="0" i="0">
                  <a:solidFill>
                    <a:schemeClr val="tx1"/>
                  </a:solidFill>
                  <a:effectLst/>
                  <a:latin typeface="Cambria Math"/>
                  <a:ea typeface="+mn-ea"/>
                  <a:cs typeface="+mn-cs"/>
                </a:rPr>
                <a:t>𝑃𝑀𝑇</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r>
                <a:rPr lang="en-US" sz="2800"/>
                <a:t>=</a:t>
              </a:r>
              <a:r>
                <a:rPr lang="en-US" sz="2800" b="0" i="0">
                  <a:latin typeface="Cambria Math"/>
                </a:rPr>
                <a:t>𝑃𝑀𝑇</a:t>
              </a:r>
              <a:r>
                <a:rPr lang="en-US" sz="2800" b="0" i="0">
                  <a:latin typeface="Cambria Math" panose="02040503050406030204" pitchFamily="18" charset="0"/>
                </a:rPr>
                <a:t>/(</a:t>
              </a:r>
              <a:r>
                <a:rPr lang="en-US" sz="2800" b="0" i="0">
                  <a:latin typeface="Cambria Math"/>
                </a:rPr>
                <a:t>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4</xdr:col>
      <xdr:colOff>332011</xdr:colOff>
      <xdr:row>231</xdr:row>
      <xdr:rowOff>121103</xdr:rowOff>
    </xdr:from>
    <xdr:ext cx="9764489" cy="962699"/>
    <mc:AlternateContent xmlns:mc="http://schemas.openxmlformats.org/markup-compatibility/2006" xmlns:a14="http://schemas.microsoft.com/office/drawing/2010/main">
      <mc:Choice Requires="a14">
        <xdr:sp macro="" textlink="">
          <xdr:nvSpPr>
            <xdr:cNvPr id="17" name="TextBox 16"/>
            <xdr:cNvSpPr txBox="1"/>
          </xdr:nvSpPr>
          <xdr:spPr>
            <a:xfrm>
              <a:off x="3418111" y="44126603"/>
              <a:ext cx="9764489" cy="962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800" i="1">
                            <a:latin typeface="Cambria Math" panose="02040503050406030204" pitchFamily="18" charset="0"/>
                          </a:rPr>
                        </m:ctrlPr>
                      </m:sSubPr>
                      <m:e>
                        <m:r>
                          <a:rPr lang="en-US" sz="2800" i="1">
                            <a:solidFill>
                              <a:schemeClr val="tx1"/>
                            </a:solidFill>
                            <a:effectLst/>
                            <a:latin typeface="Cambria Math"/>
                            <a:ea typeface="+mn-ea"/>
                            <a:cs typeface="+mn-cs"/>
                          </a:rPr>
                          <m:t>𝑃</m:t>
                        </m:r>
                        <m:r>
                          <a:rPr lang="en-US" sz="2800" b="0" i="1">
                            <a:solidFill>
                              <a:schemeClr val="tx1"/>
                            </a:solidFill>
                            <a:effectLst/>
                            <a:latin typeface="Cambria Math"/>
                            <a:ea typeface="+mn-ea"/>
                            <a:cs typeface="+mn-cs"/>
                          </a:rPr>
                          <m:t>𝑉</m:t>
                        </m:r>
                      </m:e>
                      <m:sub>
                        <m:r>
                          <a:rPr lang="en-US" sz="2800" b="0" i="1">
                            <a:latin typeface="Cambria Math"/>
                          </a:rPr>
                          <m:t>3 </m:t>
                        </m:r>
                        <m:r>
                          <a:rPr lang="en-US" sz="2800" b="0" i="1">
                            <a:latin typeface="Cambria Math"/>
                          </a:rPr>
                          <m:t>𝑦𝑒𝑎𝑟𝑠</m:t>
                        </m:r>
                      </m:sub>
                    </m:sSub>
                    <m:r>
                      <a:rPr lang="en-US" sz="2800" b="0" i="1">
                        <a:latin typeface="Cambria Math"/>
                      </a:rPr>
                      <m:t>=</m:t>
                    </m:r>
                    <m:f>
                      <m:fPr>
                        <m:ctrlPr>
                          <a:rPr lang="en-US" sz="2800" b="0" i="1">
                            <a:latin typeface="Cambria Math" panose="02040503050406030204" pitchFamily="18" charset="0"/>
                          </a:rPr>
                        </m:ctrlPr>
                      </m:fPr>
                      <m:num>
                        <m:r>
                          <a:rPr lang="en-US" sz="2800" b="0" i="1">
                            <a:latin typeface="Cambria Math"/>
                          </a:rPr>
                          <m:t>𝑃𝑀𝑇</m:t>
                        </m:r>
                      </m:num>
                      <m:den>
                        <m:r>
                          <a:rPr lang="en-US" sz="2800" b="0" i="1">
                            <a:latin typeface="Cambria Math"/>
                          </a:rPr>
                          <m:t>𝑟</m:t>
                        </m:r>
                      </m:den>
                    </m:f>
                    <m:r>
                      <a:rPr lang="en-US" sz="2800" b="0" i="1">
                        <a:latin typeface="Cambria Math"/>
                      </a:rPr>
                      <m:t>−</m:t>
                    </m:r>
                    <m:f>
                      <m:fPr>
                        <m:ctrlPr>
                          <a:rPr lang="en-US" sz="2800" i="1">
                            <a:latin typeface="Cambria Math" panose="02040503050406030204" pitchFamily="18" charset="0"/>
                          </a:rPr>
                        </m:ctrlPr>
                      </m:fPr>
                      <m:num>
                        <m:r>
                          <a:rPr lang="en-US" sz="2800" b="0" i="1">
                            <a:latin typeface="Cambria Math"/>
                          </a:rPr>
                          <m:t>𝑃𝑀𝑇</m:t>
                        </m:r>
                      </m:num>
                      <m:den>
                        <m:r>
                          <a:rPr lang="en-US" sz="2800" b="0" i="1">
                            <a:latin typeface="Cambria Math"/>
                          </a:rPr>
                          <m:t>𝑟</m:t>
                        </m:r>
                        <m:r>
                          <a:rPr lang="en-US" sz="2800" b="0" i="1">
                            <a:latin typeface="Cambria Math"/>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r>
                      <a:rPr lang="en-US" sz="2800" b="0" i="1">
                        <a:latin typeface="Cambria Math"/>
                      </a:rPr>
                      <m:t>=</m:t>
                    </m:r>
                    <m:r>
                      <a:rPr lang="en-US" sz="2800" b="0" i="1">
                        <a:latin typeface="Cambria Math"/>
                      </a:rPr>
                      <m:t>𝑃𝑀𝑇</m:t>
                    </m:r>
                    <m:d>
                      <m:dPr>
                        <m:begChr m:val="["/>
                        <m:endChr m:val="]"/>
                        <m:ctrlPr>
                          <a:rPr lang="en-US" sz="2800" b="0" i="1">
                            <a:latin typeface="Cambria Math" panose="02040503050406030204" pitchFamily="18" charset="0"/>
                          </a:rPr>
                        </m:ctrlPr>
                      </m:dPr>
                      <m:e>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m:t>
                            </m:r>
                          </m:num>
                          <m:den>
                            <m:r>
                              <a:rPr lang="en-US" sz="2800" b="0" i="1">
                                <a:solidFill>
                                  <a:schemeClr val="tx1"/>
                                </a:solidFill>
                                <a:effectLst/>
                                <a:latin typeface="Cambria Math"/>
                                <a:ea typeface="+mn-ea"/>
                                <a:cs typeface="+mn-cs"/>
                              </a:rPr>
                              <m:t>𝑟</m:t>
                            </m:r>
                          </m:den>
                        </m:f>
                        <m:r>
                          <a:rPr lang="en-US" sz="2800" b="0" i="1">
                            <a:solidFill>
                              <a:schemeClr val="tx1"/>
                            </a:solidFill>
                            <a:effectLst/>
                            <a:latin typeface="Cambria Math"/>
                            <a:ea typeface="+mn-ea"/>
                            <a:cs typeface="+mn-cs"/>
                          </a:rPr>
                          <m:t>−</m:t>
                        </m:r>
                        <m:f>
                          <m:fPr>
                            <m:ctrlPr>
                              <a:rPr lang="en-US" sz="2800" b="0" i="1">
                                <a:solidFill>
                                  <a:schemeClr val="tx1"/>
                                </a:solidFill>
                                <a:effectLst/>
                                <a:latin typeface="Cambria Math" panose="02040503050406030204" pitchFamily="18" charset="0"/>
                                <a:ea typeface="+mn-ea"/>
                                <a:cs typeface="+mn-cs"/>
                              </a:rPr>
                            </m:ctrlPr>
                          </m:fPr>
                          <m:num>
                            <m:r>
                              <a:rPr lang="en-US" sz="2800" b="0" i="1">
                                <a:solidFill>
                                  <a:schemeClr val="tx1"/>
                                </a:solidFill>
                                <a:effectLst/>
                                <a:latin typeface="Cambria Math"/>
                                <a:ea typeface="+mn-ea"/>
                                <a:cs typeface="+mn-cs"/>
                              </a:rPr>
                              <m:t>1</m:t>
                            </m:r>
                          </m:num>
                          <m:den>
                            <m:r>
                              <a:rPr lang="en-US" sz="2800" b="0" i="1">
                                <a:solidFill>
                                  <a:schemeClr val="tx1"/>
                                </a:solidFill>
                                <a:effectLst/>
                                <a:latin typeface="Cambria Math"/>
                                <a:ea typeface="+mn-ea"/>
                                <a:cs typeface="+mn-cs"/>
                              </a:rPr>
                              <m:t>𝑟</m:t>
                            </m:r>
                            <m:r>
                              <a:rPr lang="en-US" sz="2800" b="0" i="1">
                                <a:solidFill>
                                  <a:schemeClr val="tx1"/>
                                </a:solidFill>
                                <a:effectLst/>
                                <a:latin typeface="Cambria Math"/>
                                <a:ea typeface="+mn-ea"/>
                                <a:cs typeface="+mn-cs"/>
                              </a:rPr>
                              <m:t>∗</m:t>
                            </m:r>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3</m:t>
                                </m:r>
                              </m:sup>
                            </m:sSup>
                          </m:den>
                        </m:f>
                      </m:e>
                    </m:d>
                  </m:oMath>
                </m:oMathPara>
              </a14:m>
              <a:endParaRPr lang="ru-RU" sz="2800"/>
            </a:p>
          </xdr:txBody>
        </xdr:sp>
      </mc:Choice>
      <mc:Fallback xmlns="">
        <xdr:sp macro="" textlink="">
          <xdr:nvSpPr>
            <xdr:cNvPr id="17" name="TextBox 16"/>
            <xdr:cNvSpPr txBox="1"/>
          </xdr:nvSpPr>
          <xdr:spPr>
            <a:xfrm>
              <a:off x="3418111" y="44126603"/>
              <a:ext cx="9764489" cy="962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800" i="0">
                  <a:latin typeface="Cambria Math" panose="02040503050406030204" pitchFamily="18" charset="0"/>
                </a:rPr>
                <a:t>〖</a:t>
              </a:r>
              <a:r>
                <a:rPr lang="en-US" sz="2800" i="0">
                  <a:solidFill>
                    <a:schemeClr val="tx1"/>
                  </a:solidFill>
                  <a:effectLst/>
                  <a:latin typeface="Cambria Math"/>
                  <a:ea typeface="+mn-ea"/>
                  <a:cs typeface="+mn-cs"/>
                </a:rPr>
                <a:t>𝑃</a:t>
              </a:r>
              <a:r>
                <a:rPr lang="en-US" sz="2800" b="0" i="0">
                  <a:solidFill>
                    <a:schemeClr val="tx1"/>
                  </a:solidFill>
                  <a:effectLst/>
                  <a:latin typeface="Cambria Math"/>
                  <a:ea typeface="+mn-ea"/>
                  <a:cs typeface="+mn-cs"/>
                </a:rPr>
                <a:t>𝑉</a:t>
              </a:r>
              <a:r>
                <a:rPr lang="en-US" sz="2800" b="0" i="0">
                  <a:solidFill>
                    <a:schemeClr val="tx1"/>
                  </a:solidFill>
                  <a:effectLst/>
                  <a:latin typeface="Cambria Math" panose="02040503050406030204" pitchFamily="18" charset="0"/>
                  <a:ea typeface="+mn-ea"/>
                  <a:cs typeface="+mn-cs"/>
                </a:rPr>
                <a:t>〗_(</a:t>
              </a:r>
              <a:r>
                <a:rPr lang="en-US" sz="2800" b="0" i="0">
                  <a:latin typeface="Cambria Math"/>
                </a:rPr>
                <a:t>3 𝑦𝑒𝑎𝑟𝑠</a:t>
              </a:r>
              <a:r>
                <a:rPr lang="en-US" sz="2800" b="0" i="0">
                  <a:latin typeface="Cambria Math" panose="02040503050406030204" pitchFamily="18" charset="0"/>
                </a:rPr>
                <a:t>)</a:t>
              </a:r>
              <a:r>
                <a:rPr lang="en-US" sz="2800" b="0" i="0">
                  <a:latin typeface="Cambria Math"/>
                </a:rPr>
                <a:t>=𝑃𝑀𝑇</a:t>
              </a:r>
              <a:r>
                <a:rPr lang="en-US" sz="2800" b="0" i="0">
                  <a:latin typeface="Cambria Math" panose="02040503050406030204" pitchFamily="18" charset="0"/>
                </a:rPr>
                <a:t>/</a:t>
              </a:r>
              <a:r>
                <a:rPr lang="en-US" sz="2800" b="0" i="0">
                  <a:latin typeface="Cambria Math"/>
                </a:rPr>
                <a:t>𝑟−𝑃𝑀𝑇</a:t>
              </a:r>
              <a:r>
                <a:rPr lang="en-US" sz="2800" b="0" i="0">
                  <a:latin typeface="Cambria Math" panose="02040503050406030204" pitchFamily="18" charset="0"/>
                </a:rPr>
                <a:t>/(</a:t>
              </a:r>
              <a:r>
                <a:rPr lang="en-US" sz="2800" b="0" i="0">
                  <a:latin typeface="Cambria Math"/>
                </a:rPr>
                <a:t>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r>
                <a:rPr lang="en-US" sz="2800" b="0" i="0">
                  <a:latin typeface="Cambria Math"/>
                </a:rPr>
                <a:t>=𝑃𝑀𝑇</a:t>
              </a:r>
              <a:r>
                <a:rPr lang="en-US" sz="2800" b="0" i="0">
                  <a:latin typeface="Cambria Math" panose="02040503050406030204" pitchFamily="18" charset="0"/>
                </a:rPr>
                <a:t>[</a:t>
              </a:r>
              <a:r>
                <a:rPr lang="en-US" sz="2800" b="0" i="0">
                  <a:solidFill>
                    <a:schemeClr val="tx1"/>
                  </a:solidFill>
                  <a:effectLst/>
                  <a:latin typeface="Cambria Math"/>
                  <a:ea typeface="+mn-ea"/>
                  <a:cs typeface="+mn-cs"/>
                </a:rPr>
                <a:t>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𝑟−1</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3</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9</xdr:col>
      <xdr:colOff>91168</xdr:colOff>
      <xdr:row>129</xdr:row>
      <xdr:rowOff>69396</xdr:rowOff>
    </xdr:from>
    <xdr:ext cx="4280808" cy="858611"/>
    <mc:AlternateContent xmlns:mc="http://schemas.openxmlformats.org/markup-compatibility/2006" xmlns:a14="http://schemas.microsoft.com/office/drawing/2010/main">
      <mc:Choice Requires="a14">
        <xdr:sp macro="" textlink="">
          <xdr:nvSpPr>
            <xdr:cNvPr id="18" name="TextBox 17"/>
            <xdr:cNvSpPr txBox="1"/>
          </xdr:nvSpPr>
          <xdr:spPr>
            <a:xfrm>
              <a:off x="7034893" y="24643896"/>
              <a:ext cx="4280808" cy="858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3200"/>
                <a:t>Discount factor = </a:t>
              </a:r>
              <a14:m>
                <m:oMath xmlns:m="http://schemas.openxmlformats.org/officeDocument/2006/math">
                  <m:f>
                    <m:fPr>
                      <m:ctrlPr>
                        <a:rPr lang="de-DE" sz="3200" i="1">
                          <a:latin typeface="Cambria Math" panose="02040503050406030204" pitchFamily="18" charset="0"/>
                        </a:rPr>
                      </m:ctrlPr>
                    </m:fPr>
                    <m:num>
                      <m:r>
                        <a:rPr lang="en-US" sz="3200" b="0" i="1">
                          <a:latin typeface="Cambria Math"/>
                        </a:rPr>
                        <m:t>1</m:t>
                      </m:r>
                    </m:num>
                    <m:den>
                      <m:sSup>
                        <m:sSupPr>
                          <m:ctrlPr>
                            <a:rPr lang="de-DE" sz="3200" i="1">
                              <a:latin typeface="Cambria Math" panose="02040503050406030204" pitchFamily="18" charset="0"/>
                            </a:rPr>
                          </m:ctrlPr>
                        </m:sSupPr>
                        <m:e>
                          <m:d>
                            <m:dPr>
                              <m:ctrlPr>
                                <a:rPr lang="de-DE" sz="3200" i="1">
                                  <a:latin typeface="Cambria Math" panose="02040503050406030204" pitchFamily="18" charset="0"/>
                                </a:rPr>
                              </m:ctrlPr>
                            </m:dPr>
                            <m:e>
                              <m:r>
                                <a:rPr lang="en-US" sz="3200" b="0" i="1">
                                  <a:latin typeface="Cambria Math"/>
                                </a:rPr>
                                <m:t>1+</m:t>
                              </m:r>
                              <m:r>
                                <a:rPr lang="en-US" sz="3200" b="0" i="1">
                                  <a:latin typeface="Cambria Math"/>
                                </a:rPr>
                                <m:t>𝑟</m:t>
                              </m:r>
                            </m:e>
                          </m:d>
                        </m:e>
                        <m:sup>
                          <m:r>
                            <a:rPr lang="en-US" sz="3200" b="0" i="1">
                              <a:latin typeface="Cambria Math"/>
                            </a:rPr>
                            <m:t>𝑡</m:t>
                          </m:r>
                        </m:sup>
                      </m:sSup>
                    </m:den>
                  </m:f>
                </m:oMath>
              </a14:m>
              <a:endParaRPr lang="ru-RU" sz="3200"/>
            </a:p>
          </xdr:txBody>
        </xdr:sp>
      </mc:Choice>
      <mc:Fallback xmlns="">
        <xdr:sp macro="" textlink="">
          <xdr:nvSpPr>
            <xdr:cNvPr id="18" name="TextBox 17"/>
            <xdr:cNvSpPr txBox="1"/>
          </xdr:nvSpPr>
          <xdr:spPr>
            <a:xfrm>
              <a:off x="7034893" y="24643896"/>
              <a:ext cx="4280808" cy="858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3200"/>
                <a:t>Discount factor = </a:t>
              </a:r>
              <a:r>
                <a:rPr lang="en-US" sz="3200" b="0" i="0">
                  <a:latin typeface="Cambria Math"/>
                </a:rPr>
                <a:t>1</a:t>
              </a:r>
              <a:r>
                <a:rPr lang="de-DE" sz="3200" b="0" i="0">
                  <a:latin typeface="Cambria Math" panose="02040503050406030204" pitchFamily="18" charset="0"/>
                </a:rPr>
                <a:t>/(</a:t>
              </a:r>
              <a:r>
                <a:rPr lang="en-US" sz="3200" b="0" i="0">
                  <a:latin typeface="Cambria Math"/>
                </a:rPr>
                <a:t>1+𝑟</a:t>
              </a:r>
              <a:r>
                <a:rPr lang="en-US" sz="3200" b="0" i="0">
                  <a:latin typeface="Cambria Math" panose="02040503050406030204" pitchFamily="18" charset="0"/>
                </a:rPr>
                <a:t>)</a:t>
              </a:r>
              <a:r>
                <a:rPr lang="de-DE" sz="3200" b="0" i="0">
                  <a:latin typeface="Cambria Math" panose="02040503050406030204" pitchFamily="18" charset="0"/>
                </a:rPr>
                <a:t>^</a:t>
              </a:r>
              <a:r>
                <a:rPr lang="en-US" sz="3200" b="0" i="0">
                  <a:latin typeface="Cambria Math"/>
                </a:rPr>
                <a:t>𝑡</a:t>
              </a:r>
              <a:r>
                <a:rPr lang="en-US" sz="3200" b="0" i="0">
                  <a:latin typeface="Cambria Math" panose="02040503050406030204" pitchFamily="18" charset="0"/>
                </a:rPr>
                <a:t> </a:t>
              </a:r>
              <a:endParaRPr lang="ru-RU" sz="3200"/>
            </a:p>
          </xdr:txBody>
        </xdr:sp>
      </mc:Fallback>
    </mc:AlternateContent>
    <xdr:clientData/>
  </xdr:oneCellAnchor>
  <xdr:oneCellAnchor>
    <xdr:from>
      <xdr:col>3</xdr:col>
      <xdr:colOff>942975</xdr:colOff>
      <xdr:row>141</xdr:row>
      <xdr:rowOff>38100</xdr:rowOff>
    </xdr:from>
    <xdr:ext cx="7473591" cy="1501441"/>
    <xdr:pic>
      <xdr:nvPicPr>
        <xdr:cNvPr id="19"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100" y="26898600"/>
          <a:ext cx="7473591" cy="150144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oneCellAnchor>
  <xdr:oneCellAnchor>
    <xdr:from>
      <xdr:col>5</xdr:col>
      <xdr:colOff>438150</xdr:colOff>
      <xdr:row>160</xdr:row>
      <xdr:rowOff>190500</xdr:rowOff>
    </xdr:from>
    <xdr:ext cx="7478474" cy="1408446"/>
    <xdr:pic>
      <xdr:nvPicPr>
        <xdr:cNvPr id="20"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95775" y="30670500"/>
          <a:ext cx="7478474" cy="140844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oneCellAnchor>
  <xdr:oneCellAnchor>
    <xdr:from>
      <xdr:col>4</xdr:col>
      <xdr:colOff>1238248</xdr:colOff>
      <xdr:row>185</xdr:row>
      <xdr:rowOff>187778</xdr:rowOff>
    </xdr:from>
    <xdr:ext cx="6213023" cy="896143"/>
    <mc:AlternateContent xmlns:mc="http://schemas.openxmlformats.org/markup-compatibility/2006" xmlns:a14="http://schemas.microsoft.com/office/drawing/2010/main">
      <mc:Choice Requires="a14">
        <xdr:sp macro="" textlink="">
          <xdr:nvSpPr>
            <xdr:cNvPr id="21" name="TextBox 20"/>
            <xdr:cNvSpPr txBox="1"/>
          </xdr:nvSpPr>
          <xdr:spPr>
            <a:xfrm>
              <a:off x="3857623" y="35430278"/>
              <a:ext cx="6213023" cy="896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2800" i="1">
                            <a:latin typeface="Cambria Math" panose="02040503050406030204" pitchFamily="18" charset="0"/>
                          </a:rPr>
                        </m:ctrlPr>
                      </m:sSubPr>
                      <m:e>
                        <m:r>
                          <a:rPr lang="en-US" sz="2800" b="0" i="1">
                            <a:latin typeface="Cambria Math"/>
                          </a:rPr>
                          <m:t>𝑃𝑉</m:t>
                        </m:r>
                      </m:e>
                      <m:sub>
                        <m:r>
                          <a:rPr lang="en-US" sz="2800" b="0" i="1">
                            <a:latin typeface="Cambria Math"/>
                          </a:rPr>
                          <m:t>𝑃𝑒𝑟𝑝𝑒𝑡𝑢𝑖𝑡𝑦</m:t>
                        </m:r>
                      </m:sub>
                    </m:sSub>
                    <m:r>
                      <a:rPr lang="en-US" sz="2800" b="0" i="1">
                        <a:latin typeface="Cambria Math"/>
                      </a:rPr>
                      <m:t>=</m:t>
                    </m:r>
                    <m:f>
                      <m:fPr>
                        <m:ctrlPr>
                          <a:rPr lang="en-US" sz="2800" b="0" i="1">
                            <a:latin typeface="Cambria Math" panose="02040503050406030204" pitchFamily="18" charset="0"/>
                          </a:rPr>
                        </m:ctrlPr>
                      </m:fPr>
                      <m:num>
                        <m:r>
                          <a:rPr lang="en-US" sz="2800" b="0" i="1">
                            <a:latin typeface="Cambria Math"/>
                          </a:rPr>
                          <m:t>𝑃𝑀𝑇</m:t>
                        </m:r>
                      </m:num>
                      <m:den>
                        <m:r>
                          <a:rPr lang="en-US" sz="2800" b="0" i="1">
                            <a:latin typeface="Cambria Math"/>
                          </a:rPr>
                          <m:t>𝑟</m:t>
                        </m:r>
                      </m:den>
                    </m:f>
                  </m:oMath>
                </m:oMathPara>
              </a14:m>
              <a:endParaRPr lang="ru-RU" sz="2800"/>
            </a:p>
          </xdr:txBody>
        </xdr:sp>
      </mc:Choice>
      <mc:Fallback xmlns="">
        <xdr:sp macro="" textlink="">
          <xdr:nvSpPr>
            <xdr:cNvPr id="21" name="TextBox 20"/>
            <xdr:cNvSpPr txBox="1"/>
          </xdr:nvSpPr>
          <xdr:spPr>
            <a:xfrm>
              <a:off x="3857623" y="35430278"/>
              <a:ext cx="6213023" cy="896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800" i="0">
                  <a:latin typeface="Cambria Math" panose="02040503050406030204" pitchFamily="18" charset="0"/>
                </a:rPr>
                <a:t>〖</a:t>
              </a:r>
              <a:r>
                <a:rPr lang="en-US" sz="2800" b="0" i="0">
                  <a:latin typeface="Cambria Math"/>
                </a:rPr>
                <a:t>𝑃𝑉</a:t>
              </a:r>
              <a:r>
                <a:rPr lang="ru-RU" sz="2800" b="0" i="0">
                  <a:latin typeface="Cambria Math" panose="02040503050406030204" pitchFamily="18" charset="0"/>
                </a:rPr>
                <a:t>〗_</a:t>
              </a:r>
              <a:r>
                <a:rPr lang="en-US" sz="2800" b="0" i="0">
                  <a:latin typeface="Cambria Math"/>
                </a:rPr>
                <a:t>𝑃𝑒𝑟𝑝𝑒𝑡𝑢𝑖𝑡𝑦=𝑃𝑀𝑇</a:t>
              </a:r>
              <a:r>
                <a:rPr lang="en-US" sz="2800" b="0" i="0">
                  <a:latin typeface="Cambria Math" panose="02040503050406030204" pitchFamily="18" charset="0"/>
                </a:rPr>
                <a:t>/</a:t>
              </a:r>
              <a:r>
                <a:rPr lang="en-US" sz="2800" b="0" i="0">
                  <a:latin typeface="Cambria Math"/>
                </a:rPr>
                <a:t>𝑟</a:t>
              </a:r>
              <a:endParaRPr lang="ru-RU" sz="2800"/>
            </a:p>
          </xdr:txBody>
        </xdr:sp>
      </mc:Fallback>
    </mc:AlternateContent>
    <xdr:clientData/>
  </xdr:oneCellAnchor>
  <xdr:oneCellAnchor>
    <xdr:from>
      <xdr:col>5</xdr:col>
      <xdr:colOff>190498</xdr:colOff>
      <xdr:row>182</xdr:row>
      <xdr:rowOff>25853</xdr:rowOff>
    </xdr:from>
    <xdr:ext cx="6213023" cy="697883"/>
    <mc:AlternateContent xmlns:mc="http://schemas.openxmlformats.org/markup-compatibility/2006" xmlns:a14="http://schemas.microsoft.com/office/drawing/2010/main">
      <mc:Choice Requires="a14">
        <xdr:sp macro="" textlink="">
          <xdr:nvSpPr>
            <xdr:cNvPr id="22" name="TextBox 21"/>
            <xdr:cNvSpPr txBox="1"/>
          </xdr:nvSpPr>
          <xdr:spPr>
            <a:xfrm>
              <a:off x="4048123" y="34696853"/>
              <a:ext cx="6213023" cy="697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US" sz="3600" b="0" i="1">
                      <a:solidFill>
                        <a:schemeClr val="tx1"/>
                      </a:solidFill>
                      <a:effectLst/>
                      <a:latin typeface="Cambria Math" panose="02040503050406030204" pitchFamily="18" charset="0"/>
                      <a:ea typeface="+mn-ea"/>
                      <a:cs typeface="+mn-cs"/>
                    </a:rPr>
                    <m:t>𝑃𝑀𝑇</m:t>
                  </m:r>
                  <m:r>
                    <a:rPr lang="en-US" sz="3600" b="0" i="1">
                      <a:latin typeface="Cambria Math"/>
                    </a:rPr>
                    <m:t>=</m:t>
                  </m:r>
                  <m:sSub>
                    <m:sSubPr>
                      <m:ctrlPr>
                        <a:rPr lang="ru-RU" sz="3600" i="1">
                          <a:solidFill>
                            <a:schemeClr val="tx1"/>
                          </a:solidFill>
                          <a:effectLst/>
                          <a:latin typeface="Cambria Math" panose="02040503050406030204" pitchFamily="18" charset="0"/>
                          <a:ea typeface="+mn-ea"/>
                          <a:cs typeface="+mn-cs"/>
                        </a:rPr>
                      </m:ctrlPr>
                    </m:sSubPr>
                    <m:e>
                      <m:r>
                        <a:rPr lang="en-US" sz="3600" b="0" i="1">
                          <a:solidFill>
                            <a:schemeClr val="tx1"/>
                          </a:solidFill>
                          <a:effectLst/>
                          <a:latin typeface="Cambria Math" panose="02040503050406030204" pitchFamily="18" charset="0"/>
                          <a:ea typeface="+mn-ea"/>
                          <a:cs typeface="+mn-cs"/>
                        </a:rPr>
                        <m:t>𝑃𝑉</m:t>
                      </m:r>
                    </m:e>
                    <m:sub>
                      <m:r>
                        <a:rPr lang="en-US" sz="3600" b="0" i="1">
                          <a:solidFill>
                            <a:schemeClr val="tx1"/>
                          </a:solidFill>
                          <a:effectLst/>
                          <a:latin typeface="Cambria Math" panose="02040503050406030204" pitchFamily="18" charset="0"/>
                          <a:ea typeface="+mn-ea"/>
                          <a:cs typeface="+mn-cs"/>
                        </a:rPr>
                        <m:t>𝑃𝑒𝑟𝑝𝑒𝑡𝑢𝑖𝑡𝑦</m:t>
                      </m:r>
                    </m:sub>
                  </m:sSub>
                </m:oMath>
              </a14:m>
              <a:r>
                <a:rPr lang="en-US" sz="3600"/>
                <a:t>*r</a:t>
              </a:r>
              <a:endParaRPr lang="ru-RU" sz="3600"/>
            </a:p>
          </xdr:txBody>
        </xdr:sp>
      </mc:Choice>
      <mc:Fallback xmlns="">
        <xdr:sp macro="" textlink="">
          <xdr:nvSpPr>
            <xdr:cNvPr id="22" name="TextBox 21"/>
            <xdr:cNvSpPr txBox="1"/>
          </xdr:nvSpPr>
          <xdr:spPr>
            <a:xfrm>
              <a:off x="4048123" y="34696853"/>
              <a:ext cx="6213023" cy="697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b="0" i="0">
                  <a:solidFill>
                    <a:schemeClr val="tx1"/>
                  </a:solidFill>
                  <a:effectLst/>
                  <a:latin typeface="Cambria Math" panose="02040503050406030204" pitchFamily="18" charset="0"/>
                  <a:ea typeface="+mn-ea"/>
                  <a:cs typeface="+mn-cs"/>
                </a:rPr>
                <a:t>𝑃𝑀𝑇</a:t>
              </a:r>
              <a:r>
                <a:rPr lang="en-US" sz="3600" b="0" i="0">
                  <a:latin typeface="Cambria Math"/>
                </a:rPr>
                <a:t>=</a:t>
              </a:r>
              <a:r>
                <a:rPr lang="ru-RU" sz="3600" i="0">
                  <a:solidFill>
                    <a:schemeClr val="tx1"/>
                  </a:solidFill>
                  <a:effectLst/>
                  <a:latin typeface="Cambria Math" panose="02040503050406030204" pitchFamily="18" charset="0"/>
                  <a:ea typeface="+mn-ea"/>
                  <a:cs typeface="+mn-cs"/>
                </a:rPr>
                <a:t>〖</a:t>
              </a:r>
              <a:r>
                <a:rPr lang="en-US" sz="3600" b="0" i="0">
                  <a:solidFill>
                    <a:schemeClr val="tx1"/>
                  </a:solidFill>
                  <a:effectLst/>
                  <a:latin typeface="Cambria Math" panose="02040503050406030204" pitchFamily="18" charset="0"/>
                  <a:ea typeface="+mn-ea"/>
                  <a:cs typeface="+mn-cs"/>
                </a:rPr>
                <a:t>𝑃𝑉</a:t>
              </a:r>
              <a:r>
                <a:rPr lang="ru-RU" sz="3600" b="0" i="0">
                  <a:solidFill>
                    <a:schemeClr val="tx1"/>
                  </a:solidFill>
                  <a:effectLst/>
                  <a:latin typeface="Cambria Math" panose="02040503050406030204" pitchFamily="18" charset="0"/>
                  <a:ea typeface="+mn-ea"/>
                  <a:cs typeface="+mn-cs"/>
                </a:rPr>
                <a:t>〗_</a:t>
              </a:r>
              <a:r>
                <a:rPr lang="en-US" sz="3600" b="0" i="0">
                  <a:solidFill>
                    <a:schemeClr val="tx1"/>
                  </a:solidFill>
                  <a:effectLst/>
                  <a:latin typeface="Cambria Math" panose="02040503050406030204" pitchFamily="18" charset="0"/>
                  <a:ea typeface="+mn-ea"/>
                  <a:cs typeface="+mn-cs"/>
                </a:rPr>
                <a:t>𝑃𝑒𝑟𝑝𝑒𝑡𝑢𝑖𝑡𝑦</a:t>
              </a:r>
              <a:r>
                <a:rPr lang="en-US" sz="3600"/>
                <a:t>*r</a:t>
              </a:r>
              <a:endParaRPr lang="ru-RU" sz="36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3</xdr:col>
      <xdr:colOff>190500</xdr:colOff>
      <xdr:row>25</xdr:row>
      <xdr:rowOff>103908</xdr:rowOff>
    </xdr:from>
    <xdr:to>
      <xdr:col>8</xdr:col>
      <xdr:colOff>684491</xdr:colOff>
      <xdr:row>26</xdr:row>
      <xdr:rowOff>225136</xdr:rowOff>
    </xdr:to>
    <xdr:pic>
      <xdr:nvPicPr>
        <xdr:cNvPr id="2" name="Рисунок 1">
          <a:extLst>
            <a:ext uri="{FF2B5EF4-FFF2-40B4-BE49-F238E27FC236}">
              <a16:creationId xmlns:a16="http://schemas.microsoft.com/office/drawing/2014/main" id="{7A4ABA93-1008-4F53-8536-F5AF3F671A3D}"/>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62150" y="4866408"/>
          <a:ext cx="3351491" cy="2736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103910</xdr:colOff>
      <xdr:row>22</xdr:row>
      <xdr:rowOff>69272</xdr:rowOff>
    </xdr:from>
    <xdr:to>
      <xdr:col>8</xdr:col>
      <xdr:colOff>152963</xdr:colOff>
      <xdr:row>25</xdr:row>
      <xdr:rowOff>86590</xdr:rowOff>
    </xdr:to>
    <xdr:pic>
      <xdr:nvPicPr>
        <xdr:cNvPr id="3" name="Рисунок 2">
          <a:extLst>
            <a:ext uri="{FF2B5EF4-FFF2-40B4-BE49-F238E27FC236}">
              <a16:creationId xmlns:a16="http://schemas.microsoft.com/office/drawing/2014/main" id="{0FD1664A-148E-4ABB-96D6-12CBFFE18EAA}"/>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75560" y="4260272"/>
          <a:ext cx="3001803" cy="588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1316182</xdr:colOff>
      <xdr:row>30</xdr:row>
      <xdr:rowOff>34636</xdr:rowOff>
    </xdr:from>
    <xdr:to>
      <xdr:col>9</xdr:col>
      <xdr:colOff>419045</xdr:colOff>
      <xdr:row>31</xdr:row>
      <xdr:rowOff>225135</xdr:rowOff>
    </xdr:to>
    <xdr:pic>
      <xdr:nvPicPr>
        <xdr:cNvPr id="4" name="Рисунок 3">
          <a:extLst>
            <a:ext uri="{FF2B5EF4-FFF2-40B4-BE49-F238E27FC236}">
              <a16:creationId xmlns:a16="http://schemas.microsoft.com/office/drawing/2014/main" id="{585014F1-A2E7-41A2-A6CB-9B7FFD9324C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63932" y="5749636"/>
          <a:ext cx="3370063" cy="342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225136</xdr:colOff>
      <xdr:row>34</xdr:row>
      <xdr:rowOff>51955</xdr:rowOff>
    </xdr:from>
    <xdr:to>
      <xdr:col>8</xdr:col>
      <xdr:colOff>1227106</xdr:colOff>
      <xdr:row>37</xdr:row>
      <xdr:rowOff>17318</xdr:rowOff>
    </xdr:to>
    <xdr:pic>
      <xdr:nvPicPr>
        <xdr:cNvPr id="5" name="Рисунок 4">
          <a:extLst>
            <a:ext uri="{FF2B5EF4-FFF2-40B4-BE49-F238E27FC236}">
              <a16:creationId xmlns:a16="http://schemas.microsoft.com/office/drawing/2014/main" id="{EEA5C0F6-9317-454D-8C7C-DCBD4FD5C983}"/>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87336" y="6528955"/>
          <a:ext cx="2725995" cy="5368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38</xdr:row>
      <xdr:rowOff>0</xdr:rowOff>
    </xdr:from>
    <xdr:to>
      <xdr:col>7</xdr:col>
      <xdr:colOff>1229679</xdr:colOff>
      <xdr:row>42</xdr:row>
      <xdr:rowOff>207818</xdr:rowOff>
    </xdr:to>
    <xdr:pic>
      <xdr:nvPicPr>
        <xdr:cNvPr id="6" name="Рисунок 5">
          <a:extLst>
            <a:ext uri="{FF2B5EF4-FFF2-40B4-BE49-F238E27FC236}">
              <a16:creationId xmlns:a16="http://schemas.microsoft.com/office/drawing/2014/main" id="{D7347AD4-BA0B-4CE4-89F4-518D23D5C60A}"/>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62200" y="7239000"/>
          <a:ext cx="2363154" cy="95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86592</xdr:colOff>
      <xdr:row>36</xdr:row>
      <xdr:rowOff>98093</xdr:rowOff>
    </xdr:from>
    <xdr:to>
      <xdr:col>1</xdr:col>
      <xdr:colOff>2373024</xdr:colOff>
      <xdr:row>38</xdr:row>
      <xdr:rowOff>155863</xdr:rowOff>
    </xdr:to>
    <xdr:pic>
      <xdr:nvPicPr>
        <xdr:cNvPr id="7" name="Рисунок 6">
          <a:extLst>
            <a:ext uri="{FF2B5EF4-FFF2-40B4-BE49-F238E27FC236}">
              <a16:creationId xmlns:a16="http://schemas.microsoft.com/office/drawing/2014/main" id="{989125D9-2ABE-4625-89A6-45CA91F5C626}"/>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7142" y="6956093"/>
          <a:ext cx="505257" cy="438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1143000</xdr:colOff>
      <xdr:row>51</xdr:row>
      <xdr:rowOff>225136</xdr:rowOff>
    </xdr:from>
    <xdr:to>
      <xdr:col>11</xdr:col>
      <xdr:colOff>1196656</xdr:colOff>
      <xdr:row>54</xdr:row>
      <xdr:rowOff>190500</xdr:rowOff>
    </xdr:to>
    <xdr:pic>
      <xdr:nvPicPr>
        <xdr:cNvPr id="8" name="Рисунок 7">
          <a:extLst>
            <a:ext uri="{FF2B5EF4-FFF2-40B4-BE49-F238E27FC236}">
              <a16:creationId xmlns:a16="http://schemas.microsoft.com/office/drawing/2014/main" id="{1234EDDE-3C22-4CA8-AFDD-986C4D8F1BAB}"/>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52750" y="9902536"/>
          <a:ext cx="4130356" cy="574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1021773</xdr:colOff>
      <xdr:row>60</xdr:row>
      <xdr:rowOff>34636</xdr:rowOff>
    </xdr:from>
    <xdr:to>
      <xdr:col>9</xdr:col>
      <xdr:colOff>910278</xdr:colOff>
      <xdr:row>64</xdr:row>
      <xdr:rowOff>34636</xdr:rowOff>
    </xdr:to>
    <xdr:pic>
      <xdr:nvPicPr>
        <xdr:cNvPr id="9" name="Рисунок 8">
          <a:extLst>
            <a:ext uri="{FF2B5EF4-FFF2-40B4-BE49-F238E27FC236}">
              <a16:creationId xmlns:a16="http://schemas.microsoft.com/office/drawing/2014/main" id="{B4CEAC0C-E0D1-4398-ADFE-083B5A5C417B}"/>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55348" y="11464636"/>
          <a:ext cx="294603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17319</xdr:colOff>
      <xdr:row>76</xdr:row>
      <xdr:rowOff>155864</xdr:rowOff>
    </xdr:from>
    <xdr:to>
      <xdr:col>12</xdr:col>
      <xdr:colOff>847432</xdr:colOff>
      <xdr:row>80</xdr:row>
      <xdr:rowOff>121227</xdr:rowOff>
    </xdr:to>
    <xdr:pic>
      <xdr:nvPicPr>
        <xdr:cNvPr id="10" name="Рисунок 9">
          <a:extLst>
            <a:ext uri="{FF2B5EF4-FFF2-40B4-BE49-F238E27FC236}">
              <a16:creationId xmlns:a16="http://schemas.microsoft.com/office/drawing/2014/main" id="{A5632888-3A15-43F2-B6BD-2E964C1DA92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60619" y="14633864"/>
          <a:ext cx="4116238" cy="727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82</xdr:row>
      <xdr:rowOff>0</xdr:rowOff>
    </xdr:from>
    <xdr:to>
      <xdr:col>13</xdr:col>
      <xdr:colOff>37086</xdr:colOff>
      <xdr:row>85</xdr:row>
      <xdr:rowOff>225137</xdr:rowOff>
    </xdr:to>
    <xdr:pic>
      <xdr:nvPicPr>
        <xdr:cNvPr id="11" name="Рисунок 10">
          <a:extLst>
            <a:ext uri="{FF2B5EF4-FFF2-40B4-BE49-F238E27FC236}">
              <a16:creationId xmlns:a16="http://schemas.microsoft.com/office/drawing/2014/main" id="{90B33DCD-05CE-4FA9-9B40-18A328EDB9F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43300" y="15621000"/>
          <a:ext cx="4170936" cy="7585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363681</xdr:colOff>
      <xdr:row>119</xdr:row>
      <xdr:rowOff>103909</xdr:rowOff>
    </xdr:from>
    <xdr:to>
      <xdr:col>7</xdr:col>
      <xdr:colOff>1282269</xdr:colOff>
      <xdr:row>121</xdr:row>
      <xdr:rowOff>225136</xdr:rowOff>
    </xdr:to>
    <xdr:pic>
      <xdr:nvPicPr>
        <xdr:cNvPr id="12" name="Рисунок 11">
          <a:extLst>
            <a:ext uri="{FF2B5EF4-FFF2-40B4-BE49-F238E27FC236}">
              <a16:creationId xmlns:a16="http://schemas.microsoft.com/office/drawing/2014/main" id="{DD66B430-BF8F-4FCF-A72A-4DDA1CD17A89}"/>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135331" y="22773409"/>
          <a:ext cx="2585463" cy="4641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225136</xdr:colOff>
      <xdr:row>122</xdr:row>
      <xdr:rowOff>242453</xdr:rowOff>
    </xdr:from>
    <xdr:to>
      <xdr:col>7</xdr:col>
      <xdr:colOff>1041050</xdr:colOff>
      <xdr:row>124</xdr:row>
      <xdr:rowOff>190499</xdr:rowOff>
    </xdr:to>
    <xdr:pic>
      <xdr:nvPicPr>
        <xdr:cNvPr id="13" name="Рисунок 12">
          <a:extLst>
            <a:ext uri="{FF2B5EF4-FFF2-40B4-BE49-F238E27FC236}">
              <a16:creationId xmlns:a16="http://schemas.microsoft.com/office/drawing/2014/main" id="{C22EDEF8-86A5-4EEE-8EEA-046C258FCB4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96786" y="23435828"/>
          <a:ext cx="2730439" cy="376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138546</xdr:colOff>
      <xdr:row>126</xdr:row>
      <xdr:rowOff>0</xdr:rowOff>
    </xdr:from>
    <xdr:to>
      <xdr:col>7</xdr:col>
      <xdr:colOff>1004455</xdr:colOff>
      <xdr:row>127</xdr:row>
      <xdr:rowOff>192815</xdr:rowOff>
    </xdr:to>
    <xdr:pic>
      <xdr:nvPicPr>
        <xdr:cNvPr id="14" name="Рисунок 13">
          <a:extLst>
            <a:ext uri="{FF2B5EF4-FFF2-40B4-BE49-F238E27FC236}">
              <a16:creationId xmlns:a16="http://schemas.microsoft.com/office/drawing/2014/main" id="{9C4A656A-193C-4C37-9E0E-48169950F64C}"/>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10196" y="24003000"/>
          <a:ext cx="2818534" cy="3833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51954</xdr:colOff>
      <xdr:row>136</xdr:row>
      <xdr:rowOff>0</xdr:rowOff>
    </xdr:from>
    <xdr:to>
      <xdr:col>8</xdr:col>
      <xdr:colOff>783274</xdr:colOff>
      <xdr:row>137</xdr:row>
      <xdr:rowOff>173182</xdr:rowOff>
    </xdr:to>
    <xdr:pic>
      <xdr:nvPicPr>
        <xdr:cNvPr id="15" name="Рисунок 14">
          <a:extLst>
            <a:ext uri="{FF2B5EF4-FFF2-40B4-BE49-F238E27FC236}">
              <a16:creationId xmlns:a16="http://schemas.microsoft.com/office/drawing/2014/main" id="{B914CC6A-5EC0-4393-B613-9582A41EF082}"/>
            </a:ext>
          </a:extLst>
        </xdr:cNvPr>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14154" y="25908000"/>
          <a:ext cx="2903020" cy="363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140</xdr:row>
      <xdr:rowOff>0</xdr:rowOff>
    </xdr:from>
    <xdr:to>
      <xdr:col>10</xdr:col>
      <xdr:colOff>586646</xdr:colOff>
      <xdr:row>141</xdr:row>
      <xdr:rowOff>190500</xdr:rowOff>
    </xdr:to>
    <xdr:pic>
      <xdr:nvPicPr>
        <xdr:cNvPr id="16" name="Рисунок 15">
          <a:extLst>
            <a:ext uri="{FF2B5EF4-FFF2-40B4-BE49-F238E27FC236}">
              <a16:creationId xmlns:a16="http://schemas.microsoft.com/office/drawing/2014/main" id="{0309E86B-5908-4286-BCBC-0CE21552DE55}"/>
            </a:ext>
          </a:extLst>
        </xdr:cNvPr>
        <xdr:cNvPicPr>
          <a:picLocks noChangeAspect="1" noChangeArrowheads="1"/>
        </xdr:cNvPicPr>
      </xdr:nvPicPr>
      <xdr:blipFill>
        <a:blip xmlns:r="http://schemas.openxmlformats.org/officeDocument/2006/relationships" r:embed="rId1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62200" y="26670000"/>
          <a:ext cx="4129946"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251318</xdr:colOff>
      <xdr:row>89</xdr:row>
      <xdr:rowOff>0</xdr:rowOff>
    </xdr:from>
    <xdr:to>
      <xdr:col>10</xdr:col>
      <xdr:colOff>495300</xdr:colOff>
      <xdr:row>91</xdr:row>
      <xdr:rowOff>138545</xdr:rowOff>
    </xdr:to>
    <xdr:pic>
      <xdr:nvPicPr>
        <xdr:cNvPr id="17" name="Рисунок 16">
          <a:extLst>
            <a:ext uri="{FF2B5EF4-FFF2-40B4-BE49-F238E27FC236}">
              <a16:creationId xmlns:a16="http://schemas.microsoft.com/office/drawing/2014/main" id="{F703BD3C-7EE0-4502-94D0-FE3606C6A404}"/>
            </a:ext>
          </a:extLst>
        </xdr:cNvPr>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13518" y="16954500"/>
          <a:ext cx="3787282" cy="519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161</xdr:row>
      <xdr:rowOff>0</xdr:rowOff>
    </xdr:from>
    <xdr:to>
      <xdr:col>7</xdr:col>
      <xdr:colOff>420773</xdr:colOff>
      <xdr:row>162</xdr:row>
      <xdr:rowOff>121228</xdr:rowOff>
    </xdr:to>
    <xdr:pic>
      <xdr:nvPicPr>
        <xdr:cNvPr id="18" name="Рисунок 17">
          <a:extLst>
            <a:ext uri="{FF2B5EF4-FFF2-40B4-BE49-F238E27FC236}">
              <a16:creationId xmlns:a16="http://schemas.microsoft.com/office/drawing/2014/main" id="{0757EF44-B27D-4C44-B4EC-11399E2B7ADD}"/>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62200" y="30670500"/>
          <a:ext cx="2192423" cy="31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121227</xdr:colOff>
      <xdr:row>165</xdr:row>
      <xdr:rowOff>225136</xdr:rowOff>
    </xdr:from>
    <xdr:to>
      <xdr:col>7</xdr:col>
      <xdr:colOff>608505</xdr:colOff>
      <xdr:row>169</xdr:row>
      <xdr:rowOff>103909</xdr:rowOff>
    </xdr:to>
    <xdr:pic>
      <xdr:nvPicPr>
        <xdr:cNvPr id="19" name="Рисунок 18">
          <a:extLst>
            <a:ext uri="{FF2B5EF4-FFF2-40B4-BE49-F238E27FC236}">
              <a16:creationId xmlns:a16="http://schemas.microsoft.com/office/drawing/2014/main" id="{C8B4E8EB-98E0-456E-BA35-EF2FE6EED532}"/>
            </a:ext>
          </a:extLst>
        </xdr:cNvPr>
        <xdr:cNvPicPr>
          <a:picLocks noChangeAspect="1" noChangeArrowheads="1"/>
        </xdr:cNvPicPr>
      </xdr:nvPicPr>
      <xdr:blipFill>
        <a:blip xmlns:r="http://schemas.openxmlformats.org/officeDocument/2006/relationships" r:embed="rId1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83427" y="31619536"/>
          <a:ext cx="2239878" cy="6788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17319</xdr:colOff>
      <xdr:row>170</xdr:row>
      <xdr:rowOff>138544</xdr:rowOff>
    </xdr:from>
    <xdr:to>
      <xdr:col>7</xdr:col>
      <xdr:colOff>610170</xdr:colOff>
      <xdr:row>174</xdr:row>
      <xdr:rowOff>34636</xdr:rowOff>
    </xdr:to>
    <xdr:pic>
      <xdr:nvPicPr>
        <xdr:cNvPr id="20" name="Рисунок 19">
          <a:extLst>
            <a:ext uri="{FF2B5EF4-FFF2-40B4-BE49-F238E27FC236}">
              <a16:creationId xmlns:a16="http://schemas.microsoft.com/office/drawing/2014/main" id="{7FC795E9-1716-4403-8C3D-3CA0B1A7C7BE}"/>
            </a:ext>
          </a:extLst>
        </xdr:cNvPr>
        <xdr:cNvPicPr>
          <a:picLocks noChangeAspect="1" noChangeArrowheads="1"/>
        </xdr:cNvPicPr>
      </xdr:nvPicPr>
      <xdr:blipFill>
        <a:blip xmlns:r="http://schemas.openxmlformats.org/officeDocument/2006/relationships" r:embed="rId1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79519" y="32523544"/>
          <a:ext cx="2345451" cy="658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175</xdr:row>
      <xdr:rowOff>0</xdr:rowOff>
    </xdr:from>
    <xdr:to>
      <xdr:col>7</xdr:col>
      <xdr:colOff>1123701</xdr:colOff>
      <xdr:row>176</xdr:row>
      <xdr:rowOff>173182</xdr:rowOff>
    </xdr:to>
    <xdr:pic>
      <xdr:nvPicPr>
        <xdr:cNvPr id="21" name="Рисунок 20">
          <a:extLst>
            <a:ext uri="{FF2B5EF4-FFF2-40B4-BE49-F238E27FC236}">
              <a16:creationId xmlns:a16="http://schemas.microsoft.com/office/drawing/2014/main" id="{A385BC4F-E82D-41AB-AD99-D7D3D568C48C}"/>
            </a:ext>
          </a:extLst>
        </xdr:cNvPr>
        <xdr:cNvPicPr>
          <a:picLocks noChangeAspect="1" noChangeArrowheads="1"/>
        </xdr:cNvPicPr>
      </xdr:nvPicPr>
      <xdr:blipFill>
        <a:blip xmlns:r="http://schemas.openxmlformats.org/officeDocument/2006/relationships" r:embed="rId2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62200" y="33337500"/>
          <a:ext cx="2361951" cy="363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86591</xdr:colOff>
      <xdr:row>200</xdr:row>
      <xdr:rowOff>86591</xdr:rowOff>
    </xdr:from>
    <xdr:to>
      <xdr:col>7</xdr:col>
      <xdr:colOff>502227</xdr:colOff>
      <xdr:row>203</xdr:row>
      <xdr:rowOff>194576</xdr:rowOff>
    </xdr:to>
    <xdr:pic>
      <xdr:nvPicPr>
        <xdr:cNvPr id="22" name="Рисунок 21">
          <a:extLst>
            <a:ext uri="{FF2B5EF4-FFF2-40B4-BE49-F238E27FC236}">
              <a16:creationId xmlns:a16="http://schemas.microsoft.com/office/drawing/2014/main" id="{CA392AE9-A843-4AB8-8BB8-8B62D41E38D8}"/>
            </a:ext>
          </a:extLst>
        </xdr:cNvPr>
        <xdr:cNvPicPr>
          <a:picLocks noChangeAspect="1" noChangeArrowheads="1"/>
        </xdr:cNvPicPr>
      </xdr:nvPicPr>
      <xdr:blipFill>
        <a:blip xmlns:r="http://schemas.openxmlformats.org/officeDocument/2006/relationships" r:embed="rId1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48791" y="38186591"/>
          <a:ext cx="2187286" cy="679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1350817</xdr:colOff>
      <xdr:row>204</xdr:row>
      <xdr:rowOff>103907</xdr:rowOff>
    </xdr:from>
    <xdr:to>
      <xdr:col>7</xdr:col>
      <xdr:colOff>307827</xdr:colOff>
      <xdr:row>207</xdr:row>
      <xdr:rowOff>190498</xdr:rowOff>
    </xdr:to>
    <xdr:pic>
      <xdr:nvPicPr>
        <xdr:cNvPr id="23" name="Рисунок 22">
          <a:extLst>
            <a:ext uri="{FF2B5EF4-FFF2-40B4-BE49-F238E27FC236}">
              <a16:creationId xmlns:a16="http://schemas.microsoft.com/office/drawing/2014/main" id="{3DC682D3-9461-4DA2-BB64-B8344D4FEA2F}"/>
            </a:ext>
          </a:extLst>
        </xdr:cNvPr>
        <xdr:cNvPicPr>
          <a:picLocks noChangeAspect="1" noChangeArrowheads="1"/>
        </xdr:cNvPicPr>
      </xdr:nvPicPr>
      <xdr:blipFill>
        <a:blip xmlns:r="http://schemas.openxmlformats.org/officeDocument/2006/relationships" r:embed="rId2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60467" y="38965907"/>
          <a:ext cx="2081210" cy="6580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190499</xdr:colOff>
      <xdr:row>209</xdr:row>
      <xdr:rowOff>155864</xdr:rowOff>
    </xdr:from>
    <xdr:to>
      <xdr:col>7</xdr:col>
      <xdr:colOff>225135</xdr:colOff>
      <xdr:row>211</xdr:row>
      <xdr:rowOff>11</xdr:rowOff>
    </xdr:to>
    <xdr:pic>
      <xdr:nvPicPr>
        <xdr:cNvPr id="24" name="Рисунок 23">
          <a:extLst>
            <a:ext uri="{FF2B5EF4-FFF2-40B4-BE49-F238E27FC236}">
              <a16:creationId xmlns:a16="http://schemas.microsoft.com/office/drawing/2014/main" id="{E669400E-3A02-4E4B-9718-B353CA8759D5}"/>
            </a:ext>
          </a:extLst>
        </xdr:cNvPr>
        <xdr:cNvPicPr>
          <a:picLocks noChangeAspect="1" noChangeArrowheads="1"/>
        </xdr:cNvPicPr>
      </xdr:nvPicPr>
      <xdr:blipFill>
        <a:blip xmlns:r="http://schemas.openxmlformats.org/officeDocument/2006/relationships" r:embed="rId2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52699" y="39970364"/>
          <a:ext cx="1806286" cy="225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415636</xdr:colOff>
      <xdr:row>237</xdr:row>
      <xdr:rowOff>190499</xdr:rowOff>
    </xdr:from>
    <xdr:to>
      <xdr:col>9</xdr:col>
      <xdr:colOff>74657</xdr:colOff>
      <xdr:row>240</xdr:row>
      <xdr:rowOff>86589</xdr:rowOff>
    </xdr:to>
    <xdr:pic>
      <xdr:nvPicPr>
        <xdr:cNvPr id="25" name="Рисунок 24">
          <a:extLst>
            <a:ext uri="{FF2B5EF4-FFF2-40B4-BE49-F238E27FC236}">
              <a16:creationId xmlns:a16="http://schemas.microsoft.com/office/drawing/2014/main" id="{960DD08B-3332-47CA-88C3-A93F67613E04}"/>
            </a:ext>
          </a:extLst>
        </xdr:cNvPr>
        <xdr:cNvPicPr>
          <a:picLocks noChangeAspect="1" noChangeArrowheads="1"/>
        </xdr:cNvPicPr>
      </xdr:nvPicPr>
      <xdr:blipFill>
        <a:blip xmlns:r="http://schemas.openxmlformats.org/officeDocument/2006/relationships" r:embed="rId2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77836" y="45338999"/>
          <a:ext cx="2611771" cy="4675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692727</xdr:colOff>
      <xdr:row>280</xdr:row>
      <xdr:rowOff>51952</xdr:rowOff>
    </xdr:from>
    <xdr:to>
      <xdr:col>7</xdr:col>
      <xdr:colOff>140052</xdr:colOff>
      <xdr:row>284</xdr:row>
      <xdr:rowOff>51953</xdr:rowOff>
    </xdr:to>
    <xdr:pic>
      <xdr:nvPicPr>
        <xdr:cNvPr id="26" name="Рисунок 25">
          <a:extLst>
            <a:ext uri="{FF2B5EF4-FFF2-40B4-BE49-F238E27FC236}">
              <a16:creationId xmlns:a16="http://schemas.microsoft.com/office/drawing/2014/main" id="{F4591157-9F25-48D5-ACD2-E4483FB556F9}"/>
            </a:ext>
          </a:extLst>
        </xdr:cNvPr>
        <xdr:cNvPicPr>
          <a:picLocks noChangeAspect="1" noChangeArrowheads="1"/>
        </xdr:cNvPicPr>
      </xdr:nvPicPr>
      <xdr:blipFill>
        <a:blip xmlns:r="http://schemas.openxmlformats.org/officeDocument/2006/relationships" r:embed="rId2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50152" y="53391952"/>
          <a:ext cx="1323750" cy="762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307962</xdr:colOff>
      <xdr:row>284</xdr:row>
      <xdr:rowOff>113697</xdr:rowOff>
    </xdr:from>
    <xdr:to>
      <xdr:col>1</xdr:col>
      <xdr:colOff>2298687</xdr:colOff>
      <xdr:row>286</xdr:row>
      <xdr:rowOff>99843</xdr:rowOff>
    </xdr:to>
    <xdr:pic>
      <xdr:nvPicPr>
        <xdr:cNvPr id="27" name="Рисунок 26">
          <a:extLst>
            <a:ext uri="{FF2B5EF4-FFF2-40B4-BE49-F238E27FC236}">
              <a16:creationId xmlns:a16="http://schemas.microsoft.com/office/drawing/2014/main" id="{260CAECC-59C1-40A8-8C12-941394FAED00}"/>
            </a:ext>
          </a:extLst>
        </xdr:cNvPr>
        <xdr:cNvPicPr>
          <a:picLocks noChangeAspect="1" noChangeArrowheads="1"/>
        </xdr:cNvPicPr>
      </xdr:nvPicPr>
      <xdr:blipFill>
        <a:blip xmlns:r="http://schemas.openxmlformats.org/officeDocument/2006/relationships" r:embed="rId2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8512" y="54215697"/>
          <a:ext cx="285750" cy="367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311283</xdr:colOff>
      <xdr:row>292</xdr:row>
      <xdr:rowOff>155863</xdr:rowOff>
    </xdr:from>
    <xdr:to>
      <xdr:col>11</xdr:col>
      <xdr:colOff>787111</xdr:colOff>
      <xdr:row>292</xdr:row>
      <xdr:rowOff>450272</xdr:rowOff>
    </xdr:to>
    <xdr:pic>
      <xdr:nvPicPr>
        <xdr:cNvPr id="28" name="Рисунок 27">
          <a:extLst>
            <a:ext uri="{FF2B5EF4-FFF2-40B4-BE49-F238E27FC236}">
              <a16:creationId xmlns:a16="http://schemas.microsoft.com/office/drawing/2014/main" id="{9FB94536-F110-464A-A821-5B6C2C76BB87}"/>
            </a:ext>
          </a:extLst>
        </xdr:cNvPr>
        <xdr:cNvPicPr>
          <a:picLocks noChangeAspect="1" noChangeArrowheads="1"/>
        </xdr:cNvPicPr>
      </xdr:nvPicPr>
      <xdr:blipFill>
        <a:blip xmlns:r="http://schemas.openxmlformats.org/officeDocument/2006/relationships" r:embed="rId2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45133" y="55781863"/>
          <a:ext cx="2638003" cy="37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363665</xdr:colOff>
      <xdr:row>293</xdr:row>
      <xdr:rowOff>155862</xdr:rowOff>
    </xdr:from>
    <xdr:to>
      <xdr:col>10</xdr:col>
      <xdr:colOff>1107898</xdr:colOff>
      <xdr:row>294</xdr:row>
      <xdr:rowOff>190500</xdr:rowOff>
    </xdr:to>
    <xdr:pic>
      <xdr:nvPicPr>
        <xdr:cNvPr id="29" name="Рисунок 28">
          <a:extLst>
            <a:ext uri="{FF2B5EF4-FFF2-40B4-BE49-F238E27FC236}">
              <a16:creationId xmlns:a16="http://schemas.microsoft.com/office/drawing/2014/main" id="{9875F432-55EE-414F-818C-6B3F4366DF0B}"/>
            </a:ext>
          </a:extLst>
        </xdr:cNvPr>
        <xdr:cNvPicPr>
          <a:picLocks noChangeAspect="1" noChangeArrowheads="1"/>
        </xdr:cNvPicPr>
      </xdr:nvPicPr>
      <xdr:blipFill>
        <a:blip xmlns:r="http://schemas.openxmlformats.org/officeDocument/2006/relationships" r:embed="rId2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97515" y="55972362"/>
          <a:ext cx="2001533" cy="225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363682</xdr:colOff>
      <xdr:row>297</xdr:row>
      <xdr:rowOff>155863</xdr:rowOff>
    </xdr:from>
    <xdr:to>
      <xdr:col>10</xdr:col>
      <xdr:colOff>883228</xdr:colOff>
      <xdr:row>298</xdr:row>
      <xdr:rowOff>171705</xdr:rowOff>
    </xdr:to>
    <xdr:pic>
      <xdr:nvPicPr>
        <xdr:cNvPr id="30" name="Рисунок 29">
          <a:extLst>
            <a:ext uri="{FF2B5EF4-FFF2-40B4-BE49-F238E27FC236}">
              <a16:creationId xmlns:a16="http://schemas.microsoft.com/office/drawing/2014/main" id="{357C4BD9-1E78-4247-A6FD-788E42C175B9}"/>
            </a:ext>
          </a:extLst>
        </xdr:cNvPr>
        <xdr:cNvPicPr>
          <a:picLocks noChangeAspect="1" noChangeArrowheads="1"/>
        </xdr:cNvPicPr>
      </xdr:nvPicPr>
      <xdr:blipFill>
        <a:blip xmlns:r="http://schemas.openxmlformats.org/officeDocument/2006/relationships" r:embed="rId2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97532" y="56734363"/>
          <a:ext cx="1995921" cy="2063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292494</xdr:colOff>
      <xdr:row>295</xdr:row>
      <xdr:rowOff>155864</xdr:rowOff>
    </xdr:from>
    <xdr:to>
      <xdr:col>11</xdr:col>
      <xdr:colOff>494433</xdr:colOff>
      <xdr:row>296</xdr:row>
      <xdr:rowOff>173181</xdr:rowOff>
    </xdr:to>
    <xdr:pic>
      <xdr:nvPicPr>
        <xdr:cNvPr id="31" name="Рисунок 30">
          <a:extLst>
            <a:ext uri="{FF2B5EF4-FFF2-40B4-BE49-F238E27FC236}">
              <a16:creationId xmlns:a16="http://schemas.microsoft.com/office/drawing/2014/main" id="{4319E8E1-30B5-43F2-BA06-0A927ACBA8CF}"/>
            </a:ext>
          </a:extLst>
        </xdr:cNvPr>
        <xdr:cNvPicPr>
          <a:picLocks noChangeAspect="1" noChangeArrowheads="1"/>
        </xdr:cNvPicPr>
      </xdr:nvPicPr>
      <xdr:blipFill>
        <a:blip xmlns:r="http://schemas.openxmlformats.org/officeDocument/2006/relationships" r:embed="rId2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26344" y="56353364"/>
          <a:ext cx="2564139" cy="2078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2158457</xdr:colOff>
      <xdr:row>16</xdr:row>
      <xdr:rowOff>36724</xdr:rowOff>
    </xdr:from>
    <xdr:ext cx="11640670" cy="74834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272B1794-E1E0-4586-A7F2-8A6D4DD275C0}"/>
                </a:ext>
              </a:extLst>
            </xdr:cNvPr>
            <xdr:cNvSpPr txBox="1"/>
          </xdr:nvSpPr>
          <xdr:spPr>
            <a:xfrm>
              <a:off x="1539332" y="3084724"/>
              <a:ext cx="11640670" cy="748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ru-RU" sz="2800" b="0" i="1">
                      <a:solidFill>
                        <a:schemeClr val="tx1"/>
                      </a:solidFill>
                      <a:effectLst/>
                      <a:latin typeface="Cambria Math"/>
                      <a:ea typeface="+mn-ea"/>
                      <a:cs typeface="+mn-cs"/>
                    </a:rPr>
                    <m:t>960</m:t>
                  </m:r>
                  <m:r>
                    <a:rPr lang="ru-RU" sz="2800" i="1">
                      <a:solidFill>
                        <a:schemeClr val="tx1"/>
                      </a:solidFill>
                      <a:effectLst/>
                      <a:latin typeface="Cambria Math"/>
                      <a:ea typeface="+mn-ea"/>
                      <a:cs typeface="+mn-cs"/>
                    </a:rPr>
                    <m:t>= </m:t>
                  </m:r>
                  <m:f>
                    <m:fPr>
                      <m:ctrlPr>
                        <a:rPr lang="ru-RU" sz="2800" i="1">
                          <a:solidFill>
                            <a:schemeClr val="tx1"/>
                          </a:solidFill>
                          <a:effectLst/>
                          <a:latin typeface="Cambria Math" panose="02040503050406030204" pitchFamily="18" charset="0"/>
                          <a:ea typeface="+mn-ea"/>
                          <a:cs typeface="+mn-cs"/>
                        </a:rPr>
                      </m:ctrlPr>
                    </m:fPr>
                    <m:num>
                      <m:r>
                        <a:rPr lang="ru-RU" sz="2800" b="0" i="1">
                          <a:solidFill>
                            <a:schemeClr val="tx1"/>
                          </a:solidFill>
                          <a:effectLst/>
                          <a:latin typeface="Cambria Math"/>
                          <a:ea typeface="+mn-ea"/>
                          <a:cs typeface="+mn-cs"/>
                        </a:rPr>
                        <m:t>100</m:t>
                      </m:r>
                    </m:num>
                    <m:den>
                      <m:sSup>
                        <m:sSupPr>
                          <m:ctrlPr>
                            <a:rPr lang="ru-RU" sz="2800" i="1">
                              <a:solidFill>
                                <a:schemeClr val="tx1"/>
                              </a:solidFill>
                              <a:effectLst/>
                              <a:latin typeface="Cambria Math" panose="02040503050406030204" pitchFamily="18" charset="0"/>
                              <a:ea typeface="+mn-ea"/>
                              <a:cs typeface="+mn-cs"/>
                            </a:rPr>
                          </m:ctrlPr>
                        </m:sSupPr>
                        <m:e>
                          <m:d>
                            <m:dPr>
                              <m:ctrlPr>
                                <a:rPr lang="ru-RU" sz="2800" i="1">
                                  <a:solidFill>
                                    <a:schemeClr val="tx1"/>
                                  </a:solidFill>
                                  <a:effectLst/>
                                  <a:latin typeface="Cambria Math" panose="02040503050406030204" pitchFamily="18" charset="0"/>
                                  <a:ea typeface="+mn-ea"/>
                                  <a:cs typeface="+mn-cs"/>
                                </a:rPr>
                              </m:ctrlPr>
                            </m:dPr>
                            <m:e>
                              <m:r>
                                <a:rPr lang="ru-RU" sz="2800" i="1">
                                  <a:solidFill>
                                    <a:schemeClr val="tx1"/>
                                  </a:solidFill>
                                  <a:effectLst/>
                                  <a:latin typeface="Cambria Math"/>
                                  <a:ea typeface="+mn-ea"/>
                                  <a:cs typeface="+mn-cs"/>
                                </a:rPr>
                                <m:t>1+</m:t>
                              </m:r>
                              <m:r>
                                <a:rPr lang="ru-RU" sz="2800" i="1">
                                  <a:solidFill>
                                    <a:schemeClr val="tx1"/>
                                  </a:solidFill>
                                  <a:effectLst/>
                                  <a:latin typeface="Cambria Math"/>
                                  <a:ea typeface="+mn-ea"/>
                                  <a:cs typeface="+mn-cs"/>
                                </a:rPr>
                                <m:t>𝑌𝑇𝑀</m:t>
                              </m:r>
                            </m:e>
                          </m:d>
                        </m:e>
                        <m:sup>
                          <m:r>
                            <a:rPr lang="ru-RU" sz="2800" i="1">
                              <a:solidFill>
                                <a:schemeClr val="tx1"/>
                              </a:solidFill>
                              <a:effectLst/>
                              <a:latin typeface="Cambria Math"/>
                              <a:ea typeface="+mn-ea"/>
                              <a:cs typeface="+mn-cs"/>
                            </a:rPr>
                            <m:t>1</m:t>
                          </m:r>
                        </m:sup>
                      </m:sSup>
                    </m:den>
                  </m:f>
                  <m:r>
                    <a:rPr lang="ru-RU" sz="2800" i="1">
                      <a:solidFill>
                        <a:schemeClr val="tx1"/>
                      </a:solidFill>
                      <a:effectLst/>
                      <a:latin typeface="Cambria Math"/>
                      <a:ea typeface="+mn-ea"/>
                      <a:cs typeface="+mn-cs"/>
                    </a:rPr>
                    <m:t>+</m:t>
                  </m:r>
                  <m:f>
                    <m:fPr>
                      <m:ctrlPr>
                        <a:rPr lang="ru-RU" sz="2800" i="1">
                          <a:solidFill>
                            <a:schemeClr val="tx1"/>
                          </a:solidFill>
                          <a:effectLst/>
                          <a:latin typeface="Cambria Math" panose="02040503050406030204" pitchFamily="18" charset="0"/>
                          <a:ea typeface="+mn-ea"/>
                          <a:cs typeface="+mn-cs"/>
                        </a:rPr>
                      </m:ctrlPr>
                    </m:fPr>
                    <m:num>
                      <m:r>
                        <a:rPr lang="ru-RU" sz="2800" b="0" i="1">
                          <a:solidFill>
                            <a:schemeClr val="tx1"/>
                          </a:solidFill>
                          <a:effectLst/>
                          <a:latin typeface="Cambria Math"/>
                          <a:ea typeface="+mn-ea"/>
                          <a:cs typeface="+mn-cs"/>
                        </a:rPr>
                        <m:t>100</m:t>
                      </m:r>
                    </m:num>
                    <m:den>
                      <m:sSup>
                        <m:sSupPr>
                          <m:ctrlPr>
                            <a:rPr lang="ru-RU" sz="2800" i="1">
                              <a:solidFill>
                                <a:schemeClr val="tx1"/>
                              </a:solidFill>
                              <a:effectLst/>
                              <a:latin typeface="Cambria Math" panose="02040503050406030204" pitchFamily="18" charset="0"/>
                              <a:ea typeface="+mn-ea"/>
                              <a:cs typeface="+mn-cs"/>
                            </a:rPr>
                          </m:ctrlPr>
                        </m:sSupPr>
                        <m:e>
                          <m:d>
                            <m:dPr>
                              <m:ctrlPr>
                                <a:rPr lang="ru-RU" sz="2800" i="1">
                                  <a:solidFill>
                                    <a:schemeClr val="tx1"/>
                                  </a:solidFill>
                                  <a:effectLst/>
                                  <a:latin typeface="Cambria Math" panose="02040503050406030204" pitchFamily="18" charset="0"/>
                                  <a:ea typeface="+mn-ea"/>
                                  <a:cs typeface="+mn-cs"/>
                                </a:rPr>
                              </m:ctrlPr>
                            </m:dPr>
                            <m:e>
                              <m:r>
                                <a:rPr lang="ru-RU" sz="2800" i="1">
                                  <a:solidFill>
                                    <a:schemeClr val="tx1"/>
                                  </a:solidFill>
                                  <a:effectLst/>
                                  <a:latin typeface="Cambria Math"/>
                                  <a:ea typeface="+mn-ea"/>
                                  <a:cs typeface="+mn-cs"/>
                                </a:rPr>
                                <m:t>1+</m:t>
                              </m:r>
                              <m:r>
                                <a:rPr lang="ru-RU" sz="2800" i="1">
                                  <a:solidFill>
                                    <a:schemeClr val="tx1"/>
                                  </a:solidFill>
                                  <a:effectLst/>
                                  <a:latin typeface="Cambria Math"/>
                                  <a:ea typeface="+mn-ea"/>
                                  <a:cs typeface="+mn-cs"/>
                                </a:rPr>
                                <m:t>𝑌𝑇𝑀</m:t>
                              </m:r>
                            </m:e>
                          </m:d>
                        </m:e>
                        <m:sup>
                          <m:r>
                            <a:rPr lang="ru-RU" sz="2800" i="1">
                              <a:solidFill>
                                <a:schemeClr val="tx1"/>
                              </a:solidFill>
                              <a:effectLst/>
                              <a:latin typeface="Cambria Math"/>
                              <a:ea typeface="+mn-ea"/>
                              <a:cs typeface="+mn-cs"/>
                            </a:rPr>
                            <m:t>2</m:t>
                          </m:r>
                        </m:sup>
                      </m:sSup>
                    </m:den>
                  </m:f>
                  <m:r>
                    <a:rPr lang="ru-RU" sz="2800" i="1">
                      <a:solidFill>
                        <a:schemeClr val="tx1"/>
                      </a:solidFill>
                      <a:effectLst/>
                      <a:latin typeface="Cambria Math"/>
                      <a:ea typeface="+mn-ea"/>
                      <a:cs typeface="+mn-cs"/>
                    </a:rPr>
                    <m:t>+</m:t>
                  </m:r>
                  <m:f>
                    <m:fPr>
                      <m:ctrlPr>
                        <a:rPr lang="ru-RU" sz="2800" i="1">
                          <a:solidFill>
                            <a:schemeClr val="tx1"/>
                          </a:solidFill>
                          <a:effectLst/>
                          <a:latin typeface="Cambria Math" panose="02040503050406030204" pitchFamily="18" charset="0"/>
                          <a:ea typeface="+mn-ea"/>
                          <a:cs typeface="+mn-cs"/>
                        </a:rPr>
                      </m:ctrlPr>
                    </m:fPr>
                    <m:num>
                      <m:r>
                        <a:rPr lang="ru-RU" sz="2800" b="0" i="1">
                          <a:solidFill>
                            <a:schemeClr val="tx1"/>
                          </a:solidFill>
                          <a:effectLst/>
                          <a:latin typeface="Cambria Math"/>
                          <a:ea typeface="+mn-ea"/>
                          <a:cs typeface="+mn-cs"/>
                        </a:rPr>
                        <m:t>100</m:t>
                      </m:r>
                    </m:num>
                    <m:den>
                      <m:sSup>
                        <m:sSupPr>
                          <m:ctrlPr>
                            <a:rPr lang="ru-RU" sz="2800" i="1">
                              <a:solidFill>
                                <a:schemeClr val="tx1"/>
                              </a:solidFill>
                              <a:effectLst/>
                              <a:latin typeface="Cambria Math" panose="02040503050406030204" pitchFamily="18" charset="0"/>
                              <a:ea typeface="+mn-ea"/>
                              <a:cs typeface="+mn-cs"/>
                            </a:rPr>
                          </m:ctrlPr>
                        </m:sSupPr>
                        <m:e>
                          <m:d>
                            <m:dPr>
                              <m:ctrlPr>
                                <a:rPr lang="ru-RU" sz="2800" i="1">
                                  <a:solidFill>
                                    <a:schemeClr val="tx1"/>
                                  </a:solidFill>
                                  <a:effectLst/>
                                  <a:latin typeface="Cambria Math" panose="02040503050406030204" pitchFamily="18" charset="0"/>
                                  <a:ea typeface="+mn-ea"/>
                                  <a:cs typeface="+mn-cs"/>
                                </a:rPr>
                              </m:ctrlPr>
                            </m:dPr>
                            <m:e>
                              <m:r>
                                <a:rPr lang="ru-RU" sz="2800" i="1">
                                  <a:solidFill>
                                    <a:schemeClr val="tx1"/>
                                  </a:solidFill>
                                  <a:effectLst/>
                                  <a:latin typeface="Cambria Math"/>
                                  <a:ea typeface="+mn-ea"/>
                                  <a:cs typeface="+mn-cs"/>
                                </a:rPr>
                                <m:t>1+</m:t>
                              </m:r>
                              <m:r>
                                <a:rPr lang="ru-RU" sz="2800" i="1">
                                  <a:solidFill>
                                    <a:schemeClr val="tx1"/>
                                  </a:solidFill>
                                  <a:effectLst/>
                                  <a:latin typeface="Cambria Math"/>
                                  <a:ea typeface="+mn-ea"/>
                                  <a:cs typeface="+mn-cs"/>
                                </a:rPr>
                                <m:t>𝑌𝑇𝑀</m:t>
                              </m:r>
                            </m:e>
                          </m:d>
                        </m:e>
                        <m:sup>
                          <m:r>
                            <a:rPr lang="ru-RU" sz="2800" b="0" i="1">
                              <a:solidFill>
                                <a:schemeClr val="tx1"/>
                              </a:solidFill>
                              <a:effectLst/>
                              <a:latin typeface="Cambria Math"/>
                              <a:ea typeface="+mn-ea"/>
                              <a:cs typeface="+mn-cs"/>
                            </a:rPr>
                            <m:t>3</m:t>
                          </m:r>
                        </m:sup>
                      </m:sSup>
                    </m:den>
                  </m:f>
                  <m:r>
                    <a:rPr lang="ru-RU" sz="2800" i="1">
                      <a:solidFill>
                        <a:schemeClr val="tx1"/>
                      </a:solidFill>
                      <a:effectLst/>
                      <a:latin typeface="Cambria Math"/>
                      <a:ea typeface="+mn-ea"/>
                      <a:cs typeface="+mn-cs"/>
                    </a:rPr>
                    <m:t>+</m:t>
                  </m:r>
                  <m:f>
                    <m:fPr>
                      <m:ctrlPr>
                        <a:rPr lang="ru-RU" sz="2800" i="1">
                          <a:solidFill>
                            <a:schemeClr val="tx1"/>
                          </a:solidFill>
                          <a:effectLst/>
                          <a:latin typeface="Cambria Math" panose="02040503050406030204" pitchFamily="18" charset="0"/>
                          <a:ea typeface="+mn-ea"/>
                          <a:cs typeface="+mn-cs"/>
                        </a:rPr>
                      </m:ctrlPr>
                    </m:fPr>
                    <m:num>
                      <m:r>
                        <a:rPr lang="ru-RU" sz="2800" b="0" i="1">
                          <a:solidFill>
                            <a:schemeClr val="tx1"/>
                          </a:solidFill>
                          <a:effectLst/>
                          <a:latin typeface="Cambria Math"/>
                          <a:ea typeface="+mn-ea"/>
                          <a:cs typeface="+mn-cs"/>
                        </a:rPr>
                        <m:t>100</m:t>
                      </m:r>
                    </m:num>
                    <m:den>
                      <m:sSup>
                        <m:sSupPr>
                          <m:ctrlPr>
                            <a:rPr lang="ru-RU" sz="2800" i="1">
                              <a:solidFill>
                                <a:schemeClr val="tx1"/>
                              </a:solidFill>
                              <a:effectLst/>
                              <a:latin typeface="Cambria Math" panose="02040503050406030204" pitchFamily="18" charset="0"/>
                              <a:ea typeface="+mn-ea"/>
                              <a:cs typeface="+mn-cs"/>
                            </a:rPr>
                          </m:ctrlPr>
                        </m:sSupPr>
                        <m:e>
                          <m:d>
                            <m:dPr>
                              <m:ctrlPr>
                                <a:rPr lang="ru-RU" sz="2800" i="1">
                                  <a:solidFill>
                                    <a:schemeClr val="tx1"/>
                                  </a:solidFill>
                                  <a:effectLst/>
                                  <a:latin typeface="Cambria Math" panose="02040503050406030204" pitchFamily="18" charset="0"/>
                                  <a:ea typeface="+mn-ea"/>
                                  <a:cs typeface="+mn-cs"/>
                                </a:rPr>
                              </m:ctrlPr>
                            </m:dPr>
                            <m:e>
                              <m:r>
                                <a:rPr lang="ru-RU" sz="2800" i="1">
                                  <a:solidFill>
                                    <a:schemeClr val="tx1"/>
                                  </a:solidFill>
                                  <a:effectLst/>
                                  <a:latin typeface="Cambria Math"/>
                                  <a:ea typeface="+mn-ea"/>
                                  <a:cs typeface="+mn-cs"/>
                                </a:rPr>
                                <m:t>1+</m:t>
                              </m:r>
                              <m:r>
                                <a:rPr lang="ru-RU" sz="2800" i="1">
                                  <a:solidFill>
                                    <a:schemeClr val="tx1"/>
                                  </a:solidFill>
                                  <a:effectLst/>
                                  <a:latin typeface="Cambria Math"/>
                                  <a:ea typeface="+mn-ea"/>
                                  <a:cs typeface="+mn-cs"/>
                                </a:rPr>
                                <m:t>𝑌𝑇𝑀</m:t>
                              </m:r>
                            </m:e>
                          </m:d>
                        </m:e>
                        <m:sup>
                          <m:r>
                            <a:rPr lang="ru-RU" sz="2800" b="0" i="1">
                              <a:solidFill>
                                <a:schemeClr val="tx1"/>
                              </a:solidFill>
                              <a:effectLst/>
                              <a:latin typeface="Cambria Math"/>
                              <a:ea typeface="+mn-ea"/>
                              <a:cs typeface="+mn-cs"/>
                            </a:rPr>
                            <m:t>4</m:t>
                          </m:r>
                        </m:sup>
                      </m:sSup>
                    </m:den>
                  </m:f>
                </m:oMath>
              </a14:m>
              <a:r>
                <a:rPr lang="ru-RU" sz="2800"/>
                <a:t>+</a:t>
              </a:r>
              <a14:m>
                <m:oMath xmlns:m="http://schemas.openxmlformats.org/officeDocument/2006/math">
                  <m:f>
                    <m:fPr>
                      <m:ctrlPr>
                        <a:rPr lang="ru-RU" sz="2800" i="1">
                          <a:solidFill>
                            <a:schemeClr val="tx1"/>
                          </a:solidFill>
                          <a:effectLst/>
                          <a:latin typeface="Cambria Math" panose="02040503050406030204" pitchFamily="18" charset="0"/>
                          <a:ea typeface="+mn-ea"/>
                          <a:cs typeface="+mn-cs"/>
                        </a:rPr>
                      </m:ctrlPr>
                    </m:fPr>
                    <m:num>
                      <m:r>
                        <a:rPr lang="ru-RU" sz="2800" b="0" i="1">
                          <a:solidFill>
                            <a:schemeClr val="tx1"/>
                          </a:solidFill>
                          <a:effectLst/>
                          <a:latin typeface="Cambria Math"/>
                          <a:ea typeface="+mn-ea"/>
                          <a:cs typeface="+mn-cs"/>
                        </a:rPr>
                        <m:t>100+1000</m:t>
                      </m:r>
                    </m:num>
                    <m:den>
                      <m:sSup>
                        <m:sSupPr>
                          <m:ctrlPr>
                            <a:rPr lang="ru-RU" sz="2800" i="1">
                              <a:solidFill>
                                <a:schemeClr val="tx1"/>
                              </a:solidFill>
                              <a:effectLst/>
                              <a:latin typeface="Cambria Math" panose="02040503050406030204" pitchFamily="18" charset="0"/>
                              <a:ea typeface="+mn-ea"/>
                              <a:cs typeface="+mn-cs"/>
                            </a:rPr>
                          </m:ctrlPr>
                        </m:sSupPr>
                        <m:e>
                          <m:d>
                            <m:dPr>
                              <m:ctrlPr>
                                <a:rPr lang="ru-RU" sz="2800" i="1">
                                  <a:solidFill>
                                    <a:schemeClr val="tx1"/>
                                  </a:solidFill>
                                  <a:effectLst/>
                                  <a:latin typeface="Cambria Math" panose="02040503050406030204" pitchFamily="18" charset="0"/>
                                  <a:ea typeface="+mn-ea"/>
                                  <a:cs typeface="+mn-cs"/>
                                </a:rPr>
                              </m:ctrlPr>
                            </m:dPr>
                            <m:e>
                              <m:r>
                                <a:rPr lang="ru-RU" sz="2800" i="1">
                                  <a:solidFill>
                                    <a:schemeClr val="tx1"/>
                                  </a:solidFill>
                                  <a:effectLst/>
                                  <a:latin typeface="Cambria Math"/>
                                  <a:ea typeface="+mn-ea"/>
                                  <a:cs typeface="+mn-cs"/>
                                </a:rPr>
                                <m:t>1+</m:t>
                              </m:r>
                              <m:r>
                                <a:rPr lang="ru-RU" sz="2800" i="1">
                                  <a:solidFill>
                                    <a:schemeClr val="tx1"/>
                                  </a:solidFill>
                                  <a:effectLst/>
                                  <a:latin typeface="Cambria Math"/>
                                  <a:ea typeface="+mn-ea"/>
                                  <a:cs typeface="+mn-cs"/>
                                </a:rPr>
                                <m:t>𝑌𝑇𝑀</m:t>
                              </m:r>
                            </m:e>
                          </m:d>
                        </m:e>
                        <m:sup>
                          <m:r>
                            <a:rPr lang="ru-RU" sz="2800" b="0" i="1">
                              <a:solidFill>
                                <a:schemeClr val="tx1"/>
                              </a:solidFill>
                              <a:effectLst/>
                              <a:latin typeface="Cambria Math"/>
                              <a:ea typeface="+mn-ea"/>
                              <a:cs typeface="+mn-cs"/>
                            </a:rPr>
                            <m:t>5</m:t>
                          </m:r>
                        </m:sup>
                      </m:sSup>
                    </m:den>
                  </m:f>
                </m:oMath>
              </a14:m>
              <a:endParaRPr lang="ru-RU" sz="2800"/>
            </a:p>
          </xdr:txBody>
        </xdr:sp>
      </mc:Choice>
      <mc:Fallback xmlns="">
        <xdr:sp macro="" textlink="">
          <xdr:nvSpPr>
            <xdr:cNvPr id="2" name="TextBox 1">
              <a:extLst>
                <a:ext uri="{FF2B5EF4-FFF2-40B4-BE49-F238E27FC236}">
                  <a16:creationId xmlns:a16="http://schemas.microsoft.com/office/drawing/2014/main" id="{272B1794-E1E0-4586-A7F2-8A6D4DD275C0}"/>
                </a:ext>
              </a:extLst>
            </xdr:cNvPr>
            <xdr:cNvSpPr txBox="1"/>
          </xdr:nvSpPr>
          <xdr:spPr>
            <a:xfrm>
              <a:off x="1539332" y="3084724"/>
              <a:ext cx="11640670" cy="748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2800" b="0" i="0">
                  <a:solidFill>
                    <a:schemeClr val="tx1"/>
                  </a:solidFill>
                  <a:effectLst/>
                  <a:latin typeface="Cambria Math"/>
                  <a:ea typeface="+mn-ea"/>
                  <a:cs typeface="+mn-cs"/>
                </a:rPr>
                <a:t>960</a:t>
              </a:r>
              <a:r>
                <a:rPr lang="ru-RU" sz="2800" i="0">
                  <a:solidFill>
                    <a:schemeClr val="tx1"/>
                  </a:solidFill>
                  <a:effectLst/>
                  <a:latin typeface="Cambria Math"/>
                  <a:ea typeface="+mn-ea"/>
                  <a:cs typeface="+mn-cs"/>
                </a:rPr>
                <a:t>= </a:t>
              </a:r>
              <a:r>
                <a:rPr lang="ru-RU" sz="2800" b="0" i="0">
                  <a:solidFill>
                    <a:schemeClr val="tx1"/>
                  </a:solidFill>
                  <a:effectLst/>
                  <a:latin typeface="Cambria Math"/>
                  <a:ea typeface="+mn-ea"/>
                  <a:cs typeface="+mn-cs"/>
                </a:rPr>
                <a:t> 100</a:t>
              </a:r>
              <a:r>
                <a:rPr lang="ru-RU" sz="2800" b="0" i="0">
                  <a:solidFill>
                    <a:schemeClr val="tx1"/>
                  </a:solidFill>
                  <a:effectLst/>
                  <a:latin typeface="Cambria Math" panose="02040503050406030204" pitchFamily="18" charset="0"/>
                  <a:ea typeface="+mn-ea"/>
                  <a:cs typeface="+mn-cs"/>
                </a:rPr>
                <a:t>/(</a:t>
              </a:r>
              <a:r>
                <a:rPr lang="ru-RU" sz="2800" i="0">
                  <a:solidFill>
                    <a:schemeClr val="tx1"/>
                  </a:solidFill>
                  <a:effectLst/>
                  <a:latin typeface="Cambria Math"/>
                  <a:ea typeface="+mn-ea"/>
                  <a:cs typeface="+mn-cs"/>
                </a:rPr>
                <a:t>1+𝑌𝑇𝑀</a:t>
              </a:r>
              <a:r>
                <a:rPr lang="ru-RU" sz="2800" i="0">
                  <a:solidFill>
                    <a:schemeClr val="tx1"/>
                  </a:solidFill>
                  <a:effectLst/>
                  <a:latin typeface="Cambria Math" panose="02040503050406030204" pitchFamily="18" charset="0"/>
                  <a:ea typeface="+mn-ea"/>
                  <a:cs typeface="+mn-cs"/>
                </a:rPr>
                <a:t>)^</a:t>
              </a:r>
              <a:r>
                <a:rPr lang="ru-RU" sz="2800" i="0">
                  <a:solidFill>
                    <a:schemeClr val="tx1"/>
                  </a:solidFill>
                  <a:effectLst/>
                  <a:latin typeface="Cambria Math"/>
                  <a:ea typeface="+mn-ea"/>
                  <a:cs typeface="+mn-cs"/>
                </a:rPr>
                <a:t>1</a:t>
              </a:r>
              <a:r>
                <a:rPr lang="ru-RU" sz="2800" i="0">
                  <a:solidFill>
                    <a:schemeClr val="tx1"/>
                  </a:solidFill>
                  <a:effectLst/>
                  <a:latin typeface="Cambria Math" panose="02040503050406030204" pitchFamily="18" charset="0"/>
                  <a:ea typeface="+mn-ea"/>
                  <a:cs typeface="+mn-cs"/>
                </a:rPr>
                <a:t> </a:t>
              </a:r>
              <a:r>
                <a:rPr lang="ru-RU" sz="2800" i="0">
                  <a:solidFill>
                    <a:schemeClr val="tx1"/>
                  </a:solidFill>
                  <a:effectLst/>
                  <a:latin typeface="Cambria Math"/>
                  <a:ea typeface="+mn-ea"/>
                  <a:cs typeface="+mn-cs"/>
                </a:rPr>
                <a:t>+</a:t>
              </a:r>
              <a:r>
                <a:rPr lang="ru-RU" sz="2800" b="0" i="0">
                  <a:solidFill>
                    <a:schemeClr val="tx1"/>
                  </a:solidFill>
                  <a:effectLst/>
                  <a:latin typeface="Cambria Math"/>
                  <a:ea typeface="+mn-ea"/>
                  <a:cs typeface="+mn-cs"/>
                </a:rPr>
                <a:t>100</a:t>
              </a:r>
              <a:r>
                <a:rPr lang="ru-RU" sz="2800" b="0" i="0">
                  <a:solidFill>
                    <a:schemeClr val="tx1"/>
                  </a:solidFill>
                  <a:effectLst/>
                  <a:latin typeface="Cambria Math" panose="02040503050406030204" pitchFamily="18" charset="0"/>
                  <a:ea typeface="+mn-ea"/>
                  <a:cs typeface="+mn-cs"/>
                </a:rPr>
                <a:t>/(</a:t>
              </a:r>
              <a:r>
                <a:rPr lang="ru-RU" sz="2800" i="0">
                  <a:solidFill>
                    <a:schemeClr val="tx1"/>
                  </a:solidFill>
                  <a:effectLst/>
                  <a:latin typeface="Cambria Math"/>
                  <a:ea typeface="+mn-ea"/>
                  <a:cs typeface="+mn-cs"/>
                </a:rPr>
                <a:t>1+𝑌𝑇𝑀</a:t>
              </a:r>
              <a:r>
                <a:rPr lang="ru-RU" sz="2800" i="0">
                  <a:solidFill>
                    <a:schemeClr val="tx1"/>
                  </a:solidFill>
                  <a:effectLst/>
                  <a:latin typeface="Cambria Math" panose="02040503050406030204" pitchFamily="18" charset="0"/>
                  <a:ea typeface="+mn-ea"/>
                  <a:cs typeface="+mn-cs"/>
                </a:rPr>
                <a:t>)^</a:t>
              </a:r>
              <a:r>
                <a:rPr lang="ru-RU" sz="2800" i="0">
                  <a:solidFill>
                    <a:schemeClr val="tx1"/>
                  </a:solidFill>
                  <a:effectLst/>
                  <a:latin typeface="Cambria Math"/>
                  <a:ea typeface="+mn-ea"/>
                  <a:cs typeface="+mn-cs"/>
                </a:rPr>
                <a:t>2</a:t>
              </a:r>
              <a:r>
                <a:rPr lang="ru-RU" sz="2800" i="0">
                  <a:solidFill>
                    <a:schemeClr val="tx1"/>
                  </a:solidFill>
                  <a:effectLst/>
                  <a:latin typeface="Cambria Math" panose="02040503050406030204" pitchFamily="18" charset="0"/>
                  <a:ea typeface="+mn-ea"/>
                  <a:cs typeface="+mn-cs"/>
                </a:rPr>
                <a:t> </a:t>
              </a:r>
              <a:r>
                <a:rPr lang="ru-RU" sz="2800" i="0">
                  <a:solidFill>
                    <a:schemeClr val="tx1"/>
                  </a:solidFill>
                  <a:effectLst/>
                  <a:latin typeface="Cambria Math"/>
                  <a:ea typeface="+mn-ea"/>
                  <a:cs typeface="+mn-cs"/>
                </a:rPr>
                <a:t>+</a:t>
              </a:r>
              <a:r>
                <a:rPr lang="ru-RU" sz="2800" b="0" i="0">
                  <a:solidFill>
                    <a:schemeClr val="tx1"/>
                  </a:solidFill>
                  <a:effectLst/>
                  <a:latin typeface="Cambria Math"/>
                  <a:ea typeface="+mn-ea"/>
                  <a:cs typeface="+mn-cs"/>
                </a:rPr>
                <a:t>100</a:t>
              </a:r>
              <a:r>
                <a:rPr lang="ru-RU" sz="2800" b="0" i="0">
                  <a:solidFill>
                    <a:schemeClr val="tx1"/>
                  </a:solidFill>
                  <a:effectLst/>
                  <a:latin typeface="Cambria Math" panose="02040503050406030204" pitchFamily="18" charset="0"/>
                  <a:ea typeface="+mn-ea"/>
                  <a:cs typeface="+mn-cs"/>
                </a:rPr>
                <a:t>/(</a:t>
              </a:r>
              <a:r>
                <a:rPr lang="ru-RU" sz="2800" i="0">
                  <a:solidFill>
                    <a:schemeClr val="tx1"/>
                  </a:solidFill>
                  <a:effectLst/>
                  <a:latin typeface="Cambria Math"/>
                  <a:ea typeface="+mn-ea"/>
                  <a:cs typeface="+mn-cs"/>
                </a:rPr>
                <a:t>1+𝑌𝑇𝑀</a:t>
              </a:r>
              <a:r>
                <a:rPr lang="ru-RU" sz="2800" i="0">
                  <a:solidFill>
                    <a:schemeClr val="tx1"/>
                  </a:solidFill>
                  <a:effectLst/>
                  <a:latin typeface="Cambria Math" panose="02040503050406030204" pitchFamily="18" charset="0"/>
                  <a:ea typeface="+mn-ea"/>
                  <a:cs typeface="+mn-cs"/>
                </a:rPr>
                <a:t>)^</a:t>
              </a:r>
              <a:r>
                <a:rPr lang="ru-RU" sz="2800" b="0" i="0">
                  <a:solidFill>
                    <a:schemeClr val="tx1"/>
                  </a:solidFill>
                  <a:effectLst/>
                  <a:latin typeface="Cambria Math"/>
                  <a:ea typeface="+mn-ea"/>
                  <a:cs typeface="+mn-cs"/>
                </a:rPr>
                <a:t>3</a:t>
              </a:r>
              <a:r>
                <a:rPr lang="ru-RU" sz="2800" b="0" i="0">
                  <a:solidFill>
                    <a:schemeClr val="tx1"/>
                  </a:solidFill>
                  <a:effectLst/>
                  <a:latin typeface="Cambria Math" panose="02040503050406030204" pitchFamily="18" charset="0"/>
                  <a:ea typeface="+mn-ea"/>
                  <a:cs typeface="+mn-cs"/>
                </a:rPr>
                <a:t> </a:t>
              </a:r>
              <a:r>
                <a:rPr lang="ru-RU" sz="2800" i="0">
                  <a:solidFill>
                    <a:schemeClr val="tx1"/>
                  </a:solidFill>
                  <a:effectLst/>
                  <a:latin typeface="Cambria Math"/>
                  <a:ea typeface="+mn-ea"/>
                  <a:cs typeface="+mn-cs"/>
                </a:rPr>
                <a:t>+</a:t>
              </a:r>
              <a:r>
                <a:rPr lang="ru-RU" sz="2800" b="0" i="0">
                  <a:solidFill>
                    <a:schemeClr val="tx1"/>
                  </a:solidFill>
                  <a:effectLst/>
                  <a:latin typeface="Cambria Math"/>
                  <a:ea typeface="+mn-ea"/>
                  <a:cs typeface="+mn-cs"/>
                </a:rPr>
                <a:t>100</a:t>
              </a:r>
              <a:r>
                <a:rPr lang="ru-RU" sz="2800" b="0" i="0">
                  <a:solidFill>
                    <a:schemeClr val="tx1"/>
                  </a:solidFill>
                  <a:effectLst/>
                  <a:latin typeface="Cambria Math" panose="02040503050406030204" pitchFamily="18" charset="0"/>
                  <a:ea typeface="+mn-ea"/>
                  <a:cs typeface="+mn-cs"/>
                </a:rPr>
                <a:t>/(</a:t>
              </a:r>
              <a:r>
                <a:rPr lang="ru-RU" sz="2800" i="0">
                  <a:solidFill>
                    <a:schemeClr val="tx1"/>
                  </a:solidFill>
                  <a:effectLst/>
                  <a:latin typeface="Cambria Math"/>
                  <a:ea typeface="+mn-ea"/>
                  <a:cs typeface="+mn-cs"/>
                </a:rPr>
                <a:t>1+𝑌𝑇𝑀</a:t>
              </a:r>
              <a:r>
                <a:rPr lang="ru-RU" sz="2800" i="0">
                  <a:solidFill>
                    <a:schemeClr val="tx1"/>
                  </a:solidFill>
                  <a:effectLst/>
                  <a:latin typeface="Cambria Math" panose="02040503050406030204" pitchFamily="18" charset="0"/>
                  <a:ea typeface="+mn-ea"/>
                  <a:cs typeface="+mn-cs"/>
                </a:rPr>
                <a:t>)^</a:t>
              </a:r>
              <a:r>
                <a:rPr lang="ru-RU" sz="2800" b="0" i="0">
                  <a:solidFill>
                    <a:schemeClr val="tx1"/>
                  </a:solidFill>
                  <a:effectLst/>
                  <a:latin typeface="Cambria Math"/>
                  <a:ea typeface="+mn-ea"/>
                  <a:cs typeface="+mn-cs"/>
                </a:rPr>
                <a:t>4</a:t>
              </a:r>
              <a:r>
                <a:rPr lang="ru-RU" sz="2800" b="0" i="0">
                  <a:solidFill>
                    <a:schemeClr val="tx1"/>
                  </a:solidFill>
                  <a:effectLst/>
                  <a:latin typeface="Cambria Math" panose="02040503050406030204" pitchFamily="18" charset="0"/>
                  <a:ea typeface="+mn-ea"/>
                  <a:cs typeface="+mn-cs"/>
                </a:rPr>
                <a:t> </a:t>
              </a:r>
              <a:r>
                <a:rPr lang="ru-RU" sz="2800"/>
                <a:t>+</a:t>
              </a:r>
              <a:r>
                <a:rPr lang="ru-RU" sz="2800" i="0">
                  <a:solidFill>
                    <a:schemeClr val="tx1"/>
                  </a:solidFill>
                  <a:effectLst/>
                  <a:latin typeface="Cambria Math" panose="02040503050406030204" pitchFamily="18" charset="0"/>
                  <a:ea typeface="+mn-ea"/>
                  <a:cs typeface="+mn-cs"/>
                </a:rPr>
                <a:t>(</a:t>
              </a:r>
              <a:r>
                <a:rPr lang="ru-RU" sz="2800" b="0" i="0">
                  <a:solidFill>
                    <a:schemeClr val="tx1"/>
                  </a:solidFill>
                  <a:effectLst/>
                  <a:latin typeface="Cambria Math"/>
                  <a:ea typeface="+mn-ea"/>
                  <a:cs typeface="+mn-cs"/>
                </a:rPr>
                <a:t>100+1000</a:t>
              </a:r>
              <a:r>
                <a:rPr lang="ru-RU" sz="2800" b="0" i="0">
                  <a:solidFill>
                    <a:schemeClr val="tx1"/>
                  </a:solidFill>
                  <a:effectLst/>
                  <a:latin typeface="Cambria Math" panose="02040503050406030204" pitchFamily="18" charset="0"/>
                  <a:ea typeface="+mn-ea"/>
                  <a:cs typeface="+mn-cs"/>
                </a:rPr>
                <a:t>)/(</a:t>
              </a:r>
              <a:r>
                <a:rPr lang="ru-RU" sz="2800" i="0">
                  <a:solidFill>
                    <a:schemeClr val="tx1"/>
                  </a:solidFill>
                  <a:effectLst/>
                  <a:latin typeface="Cambria Math"/>
                  <a:ea typeface="+mn-ea"/>
                  <a:cs typeface="+mn-cs"/>
                </a:rPr>
                <a:t>1+𝑌𝑇𝑀</a:t>
              </a:r>
              <a:r>
                <a:rPr lang="ru-RU" sz="2800" i="0">
                  <a:solidFill>
                    <a:schemeClr val="tx1"/>
                  </a:solidFill>
                  <a:effectLst/>
                  <a:latin typeface="Cambria Math" panose="02040503050406030204" pitchFamily="18" charset="0"/>
                  <a:ea typeface="+mn-ea"/>
                  <a:cs typeface="+mn-cs"/>
                </a:rPr>
                <a:t>)^</a:t>
              </a:r>
              <a:r>
                <a:rPr lang="ru-RU" sz="2800" b="0" i="0">
                  <a:solidFill>
                    <a:schemeClr val="tx1"/>
                  </a:solidFill>
                  <a:effectLst/>
                  <a:latin typeface="Cambria Math"/>
                  <a:ea typeface="+mn-ea"/>
                  <a:cs typeface="+mn-cs"/>
                </a:rPr>
                <a:t>5</a:t>
              </a:r>
              <a:r>
                <a:rPr lang="ru-RU"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4</xdr:col>
      <xdr:colOff>815787</xdr:colOff>
      <xdr:row>45</xdr:row>
      <xdr:rowOff>160242</xdr:rowOff>
    </xdr:from>
    <xdr:ext cx="4334436" cy="647701"/>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7E1EFEF-8A82-4669-A094-46CC116F14EA}"/>
                </a:ext>
              </a:extLst>
            </xdr:cNvPr>
            <xdr:cNvSpPr txBox="1"/>
          </xdr:nvSpPr>
          <xdr:spPr>
            <a:xfrm>
              <a:off x="3854262" y="8732742"/>
              <a:ext cx="4334436" cy="647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3200" i="1">
                        <a:solidFill>
                          <a:schemeClr val="tx1"/>
                        </a:solidFill>
                        <a:effectLst/>
                        <a:latin typeface="Cambria Math"/>
                        <a:ea typeface="+mn-ea"/>
                        <a:cs typeface="+mn-cs"/>
                      </a:rPr>
                      <m:t>𝐵𝐸𝑌</m:t>
                    </m:r>
                    <m:r>
                      <a:rPr lang="en-US" sz="3200" i="1">
                        <a:solidFill>
                          <a:schemeClr val="tx1"/>
                        </a:solidFill>
                        <a:effectLst/>
                        <a:latin typeface="Cambria Math"/>
                        <a:ea typeface="+mn-ea"/>
                        <a:cs typeface="+mn-cs"/>
                      </a:rPr>
                      <m:t>=</m:t>
                    </m:r>
                    <m:r>
                      <a:rPr lang="en-US" sz="3200" i="1">
                        <a:solidFill>
                          <a:schemeClr val="tx1"/>
                        </a:solidFill>
                        <a:effectLst/>
                        <a:latin typeface="Cambria Math"/>
                        <a:ea typeface="+mn-ea"/>
                        <a:cs typeface="+mn-cs"/>
                      </a:rPr>
                      <m:t>𝑌𝑇𝑀</m:t>
                    </m:r>
                    <m:r>
                      <a:rPr lang="en-US" sz="3200" i="1">
                        <a:solidFill>
                          <a:schemeClr val="tx1"/>
                        </a:solidFill>
                        <a:effectLst/>
                        <a:latin typeface="Cambria Math"/>
                        <a:ea typeface="+mn-ea"/>
                        <a:cs typeface="+mn-cs"/>
                      </a:rPr>
                      <m:t>∗</m:t>
                    </m:r>
                    <m:r>
                      <a:rPr lang="en-US" sz="3200" i="1">
                        <a:solidFill>
                          <a:schemeClr val="tx1"/>
                        </a:solidFill>
                        <a:effectLst/>
                        <a:latin typeface="Cambria Math"/>
                        <a:ea typeface="+mn-ea"/>
                        <a:cs typeface="+mn-cs"/>
                      </a:rPr>
                      <m:t>𝑛</m:t>
                    </m:r>
                  </m:oMath>
                </m:oMathPara>
              </a14:m>
              <a:endParaRPr lang="ru-RU" sz="3200">
                <a:effectLst/>
              </a:endParaRPr>
            </a:p>
            <a:p>
              <a:endParaRPr lang="ru-RU" sz="1100"/>
            </a:p>
          </xdr:txBody>
        </xdr:sp>
      </mc:Choice>
      <mc:Fallback xmlns="">
        <xdr:sp macro="" textlink="">
          <xdr:nvSpPr>
            <xdr:cNvPr id="3" name="TextBox 2">
              <a:extLst>
                <a:ext uri="{FF2B5EF4-FFF2-40B4-BE49-F238E27FC236}">
                  <a16:creationId xmlns:a16="http://schemas.microsoft.com/office/drawing/2014/main" id="{67E1EFEF-8A82-4669-A094-46CC116F14EA}"/>
                </a:ext>
              </a:extLst>
            </xdr:cNvPr>
            <xdr:cNvSpPr txBox="1"/>
          </xdr:nvSpPr>
          <xdr:spPr>
            <a:xfrm>
              <a:off x="3854262" y="8732742"/>
              <a:ext cx="4334436" cy="647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en-US" sz="3200" i="0">
                  <a:solidFill>
                    <a:schemeClr val="tx1"/>
                  </a:solidFill>
                  <a:effectLst/>
                  <a:latin typeface="Cambria Math"/>
                  <a:ea typeface="+mn-ea"/>
                  <a:cs typeface="+mn-cs"/>
                </a:rPr>
                <a:t>𝐵𝐸𝑌=𝑌𝑇𝑀∗𝑛</a:t>
              </a:r>
              <a:endParaRPr lang="ru-RU" sz="3200">
                <a:effectLst/>
              </a:endParaRPr>
            </a:p>
            <a:p>
              <a:endParaRPr lang="ru-RU" sz="1100"/>
            </a:p>
          </xdr:txBody>
        </xdr:sp>
      </mc:Fallback>
    </mc:AlternateContent>
    <xdr:clientData/>
  </xdr:oneCellAnchor>
  <xdr:oneCellAnchor>
    <xdr:from>
      <xdr:col>4</xdr:col>
      <xdr:colOff>237564</xdr:colOff>
      <xdr:row>48</xdr:row>
      <xdr:rowOff>13445</xdr:rowOff>
    </xdr:from>
    <xdr:ext cx="4334436" cy="647701"/>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EBF046D-53A7-4AD5-8DA2-EF3B2995F381}"/>
                </a:ext>
              </a:extLst>
            </xdr:cNvPr>
            <xdr:cNvSpPr txBox="1"/>
          </xdr:nvSpPr>
          <xdr:spPr>
            <a:xfrm>
              <a:off x="3323664" y="9157445"/>
              <a:ext cx="4334436" cy="647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eaLnBrk="1" latinLnBrk="0" hangingPunct="1"/>
              <a14:m>
                <m:oMathPara xmlns:m="http://schemas.openxmlformats.org/officeDocument/2006/math">
                  <m:oMathParaPr>
                    <m:jc m:val="centerGroup"/>
                  </m:oMathParaPr>
                  <m:oMath xmlns:m="http://schemas.openxmlformats.org/officeDocument/2006/math">
                    <m:r>
                      <a:rPr lang="en-US" sz="3200" i="1">
                        <a:solidFill>
                          <a:schemeClr val="tx1"/>
                        </a:solidFill>
                        <a:effectLst/>
                        <a:latin typeface="Cambria Math"/>
                        <a:ea typeface="+mn-ea"/>
                        <a:cs typeface="+mn-cs"/>
                      </a:rPr>
                      <m:t>𝐸𝐴𝑌</m:t>
                    </m:r>
                    <m:r>
                      <a:rPr lang="en-US" sz="3200" i="1">
                        <a:solidFill>
                          <a:schemeClr val="tx1"/>
                        </a:solidFill>
                        <a:effectLst/>
                        <a:latin typeface="Cambria Math"/>
                        <a:ea typeface="+mn-ea"/>
                        <a:cs typeface="+mn-cs"/>
                      </a:rPr>
                      <m:t>=</m:t>
                    </m:r>
                    <m:sSup>
                      <m:sSupPr>
                        <m:ctrlPr>
                          <a:rPr lang="ru-RU" sz="3200" i="1">
                            <a:solidFill>
                              <a:schemeClr val="tx1"/>
                            </a:solidFill>
                            <a:effectLst/>
                            <a:latin typeface="Cambria Math" panose="02040503050406030204" pitchFamily="18" charset="0"/>
                            <a:ea typeface="+mn-ea"/>
                            <a:cs typeface="+mn-cs"/>
                          </a:rPr>
                        </m:ctrlPr>
                      </m:sSupPr>
                      <m:e>
                        <m:d>
                          <m:dPr>
                            <m:ctrlPr>
                              <a:rPr lang="ru-RU" sz="3200" i="1">
                                <a:solidFill>
                                  <a:schemeClr val="tx1"/>
                                </a:solidFill>
                                <a:effectLst/>
                                <a:latin typeface="Cambria Math" panose="02040503050406030204" pitchFamily="18" charset="0"/>
                                <a:ea typeface="+mn-ea"/>
                                <a:cs typeface="+mn-cs"/>
                              </a:rPr>
                            </m:ctrlPr>
                          </m:dPr>
                          <m:e>
                            <m:r>
                              <a:rPr lang="en-US" sz="3200" i="1">
                                <a:solidFill>
                                  <a:schemeClr val="tx1"/>
                                </a:solidFill>
                                <a:effectLst/>
                                <a:latin typeface="Cambria Math"/>
                                <a:ea typeface="+mn-ea"/>
                                <a:cs typeface="+mn-cs"/>
                              </a:rPr>
                              <m:t>1+</m:t>
                            </m:r>
                            <m:r>
                              <a:rPr lang="en-US" sz="3200" b="0" i="1">
                                <a:solidFill>
                                  <a:schemeClr val="tx1"/>
                                </a:solidFill>
                                <a:effectLst/>
                                <a:latin typeface="Cambria Math"/>
                                <a:ea typeface="+mn-ea"/>
                                <a:cs typeface="+mn-cs"/>
                              </a:rPr>
                              <m:t>𝑌𝑇𝑀</m:t>
                            </m:r>
                          </m:e>
                        </m:d>
                      </m:e>
                      <m:sup>
                        <m:r>
                          <a:rPr lang="en-US" sz="3200" i="1">
                            <a:solidFill>
                              <a:schemeClr val="tx1"/>
                            </a:solidFill>
                            <a:effectLst/>
                            <a:latin typeface="Cambria Math"/>
                            <a:ea typeface="+mn-ea"/>
                            <a:cs typeface="+mn-cs"/>
                          </a:rPr>
                          <m:t>𝑛</m:t>
                        </m:r>
                      </m:sup>
                    </m:sSup>
                    <m:r>
                      <a:rPr lang="en-US" sz="3200" i="1">
                        <a:solidFill>
                          <a:schemeClr val="tx1"/>
                        </a:solidFill>
                        <a:effectLst/>
                        <a:latin typeface="Cambria Math"/>
                        <a:ea typeface="+mn-ea"/>
                        <a:cs typeface="+mn-cs"/>
                      </a:rPr>
                      <m:t>−1</m:t>
                    </m:r>
                  </m:oMath>
                </m:oMathPara>
              </a14:m>
              <a:endParaRPr lang="ru-RU" sz="3200">
                <a:effectLst/>
              </a:endParaRPr>
            </a:p>
          </xdr:txBody>
        </xdr:sp>
      </mc:Choice>
      <mc:Fallback xmlns="">
        <xdr:sp macro="" textlink="">
          <xdr:nvSpPr>
            <xdr:cNvPr id="4" name="TextBox 3">
              <a:extLst>
                <a:ext uri="{FF2B5EF4-FFF2-40B4-BE49-F238E27FC236}">
                  <a16:creationId xmlns:a16="http://schemas.microsoft.com/office/drawing/2014/main" id="{4EBF046D-53A7-4AD5-8DA2-EF3B2995F381}"/>
                </a:ext>
              </a:extLst>
            </xdr:cNvPr>
            <xdr:cNvSpPr txBox="1"/>
          </xdr:nvSpPr>
          <xdr:spPr>
            <a:xfrm>
              <a:off x="3323664" y="9157445"/>
              <a:ext cx="4334436" cy="647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eaLnBrk="1" latinLnBrk="0" hangingPunct="1"/>
              <a:r>
                <a:rPr lang="en-US" sz="3200" i="0">
                  <a:solidFill>
                    <a:schemeClr val="tx1"/>
                  </a:solidFill>
                  <a:effectLst/>
                  <a:latin typeface="Cambria Math"/>
                  <a:ea typeface="+mn-ea"/>
                  <a:cs typeface="+mn-cs"/>
                </a:rPr>
                <a:t>𝐸𝐴𝑌=</a:t>
              </a:r>
              <a:r>
                <a:rPr lang="ru-RU" sz="3200" i="0">
                  <a:solidFill>
                    <a:schemeClr val="tx1"/>
                  </a:solidFill>
                  <a:effectLst/>
                  <a:latin typeface="Cambria Math" panose="02040503050406030204" pitchFamily="18" charset="0"/>
                  <a:ea typeface="+mn-ea"/>
                  <a:cs typeface="+mn-cs"/>
                </a:rPr>
                <a:t>(</a:t>
              </a:r>
              <a:r>
                <a:rPr lang="en-US" sz="3200" i="0">
                  <a:solidFill>
                    <a:schemeClr val="tx1"/>
                  </a:solidFill>
                  <a:effectLst/>
                  <a:latin typeface="Cambria Math"/>
                  <a:ea typeface="+mn-ea"/>
                  <a:cs typeface="+mn-cs"/>
                </a:rPr>
                <a:t>1+</a:t>
              </a:r>
              <a:r>
                <a:rPr lang="en-US" sz="3200" b="0" i="0">
                  <a:solidFill>
                    <a:schemeClr val="tx1"/>
                  </a:solidFill>
                  <a:effectLst/>
                  <a:latin typeface="Cambria Math"/>
                  <a:ea typeface="+mn-ea"/>
                  <a:cs typeface="+mn-cs"/>
                </a:rPr>
                <a:t>𝑌𝑇𝑀</a:t>
              </a:r>
              <a:r>
                <a:rPr lang="en-US" sz="3200" b="0" i="0">
                  <a:solidFill>
                    <a:schemeClr val="tx1"/>
                  </a:solidFill>
                  <a:effectLst/>
                  <a:latin typeface="Cambria Math" panose="02040503050406030204" pitchFamily="18" charset="0"/>
                  <a:ea typeface="+mn-ea"/>
                  <a:cs typeface="+mn-cs"/>
                </a:rPr>
                <a:t>)</a:t>
              </a:r>
              <a:r>
                <a:rPr lang="ru-RU" sz="3200" b="0" i="0">
                  <a:solidFill>
                    <a:schemeClr val="tx1"/>
                  </a:solidFill>
                  <a:effectLst/>
                  <a:latin typeface="Cambria Math" panose="02040503050406030204" pitchFamily="18" charset="0"/>
                  <a:ea typeface="+mn-ea"/>
                  <a:cs typeface="+mn-cs"/>
                </a:rPr>
                <a:t>^</a:t>
              </a:r>
              <a:r>
                <a:rPr lang="en-US" sz="3200" i="0">
                  <a:solidFill>
                    <a:schemeClr val="tx1"/>
                  </a:solidFill>
                  <a:effectLst/>
                  <a:latin typeface="Cambria Math"/>
                  <a:ea typeface="+mn-ea"/>
                  <a:cs typeface="+mn-cs"/>
                </a:rPr>
                <a:t>𝑛−1</a:t>
              </a:r>
              <a:endParaRPr lang="ru-RU" sz="3200">
                <a:effectLst/>
              </a:endParaRPr>
            </a:p>
          </xdr:txBody>
        </xdr:sp>
      </mc:Fallback>
    </mc:AlternateContent>
    <xdr:clientData/>
  </xdr:oneCellAnchor>
  <xdr:oneCellAnchor>
    <xdr:from>
      <xdr:col>4</xdr:col>
      <xdr:colOff>80680</xdr:colOff>
      <xdr:row>51</xdr:row>
      <xdr:rowOff>13445</xdr:rowOff>
    </xdr:from>
    <xdr:ext cx="4984377" cy="647701"/>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5DBD202E-E237-4F91-ACA4-66C067E401AF}"/>
                </a:ext>
              </a:extLst>
            </xdr:cNvPr>
            <xdr:cNvSpPr txBox="1"/>
          </xdr:nvSpPr>
          <xdr:spPr>
            <a:xfrm>
              <a:off x="3166780" y="9728945"/>
              <a:ext cx="4984377" cy="647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eaLnBrk="1" latinLnBrk="0" hangingPunct="1"/>
              <a14:m>
                <m:oMathPara xmlns:m="http://schemas.openxmlformats.org/officeDocument/2006/math">
                  <m:oMathParaPr>
                    <m:jc m:val="centerGroup"/>
                  </m:oMathParaPr>
                  <m:oMath xmlns:m="http://schemas.openxmlformats.org/officeDocument/2006/math">
                    <m:r>
                      <a:rPr lang="en-US" sz="3200" i="1">
                        <a:solidFill>
                          <a:schemeClr val="tx1"/>
                        </a:solidFill>
                        <a:effectLst/>
                        <a:latin typeface="Cambria Math"/>
                        <a:ea typeface="+mn-ea"/>
                        <a:cs typeface="+mn-cs"/>
                      </a:rPr>
                      <m:t>𝐸𝐴𝑌</m:t>
                    </m:r>
                    <m:r>
                      <a:rPr lang="en-US" sz="3200" i="1">
                        <a:solidFill>
                          <a:schemeClr val="tx1"/>
                        </a:solidFill>
                        <a:effectLst/>
                        <a:latin typeface="Cambria Math"/>
                        <a:ea typeface="+mn-ea"/>
                        <a:cs typeface="+mn-cs"/>
                      </a:rPr>
                      <m:t>=</m:t>
                    </m:r>
                    <m:sSup>
                      <m:sSupPr>
                        <m:ctrlPr>
                          <a:rPr lang="ru-RU" sz="3200" i="1">
                            <a:solidFill>
                              <a:schemeClr val="tx1"/>
                            </a:solidFill>
                            <a:effectLst/>
                            <a:latin typeface="Cambria Math" panose="02040503050406030204" pitchFamily="18" charset="0"/>
                            <a:ea typeface="+mn-ea"/>
                            <a:cs typeface="+mn-cs"/>
                          </a:rPr>
                        </m:ctrlPr>
                      </m:sSupPr>
                      <m:e>
                        <m:d>
                          <m:dPr>
                            <m:ctrlPr>
                              <a:rPr lang="ru-RU" sz="3200" i="1">
                                <a:solidFill>
                                  <a:schemeClr val="tx1"/>
                                </a:solidFill>
                                <a:effectLst/>
                                <a:latin typeface="Cambria Math" panose="02040503050406030204" pitchFamily="18" charset="0"/>
                                <a:ea typeface="+mn-ea"/>
                                <a:cs typeface="+mn-cs"/>
                              </a:rPr>
                            </m:ctrlPr>
                          </m:dPr>
                          <m:e>
                            <m:r>
                              <a:rPr lang="en-US" sz="3200" i="1">
                                <a:solidFill>
                                  <a:schemeClr val="tx1"/>
                                </a:solidFill>
                                <a:effectLst/>
                                <a:latin typeface="Cambria Math"/>
                                <a:ea typeface="+mn-ea"/>
                                <a:cs typeface="+mn-cs"/>
                              </a:rPr>
                              <m:t>1+</m:t>
                            </m:r>
                            <m:r>
                              <a:rPr lang="en-US" sz="3200" i="1">
                                <a:solidFill>
                                  <a:schemeClr val="tx1"/>
                                </a:solidFill>
                                <a:effectLst/>
                                <a:latin typeface="Cambria Math"/>
                                <a:ea typeface="+mn-ea"/>
                                <a:cs typeface="+mn-cs"/>
                              </a:rPr>
                              <m:t>𝐵𝐸𝑌</m:t>
                            </m:r>
                            <m:r>
                              <a:rPr lang="en-US" sz="3200" i="1">
                                <a:solidFill>
                                  <a:schemeClr val="tx1"/>
                                </a:solidFill>
                                <a:effectLst/>
                                <a:latin typeface="Cambria Math"/>
                                <a:ea typeface="+mn-ea"/>
                                <a:cs typeface="+mn-cs"/>
                              </a:rPr>
                              <m:t>/</m:t>
                            </m:r>
                            <m:r>
                              <a:rPr lang="en-US" sz="3200" i="1">
                                <a:solidFill>
                                  <a:schemeClr val="tx1"/>
                                </a:solidFill>
                                <a:effectLst/>
                                <a:latin typeface="Cambria Math"/>
                                <a:ea typeface="+mn-ea"/>
                                <a:cs typeface="+mn-cs"/>
                              </a:rPr>
                              <m:t>𝑛</m:t>
                            </m:r>
                          </m:e>
                        </m:d>
                      </m:e>
                      <m:sup>
                        <m:r>
                          <a:rPr lang="en-US" sz="3200" i="1">
                            <a:solidFill>
                              <a:schemeClr val="tx1"/>
                            </a:solidFill>
                            <a:effectLst/>
                            <a:latin typeface="Cambria Math"/>
                            <a:ea typeface="+mn-ea"/>
                            <a:cs typeface="+mn-cs"/>
                          </a:rPr>
                          <m:t>𝑛</m:t>
                        </m:r>
                      </m:sup>
                    </m:sSup>
                    <m:r>
                      <a:rPr lang="en-US" sz="3200" i="1">
                        <a:solidFill>
                          <a:schemeClr val="tx1"/>
                        </a:solidFill>
                        <a:effectLst/>
                        <a:latin typeface="Cambria Math"/>
                        <a:ea typeface="+mn-ea"/>
                        <a:cs typeface="+mn-cs"/>
                      </a:rPr>
                      <m:t>−1</m:t>
                    </m:r>
                  </m:oMath>
                </m:oMathPara>
              </a14:m>
              <a:endParaRPr lang="ru-RU" sz="3200">
                <a:effectLst/>
              </a:endParaRPr>
            </a:p>
          </xdr:txBody>
        </xdr:sp>
      </mc:Choice>
      <mc:Fallback xmlns="">
        <xdr:sp macro="" textlink="">
          <xdr:nvSpPr>
            <xdr:cNvPr id="5" name="TextBox 4">
              <a:extLst>
                <a:ext uri="{FF2B5EF4-FFF2-40B4-BE49-F238E27FC236}">
                  <a16:creationId xmlns:a16="http://schemas.microsoft.com/office/drawing/2014/main" id="{5DBD202E-E237-4F91-ACA4-66C067E401AF}"/>
                </a:ext>
              </a:extLst>
            </xdr:cNvPr>
            <xdr:cNvSpPr txBox="1"/>
          </xdr:nvSpPr>
          <xdr:spPr>
            <a:xfrm>
              <a:off x="3166780" y="9728945"/>
              <a:ext cx="4984377" cy="647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eaLnBrk="1" latinLnBrk="0" hangingPunct="1"/>
              <a:r>
                <a:rPr lang="en-US" sz="3200" i="0">
                  <a:solidFill>
                    <a:schemeClr val="tx1"/>
                  </a:solidFill>
                  <a:effectLst/>
                  <a:latin typeface="Cambria Math"/>
                  <a:ea typeface="+mn-ea"/>
                  <a:cs typeface="+mn-cs"/>
                </a:rPr>
                <a:t>𝐸𝐴𝑌=</a:t>
              </a:r>
              <a:r>
                <a:rPr lang="ru-RU" sz="3200" i="0">
                  <a:solidFill>
                    <a:schemeClr val="tx1"/>
                  </a:solidFill>
                  <a:effectLst/>
                  <a:latin typeface="Cambria Math" panose="02040503050406030204" pitchFamily="18" charset="0"/>
                  <a:ea typeface="+mn-ea"/>
                  <a:cs typeface="+mn-cs"/>
                </a:rPr>
                <a:t>(</a:t>
              </a:r>
              <a:r>
                <a:rPr lang="en-US" sz="3200" i="0">
                  <a:solidFill>
                    <a:schemeClr val="tx1"/>
                  </a:solidFill>
                  <a:effectLst/>
                  <a:latin typeface="Cambria Math"/>
                  <a:ea typeface="+mn-ea"/>
                  <a:cs typeface="+mn-cs"/>
                </a:rPr>
                <a:t>1+𝐵𝐸𝑌/𝑛</a:t>
              </a:r>
              <a:r>
                <a:rPr lang="en-US" sz="3200" i="0">
                  <a:solidFill>
                    <a:schemeClr val="tx1"/>
                  </a:solidFill>
                  <a:effectLst/>
                  <a:latin typeface="Cambria Math" panose="02040503050406030204" pitchFamily="18" charset="0"/>
                  <a:ea typeface="+mn-ea"/>
                  <a:cs typeface="+mn-cs"/>
                </a:rPr>
                <a:t>)</a:t>
              </a:r>
              <a:r>
                <a:rPr lang="ru-RU" sz="3200" i="0">
                  <a:solidFill>
                    <a:schemeClr val="tx1"/>
                  </a:solidFill>
                  <a:effectLst/>
                  <a:latin typeface="Cambria Math" panose="02040503050406030204" pitchFamily="18" charset="0"/>
                  <a:ea typeface="+mn-ea"/>
                  <a:cs typeface="+mn-cs"/>
                </a:rPr>
                <a:t>^</a:t>
              </a:r>
              <a:r>
                <a:rPr lang="en-US" sz="3200" i="0">
                  <a:solidFill>
                    <a:schemeClr val="tx1"/>
                  </a:solidFill>
                  <a:effectLst/>
                  <a:latin typeface="Cambria Math"/>
                  <a:ea typeface="+mn-ea"/>
                  <a:cs typeface="+mn-cs"/>
                </a:rPr>
                <a:t>𝑛−1</a:t>
              </a:r>
              <a:endParaRPr lang="ru-RU" sz="3200">
                <a:effectLst/>
              </a:endParaRPr>
            </a:p>
          </xdr:txBody>
        </xdr:sp>
      </mc:Fallback>
    </mc:AlternateContent>
    <xdr:clientData/>
  </xdr:oneCellAnchor>
  <xdr:oneCellAnchor>
    <xdr:from>
      <xdr:col>3</xdr:col>
      <xdr:colOff>561414</xdr:colOff>
      <xdr:row>75</xdr:row>
      <xdr:rowOff>161924</xdr:rowOff>
    </xdr:from>
    <xdr:ext cx="8975911" cy="108715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E91E49EA-8001-4EA3-AA34-E02C0689BE11}"/>
                </a:ext>
              </a:extLst>
            </xdr:cNvPr>
            <xdr:cNvSpPr txBox="1"/>
          </xdr:nvSpPr>
          <xdr:spPr>
            <a:xfrm>
              <a:off x="2875989" y="14449424"/>
              <a:ext cx="8975911" cy="10871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3200" i="1">
                            <a:solidFill>
                              <a:schemeClr val="tx1"/>
                            </a:solidFill>
                            <a:effectLst/>
                            <a:latin typeface="Cambria Math" panose="02040503050406030204" pitchFamily="18" charset="0"/>
                            <a:ea typeface="+mn-ea"/>
                            <a:cs typeface="+mn-cs"/>
                          </a:rPr>
                        </m:ctrlPr>
                      </m:sSubPr>
                      <m:e>
                        <m:r>
                          <a:rPr lang="ru-RU" sz="3200" i="1">
                            <a:solidFill>
                              <a:schemeClr val="tx1"/>
                            </a:solidFill>
                            <a:effectLst/>
                            <a:latin typeface="Cambria Math"/>
                            <a:ea typeface="+mn-ea"/>
                            <a:cs typeface="+mn-cs"/>
                          </a:rPr>
                          <m:t>𝑃𝑉</m:t>
                        </m:r>
                      </m:e>
                      <m:sub>
                        <m:r>
                          <a:rPr lang="ru-RU" sz="3200" i="1">
                            <a:solidFill>
                              <a:schemeClr val="tx1"/>
                            </a:solidFill>
                            <a:effectLst/>
                            <a:latin typeface="Cambria Math"/>
                            <a:ea typeface="+mn-ea"/>
                            <a:cs typeface="+mn-cs"/>
                          </a:rPr>
                          <m:t>𝑐𝑜𝑢𝑝𝑜𝑛𝑠</m:t>
                        </m:r>
                      </m:sub>
                    </m:sSub>
                    <m:r>
                      <a:rPr lang="en-US" sz="3200" i="1">
                        <a:solidFill>
                          <a:schemeClr val="tx1"/>
                        </a:solidFill>
                        <a:effectLst/>
                        <a:latin typeface="Cambria Math"/>
                        <a:ea typeface="+mn-ea"/>
                        <a:cs typeface="+mn-cs"/>
                      </a:rPr>
                      <m:t>=</m:t>
                    </m:r>
                    <m:r>
                      <a:rPr lang="en-US" sz="3200" b="0" i="1">
                        <a:solidFill>
                          <a:schemeClr val="tx1"/>
                        </a:solidFill>
                        <a:effectLst/>
                        <a:latin typeface="Cambria Math"/>
                        <a:ea typeface="+mn-ea"/>
                        <a:cs typeface="+mn-cs"/>
                      </a:rPr>
                      <m:t>22,50∗</m:t>
                    </m:r>
                    <m:d>
                      <m:dPr>
                        <m:begChr m:val="["/>
                        <m:endChr m:val="]"/>
                        <m:ctrlPr>
                          <a:rPr lang="en-US" sz="3200" b="0" i="1">
                            <a:solidFill>
                              <a:schemeClr val="tx1"/>
                            </a:solidFill>
                            <a:effectLst/>
                            <a:latin typeface="Cambria Math" panose="02040503050406030204" pitchFamily="18" charset="0"/>
                            <a:ea typeface="+mn-ea"/>
                            <a:cs typeface="+mn-cs"/>
                          </a:rPr>
                        </m:ctrlPr>
                      </m:dPr>
                      <m:e>
                        <m:f>
                          <m:fPr>
                            <m:ctrlPr>
                              <a:rPr lang="en-US" sz="3200" b="0" i="1">
                                <a:solidFill>
                                  <a:schemeClr val="tx1"/>
                                </a:solidFill>
                                <a:effectLst/>
                                <a:latin typeface="Cambria Math" panose="02040503050406030204" pitchFamily="18" charset="0"/>
                                <a:ea typeface="+mn-ea"/>
                                <a:cs typeface="+mn-cs"/>
                              </a:rPr>
                            </m:ctrlPr>
                          </m:fPr>
                          <m:num>
                            <m:r>
                              <a:rPr lang="en-US" sz="3200" b="0" i="1">
                                <a:solidFill>
                                  <a:schemeClr val="tx1"/>
                                </a:solidFill>
                                <a:effectLst/>
                                <a:latin typeface="Cambria Math"/>
                                <a:ea typeface="+mn-ea"/>
                                <a:cs typeface="+mn-cs"/>
                              </a:rPr>
                              <m:t>1</m:t>
                            </m:r>
                          </m:num>
                          <m:den>
                            <m:r>
                              <a:rPr lang="en-US" sz="3200" b="0" i="1">
                                <a:solidFill>
                                  <a:schemeClr val="tx1"/>
                                </a:solidFill>
                                <a:effectLst/>
                                <a:latin typeface="Cambria Math"/>
                                <a:ea typeface="+mn-ea"/>
                                <a:cs typeface="+mn-cs"/>
                              </a:rPr>
                              <m:t>0,03</m:t>
                            </m:r>
                          </m:den>
                        </m:f>
                        <m:r>
                          <a:rPr lang="en-US" sz="3200" b="0" i="1">
                            <a:solidFill>
                              <a:schemeClr val="tx1"/>
                            </a:solidFill>
                            <a:effectLst/>
                            <a:latin typeface="Cambria Math"/>
                            <a:ea typeface="+mn-ea"/>
                            <a:cs typeface="+mn-cs"/>
                          </a:rPr>
                          <m:t>−</m:t>
                        </m:r>
                        <m:f>
                          <m:fPr>
                            <m:ctrlPr>
                              <a:rPr lang="en-US" sz="3200" b="0" i="1">
                                <a:solidFill>
                                  <a:schemeClr val="tx1"/>
                                </a:solidFill>
                                <a:effectLst/>
                                <a:latin typeface="Cambria Math" panose="02040503050406030204" pitchFamily="18" charset="0"/>
                                <a:ea typeface="+mn-ea"/>
                                <a:cs typeface="+mn-cs"/>
                              </a:rPr>
                            </m:ctrlPr>
                          </m:fPr>
                          <m:num>
                            <m:r>
                              <a:rPr lang="en-US" sz="3200" b="0" i="1">
                                <a:solidFill>
                                  <a:schemeClr val="tx1"/>
                                </a:solidFill>
                                <a:effectLst/>
                                <a:latin typeface="Cambria Math"/>
                                <a:ea typeface="+mn-ea"/>
                                <a:cs typeface="+mn-cs"/>
                              </a:rPr>
                              <m:t>1</m:t>
                            </m:r>
                          </m:num>
                          <m:den>
                            <m:r>
                              <a:rPr lang="en-US" sz="3200" b="0" i="1">
                                <a:solidFill>
                                  <a:schemeClr val="tx1"/>
                                </a:solidFill>
                                <a:effectLst/>
                                <a:latin typeface="Cambria Math"/>
                                <a:ea typeface="+mn-ea"/>
                                <a:cs typeface="+mn-cs"/>
                              </a:rPr>
                              <m:t>0,03</m:t>
                            </m:r>
                            <m:sSup>
                              <m:sSupPr>
                                <m:ctrlPr>
                                  <a:rPr lang="en-US" sz="3200" b="0" i="1">
                                    <a:solidFill>
                                      <a:schemeClr val="tx1"/>
                                    </a:solidFill>
                                    <a:effectLst/>
                                    <a:latin typeface="Cambria Math" panose="02040503050406030204" pitchFamily="18" charset="0"/>
                                    <a:ea typeface="+mn-ea"/>
                                    <a:cs typeface="+mn-cs"/>
                                  </a:rPr>
                                </m:ctrlPr>
                              </m:sSupPr>
                              <m:e>
                                <m:d>
                                  <m:dPr>
                                    <m:ctrlPr>
                                      <a:rPr lang="en-US" sz="3200" b="0" i="1">
                                        <a:solidFill>
                                          <a:schemeClr val="tx1"/>
                                        </a:solidFill>
                                        <a:effectLst/>
                                        <a:latin typeface="Cambria Math" panose="02040503050406030204" pitchFamily="18" charset="0"/>
                                        <a:ea typeface="+mn-ea"/>
                                        <a:cs typeface="+mn-cs"/>
                                      </a:rPr>
                                    </m:ctrlPr>
                                  </m:dPr>
                                  <m:e>
                                    <m:r>
                                      <a:rPr lang="en-US" sz="3200" b="0" i="1">
                                        <a:solidFill>
                                          <a:schemeClr val="tx1"/>
                                        </a:solidFill>
                                        <a:effectLst/>
                                        <a:latin typeface="Cambria Math"/>
                                        <a:ea typeface="+mn-ea"/>
                                        <a:cs typeface="+mn-cs"/>
                                      </a:rPr>
                                      <m:t>1+0,03</m:t>
                                    </m:r>
                                  </m:e>
                                </m:d>
                              </m:e>
                              <m:sup>
                                <m:r>
                                  <a:rPr lang="en-US" sz="3200" b="0" i="1">
                                    <a:solidFill>
                                      <a:schemeClr val="tx1"/>
                                    </a:solidFill>
                                    <a:effectLst/>
                                    <a:latin typeface="Cambria Math"/>
                                    <a:ea typeface="+mn-ea"/>
                                    <a:cs typeface="+mn-cs"/>
                                  </a:rPr>
                                  <m:t>12</m:t>
                                </m:r>
                              </m:sup>
                            </m:sSup>
                          </m:den>
                        </m:f>
                      </m:e>
                    </m:d>
                  </m:oMath>
                </m:oMathPara>
              </a14:m>
              <a:endParaRPr lang="ru-RU" sz="3200"/>
            </a:p>
          </xdr:txBody>
        </xdr:sp>
      </mc:Choice>
      <mc:Fallback xmlns="">
        <xdr:sp macro="" textlink="">
          <xdr:nvSpPr>
            <xdr:cNvPr id="6" name="TextBox 5">
              <a:extLst>
                <a:ext uri="{FF2B5EF4-FFF2-40B4-BE49-F238E27FC236}">
                  <a16:creationId xmlns:a16="http://schemas.microsoft.com/office/drawing/2014/main" id="{E91E49EA-8001-4EA3-AA34-E02C0689BE11}"/>
                </a:ext>
              </a:extLst>
            </xdr:cNvPr>
            <xdr:cNvSpPr txBox="1"/>
          </xdr:nvSpPr>
          <xdr:spPr>
            <a:xfrm>
              <a:off x="2875989" y="14449424"/>
              <a:ext cx="8975911" cy="10871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3200" i="0">
                  <a:solidFill>
                    <a:schemeClr val="tx1"/>
                  </a:solidFill>
                  <a:effectLst/>
                  <a:latin typeface="Cambria Math" panose="02040503050406030204" pitchFamily="18" charset="0"/>
                  <a:ea typeface="+mn-ea"/>
                  <a:cs typeface="+mn-cs"/>
                </a:rPr>
                <a:t>〖</a:t>
              </a:r>
              <a:r>
                <a:rPr lang="ru-RU" sz="3200" i="0">
                  <a:solidFill>
                    <a:schemeClr val="tx1"/>
                  </a:solidFill>
                  <a:effectLst/>
                  <a:latin typeface="Cambria Math"/>
                  <a:ea typeface="+mn-ea"/>
                  <a:cs typeface="+mn-cs"/>
                </a:rPr>
                <a:t>𝑃𝑉</a:t>
              </a:r>
              <a:r>
                <a:rPr lang="ru-RU" sz="3200" i="0">
                  <a:solidFill>
                    <a:schemeClr val="tx1"/>
                  </a:solidFill>
                  <a:effectLst/>
                  <a:latin typeface="Cambria Math" panose="02040503050406030204" pitchFamily="18" charset="0"/>
                  <a:ea typeface="+mn-ea"/>
                  <a:cs typeface="+mn-cs"/>
                </a:rPr>
                <a:t>〗_</a:t>
              </a:r>
              <a:r>
                <a:rPr lang="ru-RU" sz="3200" i="0">
                  <a:solidFill>
                    <a:schemeClr val="tx1"/>
                  </a:solidFill>
                  <a:effectLst/>
                  <a:latin typeface="Cambria Math"/>
                  <a:ea typeface="+mn-ea"/>
                  <a:cs typeface="+mn-cs"/>
                </a:rPr>
                <a:t>𝑐𝑜𝑢𝑝𝑜𝑛𝑠</a:t>
              </a:r>
              <a:r>
                <a:rPr lang="en-US" sz="3200" i="0">
                  <a:solidFill>
                    <a:schemeClr val="tx1"/>
                  </a:solidFill>
                  <a:effectLst/>
                  <a:latin typeface="Cambria Math"/>
                  <a:ea typeface="+mn-ea"/>
                  <a:cs typeface="+mn-cs"/>
                </a:rPr>
                <a:t>=</a:t>
              </a:r>
              <a:r>
                <a:rPr lang="en-US" sz="3200" b="0" i="0">
                  <a:solidFill>
                    <a:schemeClr val="tx1"/>
                  </a:solidFill>
                  <a:effectLst/>
                  <a:latin typeface="Cambria Math"/>
                  <a:ea typeface="+mn-ea"/>
                  <a:cs typeface="+mn-cs"/>
                </a:rPr>
                <a:t>22,50∗</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0,03−1</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0,03</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1+0,03</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12</a:t>
              </a:r>
              <a:r>
                <a:rPr lang="en-US" sz="3200" b="0" i="0">
                  <a:solidFill>
                    <a:schemeClr val="tx1"/>
                  </a:solidFill>
                  <a:effectLst/>
                  <a:latin typeface="Cambria Math" panose="02040503050406030204" pitchFamily="18" charset="0"/>
                  <a:ea typeface="+mn-ea"/>
                  <a:cs typeface="+mn-cs"/>
                </a:rPr>
                <a:t> )]</a:t>
              </a:r>
              <a:endParaRPr lang="ru-RU" sz="3200"/>
            </a:p>
          </xdr:txBody>
        </xdr:sp>
      </mc:Fallback>
    </mc:AlternateContent>
    <xdr:clientData/>
  </xdr:oneCellAnchor>
  <xdr:oneCellAnchor>
    <xdr:from>
      <xdr:col>3</xdr:col>
      <xdr:colOff>537882</xdr:colOff>
      <xdr:row>81</xdr:row>
      <xdr:rowOff>136711</xdr:rowOff>
    </xdr:from>
    <xdr:ext cx="7485528" cy="1087157"/>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DED298F-2975-4B64-B548-F031518FEE84}"/>
                </a:ext>
              </a:extLst>
            </xdr:cNvPr>
            <xdr:cNvSpPr txBox="1"/>
          </xdr:nvSpPr>
          <xdr:spPr>
            <a:xfrm>
              <a:off x="2852457" y="15567211"/>
              <a:ext cx="7485528" cy="10871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ru-RU" sz="3200" i="1">
                            <a:solidFill>
                              <a:schemeClr val="tx1"/>
                            </a:solidFill>
                            <a:effectLst/>
                            <a:latin typeface="Cambria Math" panose="02040503050406030204" pitchFamily="18" charset="0"/>
                            <a:ea typeface="+mn-ea"/>
                            <a:cs typeface="+mn-cs"/>
                          </a:rPr>
                        </m:ctrlPr>
                      </m:sSubPr>
                      <m:e>
                        <m:r>
                          <a:rPr lang="ru-RU" sz="3200" i="1">
                            <a:solidFill>
                              <a:schemeClr val="tx1"/>
                            </a:solidFill>
                            <a:effectLst/>
                            <a:latin typeface="Cambria Math"/>
                            <a:ea typeface="+mn-ea"/>
                            <a:cs typeface="+mn-cs"/>
                          </a:rPr>
                          <m:t>𝑃𝑉</m:t>
                        </m:r>
                      </m:e>
                      <m:sub>
                        <m:r>
                          <a:rPr lang="en-US" sz="3200" b="0" i="1">
                            <a:solidFill>
                              <a:schemeClr val="tx1"/>
                            </a:solidFill>
                            <a:effectLst/>
                            <a:latin typeface="Cambria Math"/>
                            <a:ea typeface="+mn-ea"/>
                            <a:cs typeface="+mn-cs"/>
                          </a:rPr>
                          <m:t>𝑓𝑎𝑐𝑒</m:t>
                        </m:r>
                        <m:r>
                          <a:rPr lang="en-US" sz="3200" b="0" i="1">
                            <a:solidFill>
                              <a:schemeClr val="tx1"/>
                            </a:solidFill>
                            <a:effectLst/>
                            <a:latin typeface="Cambria Math"/>
                            <a:ea typeface="+mn-ea"/>
                            <a:cs typeface="+mn-cs"/>
                          </a:rPr>
                          <m:t> </m:t>
                        </m:r>
                        <m:r>
                          <a:rPr lang="en-US" sz="3200" b="0" i="1">
                            <a:solidFill>
                              <a:schemeClr val="tx1"/>
                            </a:solidFill>
                            <a:effectLst/>
                            <a:latin typeface="Cambria Math"/>
                            <a:ea typeface="+mn-ea"/>
                            <a:cs typeface="+mn-cs"/>
                          </a:rPr>
                          <m:t>𝑣𝑎𝑙𝑢𝑒</m:t>
                        </m:r>
                      </m:sub>
                    </m:sSub>
                    <m:r>
                      <a:rPr lang="en-US" sz="3200" i="1">
                        <a:solidFill>
                          <a:schemeClr val="tx1"/>
                        </a:solidFill>
                        <a:effectLst/>
                        <a:latin typeface="Cambria Math"/>
                        <a:ea typeface="+mn-ea"/>
                        <a:cs typeface="+mn-cs"/>
                      </a:rPr>
                      <m:t>=</m:t>
                    </m:r>
                    <m:f>
                      <m:fPr>
                        <m:ctrlPr>
                          <a:rPr lang="en-US" sz="3200" i="1">
                            <a:solidFill>
                              <a:schemeClr val="tx1"/>
                            </a:solidFill>
                            <a:effectLst/>
                            <a:latin typeface="Cambria Math" panose="02040503050406030204" pitchFamily="18" charset="0"/>
                            <a:ea typeface="+mn-ea"/>
                            <a:cs typeface="+mn-cs"/>
                          </a:rPr>
                        </m:ctrlPr>
                      </m:fPr>
                      <m:num>
                        <m:r>
                          <a:rPr lang="en-US" sz="3200" b="0" i="1">
                            <a:solidFill>
                              <a:schemeClr val="tx1"/>
                            </a:solidFill>
                            <a:effectLst/>
                            <a:latin typeface="Cambria Math"/>
                            <a:ea typeface="+mn-ea"/>
                            <a:cs typeface="+mn-cs"/>
                          </a:rPr>
                          <m:t>1000</m:t>
                        </m:r>
                      </m:num>
                      <m:den>
                        <m:sSup>
                          <m:sSupPr>
                            <m:ctrlPr>
                              <a:rPr lang="en-US" sz="3200" i="1">
                                <a:solidFill>
                                  <a:schemeClr val="tx1"/>
                                </a:solidFill>
                                <a:effectLst/>
                                <a:latin typeface="Cambria Math" panose="02040503050406030204" pitchFamily="18" charset="0"/>
                                <a:ea typeface="+mn-ea"/>
                                <a:cs typeface="+mn-cs"/>
                              </a:rPr>
                            </m:ctrlPr>
                          </m:sSupPr>
                          <m:e>
                            <m:d>
                              <m:dPr>
                                <m:ctrlPr>
                                  <a:rPr lang="en-US" sz="3200" i="1">
                                    <a:solidFill>
                                      <a:schemeClr val="tx1"/>
                                    </a:solidFill>
                                    <a:effectLst/>
                                    <a:latin typeface="Cambria Math" panose="02040503050406030204" pitchFamily="18" charset="0"/>
                                    <a:ea typeface="+mn-ea"/>
                                    <a:cs typeface="+mn-cs"/>
                                  </a:rPr>
                                </m:ctrlPr>
                              </m:dPr>
                              <m:e>
                                <m:r>
                                  <a:rPr lang="en-US" sz="3200" b="0" i="1">
                                    <a:solidFill>
                                      <a:schemeClr val="tx1"/>
                                    </a:solidFill>
                                    <a:effectLst/>
                                    <a:latin typeface="Cambria Math"/>
                                    <a:ea typeface="+mn-ea"/>
                                    <a:cs typeface="+mn-cs"/>
                                  </a:rPr>
                                  <m:t>1+0,03</m:t>
                                </m:r>
                              </m:e>
                            </m:d>
                          </m:e>
                          <m:sup>
                            <m:r>
                              <a:rPr lang="en-US" sz="3200" b="0" i="1">
                                <a:solidFill>
                                  <a:schemeClr val="tx1"/>
                                </a:solidFill>
                                <a:effectLst/>
                                <a:latin typeface="Cambria Math"/>
                                <a:ea typeface="+mn-ea"/>
                                <a:cs typeface="+mn-cs"/>
                              </a:rPr>
                              <m:t>12</m:t>
                            </m:r>
                          </m:sup>
                        </m:sSup>
                      </m:den>
                    </m:f>
                  </m:oMath>
                </m:oMathPara>
              </a14:m>
              <a:endParaRPr lang="ru-RU" sz="3200"/>
            </a:p>
          </xdr:txBody>
        </xdr:sp>
      </mc:Choice>
      <mc:Fallback xmlns="">
        <xdr:sp macro="" textlink="">
          <xdr:nvSpPr>
            <xdr:cNvPr id="7" name="TextBox 6">
              <a:extLst>
                <a:ext uri="{FF2B5EF4-FFF2-40B4-BE49-F238E27FC236}">
                  <a16:creationId xmlns:a16="http://schemas.microsoft.com/office/drawing/2014/main" id="{4DED298F-2975-4B64-B548-F031518FEE84}"/>
                </a:ext>
              </a:extLst>
            </xdr:cNvPr>
            <xdr:cNvSpPr txBox="1"/>
          </xdr:nvSpPr>
          <xdr:spPr>
            <a:xfrm>
              <a:off x="2852457" y="15567211"/>
              <a:ext cx="7485528" cy="10871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3200" i="0">
                  <a:solidFill>
                    <a:schemeClr val="tx1"/>
                  </a:solidFill>
                  <a:effectLst/>
                  <a:latin typeface="Cambria Math" panose="02040503050406030204" pitchFamily="18" charset="0"/>
                  <a:ea typeface="+mn-ea"/>
                  <a:cs typeface="+mn-cs"/>
                </a:rPr>
                <a:t>〖</a:t>
              </a:r>
              <a:r>
                <a:rPr lang="ru-RU" sz="3200" i="0">
                  <a:solidFill>
                    <a:schemeClr val="tx1"/>
                  </a:solidFill>
                  <a:effectLst/>
                  <a:latin typeface="Cambria Math"/>
                  <a:ea typeface="+mn-ea"/>
                  <a:cs typeface="+mn-cs"/>
                </a:rPr>
                <a:t>𝑃𝑉</a:t>
              </a:r>
              <a:r>
                <a:rPr lang="ru-RU" sz="3200" i="0">
                  <a:solidFill>
                    <a:schemeClr val="tx1"/>
                  </a:solidFill>
                  <a:effectLst/>
                  <a:latin typeface="Cambria Math" panose="02040503050406030204" pitchFamily="18" charset="0"/>
                  <a:ea typeface="+mn-ea"/>
                  <a:cs typeface="+mn-cs"/>
                </a:rPr>
                <a:t>〗_(</a:t>
              </a:r>
              <a:r>
                <a:rPr lang="en-US" sz="3200" b="0" i="0">
                  <a:solidFill>
                    <a:schemeClr val="tx1"/>
                  </a:solidFill>
                  <a:effectLst/>
                  <a:latin typeface="Cambria Math"/>
                  <a:ea typeface="+mn-ea"/>
                  <a:cs typeface="+mn-cs"/>
                </a:rPr>
                <a:t>𝑓𝑎𝑐𝑒 𝑣𝑎𝑙𝑢𝑒</a:t>
              </a:r>
              <a:r>
                <a:rPr lang="ru-RU" sz="3200" b="0" i="0">
                  <a:solidFill>
                    <a:schemeClr val="tx1"/>
                  </a:solidFill>
                  <a:effectLst/>
                  <a:latin typeface="Cambria Math" panose="02040503050406030204" pitchFamily="18" charset="0"/>
                  <a:ea typeface="+mn-ea"/>
                  <a:cs typeface="+mn-cs"/>
                </a:rPr>
                <a:t>)</a:t>
              </a:r>
              <a:r>
                <a:rPr lang="en-US" sz="3200" i="0">
                  <a:solidFill>
                    <a:schemeClr val="tx1"/>
                  </a:solidFill>
                  <a:effectLst/>
                  <a:latin typeface="Cambria Math"/>
                  <a:ea typeface="+mn-ea"/>
                  <a:cs typeface="+mn-cs"/>
                </a:rPr>
                <a:t>=</a:t>
              </a:r>
              <a:r>
                <a:rPr lang="en-US" sz="3200" b="0" i="0">
                  <a:solidFill>
                    <a:schemeClr val="tx1"/>
                  </a:solidFill>
                  <a:effectLst/>
                  <a:latin typeface="Cambria Math"/>
                  <a:ea typeface="+mn-ea"/>
                  <a:cs typeface="+mn-cs"/>
                </a:rPr>
                <a:t>1000</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1+0,03</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12</a:t>
              </a:r>
              <a:r>
                <a:rPr lang="en-US" sz="3200" b="0" i="0">
                  <a:solidFill>
                    <a:schemeClr val="tx1"/>
                  </a:solidFill>
                  <a:effectLst/>
                  <a:latin typeface="Cambria Math" panose="02040503050406030204" pitchFamily="18" charset="0"/>
                  <a:ea typeface="+mn-ea"/>
                  <a:cs typeface="+mn-cs"/>
                </a:rPr>
                <a:t> </a:t>
              </a:r>
              <a:endParaRPr lang="ru-RU" sz="3200"/>
            </a:p>
          </xdr:txBody>
        </xdr:sp>
      </mc:Fallback>
    </mc:AlternateContent>
    <xdr:clientData/>
  </xdr:oneCellAnchor>
  <xdr:oneCellAnchor>
    <xdr:from>
      <xdr:col>4</xdr:col>
      <xdr:colOff>191060</xdr:colOff>
      <xdr:row>58</xdr:row>
      <xdr:rowOff>58830</xdr:rowOff>
    </xdr:from>
    <xdr:ext cx="8975911" cy="1100494"/>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2AD4F0A-CC4A-43B5-9496-A2F2AEB3B3D8}"/>
                </a:ext>
              </a:extLst>
            </xdr:cNvPr>
            <xdr:cNvSpPr txBox="1"/>
          </xdr:nvSpPr>
          <xdr:spPr>
            <a:xfrm>
              <a:off x="3277160" y="11107830"/>
              <a:ext cx="8975911" cy="11004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3200" b="0" i="1">
                        <a:solidFill>
                          <a:schemeClr val="tx1"/>
                        </a:solidFill>
                        <a:effectLst/>
                        <a:latin typeface="Cambria Math"/>
                        <a:ea typeface="+mn-ea"/>
                        <a:cs typeface="+mn-cs"/>
                      </a:rPr>
                      <m:t>𝐷𝐹</m:t>
                    </m:r>
                    <m:d>
                      <m:dPr>
                        <m:ctrlPr>
                          <a:rPr lang="en-US" sz="3200" b="0" i="1">
                            <a:solidFill>
                              <a:schemeClr val="tx1"/>
                            </a:solidFill>
                            <a:effectLst/>
                            <a:latin typeface="Cambria Math" panose="02040503050406030204" pitchFamily="18" charset="0"/>
                            <a:ea typeface="+mn-ea"/>
                            <a:cs typeface="+mn-cs"/>
                          </a:rPr>
                        </m:ctrlPr>
                      </m:dPr>
                      <m:e>
                        <m:r>
                          <a:rPr lang="en-US" sz="3200" b="0" i="1">
                            <a:solidFill>
                              <a:schemeClr val="tx1"/>
                            </a:solidFill>
                            <a:effectLst/>
                            <a:latin typeface="Cambria Math"/>
                            <a:ea typeface="+mn-ea"/>
                            <a:cs typeface="+mn-cs"/>
                          </a:rPr>
                          <m:t>𝑑𝑖𝑠𝑐𝑜𝑢𝑛𝑡</m:t>
                        </m:r>
                        <m:r>
                          <a:rPr lang="en-US" sz="3200" b="0" i="1">
                            <a:solidFill>
                              <a:schemeClr val="tx1"/>
                            </a:solidFill>
                            <a:effectLst/>
                            <a:latin typeface="Cambria Math"/>
                            <a:ea typeface="+mn-ea"/>
                            <a:cs typeface="+mn-cs"/>
                          </a:rPr>
                          <m:t> </m:t>
                        </m:r>
                        <m:r>
                          <a:rPr lang="en-US" sz="3200" b="0" i="1">
                            <a:solidFill>
                              <a:schemeClr val="tx1"/>
                            </a:solidFill>
                            <a:effectLst/>
                            <a:latin typeface="Cambria Math"/>
                            <a:ea typeface="+mn-ea"/>
                            <a:cs typeface="+mn-cs"/>
                          </a:rPr>
                          <m:t>𝑓𝑎𝑐𝑡𝑜𝑟</m:t>
                        </m:r>
                      </m:e>
                    </m:d>
                    <m:r>
                      <a:rPr lang="en-US" sz="3200" b="0" i="1">
                        <a:solidFill>
                          <a:schemeClr val="tx1"/>
                        </a:solidFill>
                        <a:effectLst/>
                        <a:latin typeface="Cambria Math"/>
                        <a:ea typeface="+mn-ea"/>
                        <a:cs typeface="+mn-cs"/>
                      </a:rPr>
                      <m:t>=</m:t>
                    </m:r>
                    <m:f>
                      <m:fPr>
                        <m:ctrlPr>
                          <a:rPr lang="en-US" sz="3200" b="0" i="1">
                            <a:solidFill>
                              <a:schemeClr val="tx1"/>
                            </a:solidFill>
                            <a:effectLst/>
                            <a:latin typeface="Cambria Math" panose="02040503050406030204" pitchFamily="18" charset="0"/>
                            <a:ea typeface="+mn-ea"/>
                            <a:cs typeface="+mn-cs"/>
                          </a:rPr>
                        </m:ctrlPr>
                      </m:fPr>
                      <m:num>
                        <m:r>
                          <a:rPr lang="en-US" sz="3200" b="0" i="1">
                            <a:solidFill>
                              <a:schemeClr val="tx1"/>
                            </a:solidFill>
                            <a:effectLst/>
                            <a:latin typeface="Cambria Math"/>
                            <a:ea typeface="+mn-ea"/>
                            <a:cs typeface="+mn-cs"/>
                          </a:rPr>
                          <m:t>1</m:t>
                        </m:r>
                      </m:num>
                      <m:den>
                        <m:sSup>
                          <m:sSupPr>
                            <m:ctrlPr>
                              <a:rPr lang="en-US" sz="3200" b="0" i="1">
                                <a:solidFill>
                                  <a:schemeClr val="tx1"/>
                                </a:solidFill>
                                <a:effectLst/>
                                <a:latin typeface="Cambria Math" panose="02040503050406030204" pitchFamily="18" charset="0"/>
                                <a:ea typeface="+mn-ea"/>
                                <a:cs typeface="+mn-cs"/>
                              </a:rPr>
                            </m:ctrlPr>
                          </m:sSupPr>
                          <m:e>
                            <m:d>
                              <m:dPr>
                                <m:ctrlPr>
                                  <a:rPr lang="en-US" sz="3200" b="0" i="1">
                                    <a:solidFill>
                                      <a:schemeClr val="tx1"/>
                                    </a:solidFill>
                                    <a:effectLst/>
                                    <a:latin typeface="Cambria Math" panose="02040503050406030204" pitchFamily="18" charset="0"/>
                                    <a:ea typeface="+mn-ea"/>
                                    <a:cs typeface="+mn-cs"/>
                                  </a:rPr>
                                </m:ctrlPr>
                              </m:dPr>
                              <m:e>
                                <m:r>
                                  <a:rPr lang="en-US" sz="3200" b="0" i="1">
                                    <a:solidFill>
                                      <a:schemeClr val="tx1"/>
                                    </a:solidFill>
                                    <a:effectLst/>
                                    <a:latin typeface="Cambria Math"/>
                                    <a:ea typeface="+mn-ea"/>
                                    <a:cs typeface="+mn-cs"/>
                                  </a:rPr>
                                  <m:t>1+</m:t>
                                </m:r>
                                <m:r>
                                  <a:rPr lang="en-US" sz="3200" b="0" i="1">
                                    <a:solidFill>
                                      <a:schemeClr val="tx1"/>
                                    </a:solidFill>
                                    <a:effectLst/>
                                    <a:latin typeface="Cambria Math"/>
                                    <a:ea typeface="+mn-ea"/>
                                    <a:cs typeface="+mn-cs"/>
                                  </a:rPr>
                                  <m:t>𝑟</m:t>
                                </m:r>
                                <m:r>
                                  <a:rPr lang="en-US" sz="3200" b="0" i="1">
                                    <a:solidFill>
                                      <a:schemeClr val="tx1"/>
                                    </a:solidFill>
                                    <a:effectLst/>
                                    <a:latin typeface="Cambria Math"/>
                                    <a:ea typeface="+mn-ea"/>
                                    <a:cs typeface="+mn-cs"/>
                                  </a:rPr>
                                  <m:t>/</m:t>
                                </m:r>
                                <m:r>
                                  <a:rPr lang="en-US" sz="3200" b="0" i="1">
                                    <a:solidFill>
                                      <a:schemeClr val="tx1"/>
                                    </a:solidFill>
                                    <a:effectLst/>
                                    <a:latin typeface="Cambria Math"/>
                                    <a:ea typeface="+mn-ea"/>
                                    <a:cs typeface="+mn-cs"/>
                                  </a:rPr>
                                  <m:t>𝑘</m:t>
                                </m:r>
                              </m:e>
                            </m:d>
                          </m:e>
                          <m:sup>
                            <m:r>
                              <a:rPr lang="en-US" sz="3200" b="0" i="1">
                                <a:solidFill>
                                  <a:schemeClr val="tx1"/>
                                </a:solidFill>
                                <a:effectLst/>
                                <a:latin typeface="Cambria Math"/>
                                <a:ea typeface="+mn-ea"/>
                                <a:cs typeface="+mn-cs"/>
                              </a:rPr>
                              <m:t>𝑛</m:t>
                            </m:r>
                          </m:sup>
                        </m:sSup>
                      </m:den>
                    </m:f>
                  </m:oMath>
                </m:oMathPara>
              </a14:m>
              <a:endParaRPr lang="ru-RU" sz="3200"/>
            </a:p>
          </xdr:txBody>
        </xdr:sp>
      </mc:Choice>
      <mc:Fallback xmlns="">
        <xdr:sp macro="" textlink="">
          <xdr:nvSpPr>
            <xdr:cNvPr id="8" name="TextBox 7">
              <a:extLst>
                <a:ext uri="{FF2B5EF4-FFF2-40B4-BE49-F238E27FC236}">
                  <a16:creationId xmlns:a16="http://schemas.microsoft.com/office/drawing/2014/main" id="{C2AD4F0A-CC4A-43B5-9496-A2F2AEB3B3D8}"/>
                </a:ext>
              </a:extLst>
            </xdr:cNvPr>
            <xdr:cNvSpPr txBox="1"/>
          </xdr:nvSpPr>
          <xdr:spPr>
            <a:xfrm>
              <a:off x="3277160" y="11107830"/>
              <a:ext cx="8975911" cy="11004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3200" b="0" i="0">
                  <a:solidFill>
                    <a:schemeClr val="tx1"/>
                  </a:solidFill>
                  <a:effectLst/>
                  <a:latin typeface="Cambria Math"/>
                  <a:ea typeface="+mn-ea"/>
                  <a:cs typeface="+mn-cs"/>
                </a:rPr>
                <a:t>𝐷𝐹</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𝑑𝑖𝑠𝑐𝑜𝑢𝑛𝑡 𝑓𝑎𝑐𝑡𝑜𝑟</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1+𝑟/𝑘</a:t>
              </a:r>
              <a:r>
                <a:rPr lang="en-US" sz="3200" b="0" i="0">
                  <a:solidFill>
                    <a:schemeClr val="tx1"/>
                  </a:solidFill>
                  <a:effectLst/>
                  <a:latin typeface="Cambria Math" panose="02040503050406030204" pitchFamily="18" charset="0"/>
                  <a:ea typeface="+mn-ea"/>
                  <a:cs typeface="+mn-cs"/>
                </a:rPr>
                <a:t>)^</a:t>
              </a:r>
              <a:r>
                <a:rPr lang="en-US" sz="3200" b="0" i="0">
                  <a:solidFill>
                    <a:schemeClr val="tx1"/>
                  </a:solidFill>
                  <a:effectLst/>
                  <a:latin typeface="Cambria Math"/>
                  <a:ea typeface="+mn-ea"/>
                  <a:cs typeface="+mn-cs"/>
                </a:rPr>
                <a:t>𝑛</a:t>
              </a:r>
              <a:r>
                <a:rPr lang="en-US" sz="3200" b="0" i="0">
                  <a:solidFill>
                    <a:schemeClr val="tx1"/>
                  </a:solidFill>
                  <a:effectLst/>
                  <a:latin typeface="Cambria Math" panose="02040503050406030204" pitchFamily="18" charset="0"/>
                  <a:ea typeface="+mn-ea"/>
                  <a:cs typeface="+mn-cs"/>
                </a:rPr>
                <a:t> </a:t>
              </a:r>
              <a:endParaRPr lang="ru-RU" sz="3200"/>
            </a:p>
          </xdr:txBody>
        </xdr:sp>
      </mc:Fallback>
    </mc:AlternateContent>
    <xdr:clientData/>
  </xdr:oneCellAnchor>
  <xdr:oneCellAnchor>
    <xdr:from>
      <xdr:col>3</xdr:col>
      <xdr:colOff>448236</xdr:colOff>
      <xdr:row>64</xdr:row>
      <xdr:rowOff>24653</xdr:rowOff>
    </xdr:from>
    <xdr:ext cx="6275293" cy="593304"/>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457BE3A7-E6C7-43D8-BFD1-B25DCBDE3DB4}"/>
                </a:ext>
              </a:extLst>
            </xdr:cNvPr>
            <xdr:cNvSpPr txBox="1"/>
          </xdr:nvSpPr>
          <xdr:spPr>
            <a:xfrm>
              <a:off x="2762811" y="12216653"/>
              <a:ext cx="6275293"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3200" b="0" i="1">
                        <a:solidFill>
                          <a:schemeClr val="tx1"/>
                        </a:solidFill>
                        <a:effectLst/>
                        <a:latin typeface="Cambria Math"/>
                        <a:ea typeface="+mn-ea"/>
                        <a:cs typeface="+mn-cs"/>
                      </a:rPr>
                      <m:t>𝐷𝐶𝐹</m:t>
                    </m:r>
                    <m:r>
                      <a:rPr lang="en-US" sz="3200" b="0" i="1">
                        <a:solidFill>
                          <a:schemeClr val="tx1"/>
                        </a:solidFill>
                        <a:effectLst/>
                        <a:latin typeface="Cambria Math"/>
                        <a:ea typeface="+mn-ea"/>
                        <a:cs typeface="+mn-cs"/>
                      </a:rPr>
                      <m:t>=</m:t>
                    </m:r>
                    <m:r>
                      <a:rPr lang="en-US" sz="3200" b="0" i="1">
                        <a:solidFill>
                          <a:schemeClr val="tx1"/>
                        </a:solidFill>
                        <a:effectLst/>
                        <a:latin typeface="Cambria Math"/>
                        <a:ea typeface="+mn-ea"/>
                        <a:cs typeface="+mn-cs"/>
                      </a:rPr>
                      <m:t>𝐶𝐹</m:t>
                    </m:r>
                    <m:r>
                      <a:rPr lang="en-US" sz="3200" b="0" i="1">
                        <a:solidFill>
                          <a:schemeClr val="tx1"/>
                        </a:solidFill>
                        <a:effectLst/>
                        <a:latin typeface="Cambria Math"/>
                        <a:ea typeface="+mn-ea"/>
                        <a:cs typeface="+mn-cs"/>
                      </a:rPr>
                      <m:t>∗</m:t>
                    </m:r>
                    <m:r>
                      <a:rPr lang="en-US" sz="3200" b="0" i="1">
                        <a:solidFill>
                          <a:schemeClr val="tx1"/>
                        </a:solidFill>
                        <a:effectLst/>
                        <a:latin typeface="Cambria Math"/>
                        <a:ea typeface="+mn-ea"/>
                        <a:cs typeface="+mn-cs"/>
                      </a:rPr>
                      <m:t>𝐷𝐹</m:t>
                    </m:r>
                  </m:oMath>
                </m:oMathPara>
              </a14:m>
              <a:endParaRPr lang="ru-RU" sz="3200"/>
            </a:p>
          </xdr:txBody>
        </xdr:sp>
      </mc:Choice>
      <mc:Fallback xmlns="">
        <xdr:sp macro="" textlink="">
          <xdr:nvSpPr>
            <xdr:cNvPr id="9" name="TextBox 8">
              <a:extLst>
                <a:ext uri="{FF2B5EF4-FFF2-40B4-BE49-F238E27FC236}">
                  <a16:creationId xmlns:a16="http://schemas.microsoft.com/office/drawing/2014/main" id="{457BE3A7-E6C7-43D8-BFD1-B25DCBDE3DB4}"/>
                </a:ext>
              </a:extLst>
            </xdr:cNvPr>
            <xdr:cNvSpPr txBox="1"/>
          </xdr:nvSpPr>
          <xdr:spPr>
            <a:xfrm>
              <a:off x="2762811" y="12216653"/>
              <a:ext cx="6275293"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3200" b="0" i="0">
                  <a:solidFill>
                    <a:schemeClr val="tx1"/>
                  </a:solidFill>
                  <a:effectLst/>
                  <a:latin typeface="Cambria Math"/>
                  <a:ea typeface="+mn-ea"/>
                  <a:cs typeface="+mn-cs"/>
                </a:rPr>
                <a:t>𝐷𝐶𝐹=𝐶𝐹∗𝐷𝐹</a:t>
              </a:r>
              <a:endParaRPr lang="ru-RU" sz="3200"/>
            </a:p>
          </xdr:txBody>
        </xdr:sp>
      </mc:Fallback>
    </mc:AlternateContent>
    <xdr:clientData/>
  </xdr:oneCellAnchor>
  <xdr:oneCellAnchor>
    <xdr:from>
      <xdr:col>4</xdr:col>
      <xdr:colOff>365412</xdr:colOff>
      <xdr:row>225</xdr:row>
      <xdr:rowOff>114300</xdr:rowOff>
    </xdr:from>
    <xdr:ext cx="6146224" cy="899285"/>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8543B617-1CA8-4EA0-8C19-1942A3636111}"/>
                </a:ext>
              </a:extLst>
            </xdr:cNvPr>
            <xdr:cNvSpPr txBox="1"/>
          </xdr:nvSpPr>
          <xdr:spPr>
            <a:xfrm>
              <a:off x="3451512" y="42976800"/>
              <a:ext cx="6146224" cy="899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t>Volatility=</a:t>
              </a:r>
              <a14:m>
                <m:oMath xmlns:m="http://schemas.openxmlformats.org/officeDocument/2006/math">
                  <m:f>
                    <m:fPr>
                      <m:ctrlPr>
                        <a:rPr lang="en-US" sz="2800" i="1">
                          <a:latin typeface="Cambria Math" panose="02040503050406030204" pitchFamily="18" charset="0"/>
                        </a:rPr>
                      </m:ctrlPr>
                    </m:fPr>
                    <m:num>
                      <m:r>
                        <a:rPr lang="en-US" sz="2800" b="0" i="1">
                          <a:latin typeface="Cambria Math"/>
                        </a:rPr>
                        <m:t>𝑀𝑎𝑐𝑎𝑢𝑙𝑎𝑦</m:t>
                      </m:r>
                      <m:r>
                        <a:rPr lang="en-US" sz="2800" b="0" i="1">
                          <a:latin typeface="Cambria Math"/>
                        </a:rPr>
                        <m:t> </m:t>
                      </m:r>
                      <m:r>
                        <a:rPr lang="en-US" sz="2800" b="0" i="1">
                          <a:latin typeface="Cambria Math"/>
                        </a:rPr>
                        <m:t>𝐷𝑢𝑟𝑎𝑡𝑖𝑜𝑛</m:t>
                      </m:r>
                    </m:num>
                    <m:den>
                      <m:r>
                        <a:rPr lang="en-US" sz="2800" b="0" i="1">
                          <a:latin typeface="Cambria Math"/>
                        </a:rPr>
                        <m:t>(1+</m:t>
                      </m:r>
                      <m:f>
                        <m:fPr>
                          <m:ctrlPr>
                            <a:rPr lang="en-US" sz="2800" b="0" i="1">
                              <a:latin typeface="Cambria Math" panose="02040503050406030204" pitchFamily="18" charset="0"/>
                            </a:rPr>
                          </m:ctrlPr>
                        </m:fPr>
                        <m:num>
                          <m:r>
                            <a:rPr lang="en-US" sz="2800" b="0" i="1">
                              <a:latin typeface="Cambria Math"/>
                            </a:rPr>
                            <m:t>𝑌𝑇𝑀</m:t>
                          </m:r>
                        </m:num>
                        <m:den>
                          <m:r>
                            <a:rPr lang="en-US" sz="2800" b="0" i="1">
                              <a:latin typeface="Cambria Math"/>
                            </a:rPr>
                            <m:t>𝑛</m:t>
                          </m:r>
                        </m:den>
                      </m:f>
                      <m:r>
                        <a:rPr lang="en-US" sz="2800" b="0" i="1">
                          <a:latin typeface="Cambria Math"/>
                        </a:rPr>
                        <m:t>)</m:t>
                      </m:r>
                    </m:den>
                  </m:f>
                </m:oMath>
              </a14:m>
              <a:endParaRPr lang="ru-RU" sz="2800"/>
            </a:p>
          </xdr:txBody>
        </xdr:sp>
      </mc:Choice>
      <mc:Fallback xmlns="">
        <xdr:sp macro="" textlink="">
          <xdr:nvSpPr>
            <xdr:cNvPr id="10" name="TextBox 9">
              <a:extLst>
                <a:ext uri="{FF2B5EF4-FFF2-40B4-BE49-F238E27FC236}">
                  <a16:creationId xmlns:a16="http://schemas.microsoft.com/office/drawing/2014/main" id="{8543B617-1CA8-4EA0-8C19-1942A3636111}"/>
                </a:ext>
              </a:extLst>
            </xdr:cNvPr>
            <xdr:cNvSpPr txBox="1"/>
          </xdr:nvSpPr>
          <xdr:spPr>
            <a:xfrm>
              <a:off x="3451512" y="42976800"/>
              <a:ext cx="6146224" cy="899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t>Volatility=</a:t>
              </a:r>
              <a:r>
                <a:rPr lang="en-US" sz="2800" i="0">
                  <a:latin typeface="Cambria Math" panose="02040503050406030204" pitchFamily="18" charset="0"/>
                </a:rPr>
                <a:t>(</a:t>
              </a:r>
              <a:r>
                <a:rPr lang="en-US" sz="2800" b="0" i="0">
                  <a:latin typeface="Cambria Math"/>
                </a:rPr>
                <a:t>𝑀𝑎𝑐𝑎𝑢𝑙𝑎𝑦 𝐷𝑢𝑟𝑎𝑡𝑖𝑜𝑛</a:t>
              </a:r>
              <a:r>
                <a:rPr lang="en-US" sz="2800" b="0" i="0">
                  <a:latin typeface="Cambria Math" panose="02040503050406030204" pitchFamily="18" charset="0"/>
                </a:rPr>
                <a:t>)/(</a:t>
              </a:r>
              <a:r>
                <a:rPr lang="en-US" sz="2800" b="0" i="0">
                  <a:latin typeface="Cambria Math"/>
                </a:rPr>
                <a:t>(1+𝑌𝑇𝑀</a:t>
              </a:r>
              <a:r>
                <a:rPr lang="en-US" sz="2800" b="0" i="0">
                  <a:latin typeface="Cambria Math" panose="02040503050406030204" pitchFamily="18" charset="0"/>
                </a:rPr>
                <a:t>/</a:t>
              </a:r>
              <a:r>
                <a:rPr lang="en-US" sz="2800" b="0" i="0">
                  <a:latin typeface="Cambria Math"/>
                </a:rPr>
                <a:t>𝑛)</a:t>
              </a:r>
              <a:r>
                <a:rPr lang="en-US" sz="2800" b="0" i="0">
                  <a:latin typeface="Cambria Math" panose="02040503050406030204" pitchFamily="18" charset="0"/>
                </a:rPr>
                <a:t>)</a:t>
              </a:r>
              <a:endParaRPr lang="ru-RU" sz="2800"/>
            </a:p>
          </xdr:txBody>
        </xdr:sp>
      </mc:Fallback>
    </mc:AlternateContent>
    <xdr:clientData/>
  </xdr:oneCellAnchor>
  <xdr:oneCellAnchor>
    <xdr:from>
      <xdr:col>6</xdr:col>
      <xdr:colOff>0</xdr:colOff>
      <xdr:row>292</xdr:row>
      <xdr:rowOff>123825</xdr:rowOff>
    </xdr:from>
    <xdr:ext cx="6146224" cy="899285"/>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00000000-0008-0000-0400-000002000000}"/>
                </a:ext>
              </a:extLst>
            </xdr:cNvPr>
            <xdr:cNvSpPr txBox="1"/>
          </xdr:nvSpPr>
          <xdr:spPr>
            <a:xfrm>
              <a:off x="7229475" y="7743825"/>
              <a:ext cx="6146224" cy="899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t>Volatility=</a:t>
              </a:r>
              <a14:m>
                <m:oMath xmlns:m="http://schemas.openxmlformats.org/officeDocument/2006/math">
                  <m:f>
                    <m:fPr>
                      <m:ctrlPr>
                        <a:rPr lang="en-US" sz="2800" i="1">
                          <a:latin typeface="Cambria Math" panose="02040503050406030204" pitchFamily="18" charset="0"/>
                        </a:rPr>
                      </m:ctrlPr>
                    </m:fPr>
                    <m:num>
                      <m:r>
                        <a:rPr lang="en-US" sz="2800" b="0" i="1">
                          <a:latin typeface="Cambria Math"/>
                        </a:rPr>
                        <m:t>𝑀𝑎𝑐𝑎𝑢𝑙𝑎𝑦</m:t>
                      </m:r>
                      <m:r>
                        <a:rPr lang="en-US" sz="2800" b="0" i="1">
                          <a:latin typeface="Cambria Math"/>
                        </a:rPr>
                        <m:t> </m:t>
                      </m:r>
                      <m:r>
                        <a:rPr lang="en-US" sz="2800" b="0" i="1">
                          <a:latin typeface="Cambria Math"/>
                        </a:rPr>
                        <m:t>𝐷𝑢𝑟𝑎𝑡𝑖𝑜𝑛</m:t>
                      </m:r>
                    </m:num>
                    <m:den>
                      <m:r>
                        <a:rPr lang="en-US" sz="2800" b="0" i="1">
                          <a:latin typeface="Cambria Math"/>
                        </a:rPr>
                        <m:t>(1+</m:t>
                      </m:r>
                      <m:f>
                        <m:fPr>
                          <m:ctrlPr>
                            <a:rPr lang="en-US" sz="2800" b="0" i="1">
                              <a:latin typeface="Cambria Math" panose="02040503050406030204" pitchFamily="18" charset="0"/>
                            </a:rPr>
                          </m:ctrlPr>
                        </m:fPr>
                        <m:num>
                          <m:r>
                            <a:rPr lang="en-US" sz="2800" b="0" i="1">
                              <a:latin typeface="Cambria Math"/>
                            </a:rPr>
                            <m:t>𝑌𝑇𝑀</m:t>
                          </m:r>
                        </m:num>
                        <m:den>
                          <m:r>
                            <a:rPr lang="en-US" sz="2800" b="0" i="1">
                              <a:latin typeface="Cambria Math"/>
                            </a:rPr>
                            <m:t>𝑛</m:t>
                          </m:r>
                        </m:den>
                      </m:f>
                      <m:r>
                        <a:rPr lang="en-US" sz="2800" b="0" i="1">
                          <a:latin typeface="Cambria Math"/>
                        </a:rPr>
                        <m:t>)</m:t>
                      </m:r>
                    </m:den>
                  </m:f>
                </m:oMath>
              </a14:m>
              <a:endParaRPr lang="ru-RU" sz="2800"/>
            </a:p>
          </xdr:txBody>
        </xdr:sp>
      </mc:Choice>
      <mc:Fallback xmlns="">
        <xdr:sp macro="" textlink="">
          <xdr:nvSpPr>
            <xdr:cNvPr id="11" name="TextBox 10">
              <a:extLst>
                <a:ext uri="{FF2B5EF4-FFF2-40B4-BE49-F238E27FC236}">
                  <a16:creationId xmlns:a16="http://schemas.microsoft.com/office/drawing/2014/main" id="{00000000-0008-0000-0400-000002000000}"/>
                </a:ext>
              </a:extLst>
            </xdr:cNvPr>
            <xdr:cNvSpPr txBox="1"/>
          </xdr:nvSpPr>
          <xdr:spPr>
            <a:xfrm>
              <a:off x="7229475" y="7743825"/>
              <a:ext cx="6146224" cy="899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t>Volatility=</a:t>
              </a:r>
              <a:r>
                <a:rPr lang="en-US" sz="2800" i="0">
                  <a:latin typeface="Cambria Math" panose="02040503050406030204" pitchFamily="18" charset="0"/>
                </a:rPr>
                <a:t>(</a:t>
              </a:r>
              <a:r>
                <a:rPr lang="en-US" sz="2800" b="0" i="0">
                  <a:latin typeface="Cambria Math"/>
                </a:rPr>
                <a:t>𝑀𝑎𝑐𝑎𝑢𝑙𝑎𝑦 𝐷𝑢𝑟𝑎𝑡𝑖𝑜𝑛</a:t>
              </a:r>
              <a:r>
                <a:rPr lang="en-US" sz="2800" b="0" i="0">
                  <a:latin typeface="Cambria Math" panose="02040503050406030204" pitchFamily="18" charset="0"/>
                </a:rPr>
                <a:t>)/(</a:t>
              </a:r>
              <a:r>
                <a:rPr lang="en-US" sz="2800" b="0" i="0">
                  <a:latin typeface="Cambria Math"/>
                </a:rPr>
                <a:t>(1+𝑌𝑇𝑀</a:t>
              </a:r>
              <a:r>
                <a:rPr lang="en-US" sz="2800" b="0" i="0">
                  <a:latin typeface="Cambria Math" panose="02040503050406030204" pitchFamily="18" charset="0"/>
                </a:rPr>
                <a:t>/</a:t>
              </a:r>
              <a:r>
                <a:rPr lang="en-US" sz="2800" b="0" i="0">
                  <a:latin typeface="Cambria Math"/>
                </a:rPr>
                <a:t>𝑛)</a:t>
              </a:r>
              <a:r>
                <a:rPr lang="en-US" sz="2800" b="0" i="0">
                  <a:latin typeface="Cambria Math" panose="02040503050406030204" pitchFamily="18" charset="0"/>
                </a:rPr>
                <a:t>)</a:t>
              </a:r>
              <a:endParaRPr lang="ru-RU" sz="28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4</xdr:col>
      <xdr:colOff>730642</xdr:colOff>
      <xdr:row>7</xdr:row>
      <xdr:rowOff>99982</xdr:rowOff>
    </xdr:from>
    <xdr:to>
      <xdr:col>11</xdr:col>
      <xdr:colOff>348433</xdr:colOff>
      <xdr:row>9</xdr:row>
      <xdr:rowOff>231912</xdr:rowOff>
    </xdr:to>
    <xdr:pic>
      <xdr:nvPicPr>
        <xdr:cNvPr id="2" name="Рисунок 1">
          <a:extLst>
            <a:ext uri="{FF2B5EF4-FFF2-40B4-BE49-F238E27FC236}">
              <a16:creationId xmlns:a16="http://schemas.microsoft.com/office/drawing/2014/main" id="{5E137E12-5964-493D-8437-ECDE3590670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5217" y="1433482"/>
          <a:ext cx="4618416" cy="474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695738</xdr:colOff>
      <xdr:row>30</xdr:row>
      <xdr:rowOff>74544</xdr:rowOff>
    </xdr:from>
    <xdr:to>
      <xdr:col>10</xdr:col>
      <xdr:colOff>74544</xdr:colOff>
      <xdr:row>32</xdr:row>
      <xdr:rowOff>193124</xdr:rowOff>
    </xdr:to>
    <xdr:pic>
      <xdr:nvPicPr>
        <xdr:cNvPr id="3" name="Рисунок 2">
          <a:extLst>
            <a:ext uri="{FF2B5EF4-FFF2-40B4-BE49-F238E27FC236}">
              <a16:creationId xmlns:a16="http://schemas.microsoft.com/office/drawing/2014/main" id="{891E38D0-B33B-4CE2-88DD-9FFDC1F1A4A3}"/>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8413" y="5789544"/>
          <a:ext cx="3731731" cy="499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884463</xdr:colOff>
      <xdr:row>56</xdr:row>
      <xdr:rowOff>0</xdr:rowOff>
    </xdr:from>
    <xdr:to>
      <xdr:col>9</xdr:col>
      <xdr:colOff>180542</xdr:colOff>
      <xdr:row>60</xdr:row>
      <xdr:rowOff>190500</xdr:rowOff>
    </xdr:to>
    <xdr:pic>
      <xdr:nvPicPr>
        <xdr:cNvPr id="4" name="Рисунок 3">
          <a:extLst>
            <a:ext uri="{FF2B5EF4-FFF2-40B4-BE49-F238E27FC236}">
              <a16:creationId xmlns:a16="http://schemas.microsoft.com/office/drawing/2014/main" id="{872B6DB1-E725-469E-AD00-DB83C1983C9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37038" y="10668000"/>
          <a:ext cx="3839504"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73</xdr:row>
      <xdr:rowOff>0</xdr:rowOff>
    </xdr:from>
    <xdr:to>
      <xdr:col>7</xdr:col>
      <xdr:colOff>85725</xdr:colOff>
      <xdr:row>75</xdr:row>
      <xdr:rowOff>0</xdr:rowOff>
    </xdr:to>
    <xdr:pic>
      <xdr:nvPicPr>
        <xdr:cNvPr id="5" name="Рисунок 4">
          <a:extLst>
            <a:ext uri="{FF2B5EF4-FFF2-40B4-BE49-F238E27FC236}">
              <a16:creationId xmlns:a16="http://schemas.microsoft.com/office/drawing/2014/main" id="{EFD7E30E-78C3-468B-8E86-92C24056DD1F}"/>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8000" y="13906500"/>
          <a:ext cx="1304925"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4</xdr:col>
      <xdr:colOff>1390650</xdr:colOff>
      <xdr:row>51</xdr:row>
      <xdr:rowOff>0</xdr:rowOff>
    </xdr:from>
    <xdr:ext cx="2941869" cy="1301808"/>
    <xdr:pic>
      <xdr:nvPicPr>
        <xdr:cNvPr id="2" name="Рисунок 1">
          <a:extLst>
            <a:ext uri="{FF2B5EF4-FFF2-40B4-BE49-F238E27FC236}">
              <a16:creationId xmlns:a16="http://schemas.microsoft.com/office/drawing/2014/main" id="{8B43227B-4CC3-4BBE-81DC-3DA3414B4BA3}"/>
            </a:ext>
          </a:extLst>
        </xdr:cNvPr>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239000" y="1666875"/>
          <a:ext cx="2941869" cy="13018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619125</xdr:colOff>
      <xdr:row>58</xdr:row>
      <xdr:rowOff>123825</xdr:rowOff>
    </xdr:from>
    <xdr:ext cx="7463012" cy="938630"/>
    <xdr:pic>
      <xdr:nvPicPr>
        <xdr:cNvPr id="3" name="Рисунок 2">
          <a:extLst>
            <a:ext uri="{FF2B5EF4-FFF2-40B4-BE49-F238E27FC236}">
              <a16:creationId xmlns:a16="http://schemas.microsoft.com/office/drawing/2014/main" id="{E3AA15D7-7DEF-4D38-98C0-068F1A1A96AE}"/>
            </a:ext>
          </a:extLst>
        </xdr:cNvPr>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467475" y="3457575"/>
          <a:ext cx="7463012" cy="938630"/>
        </a:xfrm>
        <a:prstGeom prst="rect">
          <a:avLst/>
        </a:prstGeom>
        <a:noFill/>
      </xdr:spPr>
    </xdr:pic>
    <xdr:clientData/>
  </xdr:oneCellAnchor>
  <xdr:twoCellAnchor>
    <xdr:from>
      <xdr:col>4</xdr:col>
      <xdr:colOff>266700</xdr:colOff>
      <xdr:row>65</xdr:row>
      <xdr:rowOff>47625</xdr:rowOff>
    </xdr:from>
    <xdr:to>
      <xdr:col>9</xdr:col>
      <xdr:colOff>2513233</xdr:colOff>
      <xdr:row>68</xdr:row>
      <xdr:rowOff>194576</xdr:rowOff>
    </xdr:to>
    <mc:AlternateContent xmlns:mc="http://schemas.openxmlformats.org/markup-compatibility/2006" xmlns:a14="http://schemas.microsoft.com/office/drawing/2010/main">
      <mc:Choice Requires="a14">
        <xdr:sp macro="" textlink="">
          <xdr:nvSpPr>
            <xdr:cNvPr id="4" name="Прямоугольник 3">
              <a:extLst>
                <a:ext uri="{FF2B5EF4-FFF2-40B4-BE49-F238E27FC236}">
                  <a16:creationId xmlns:a16="http://schemas.microsoft.com/office/drawing/2014/main" id="{ED85535E-0C27-43E0-85B7-B513EECF6A73}"/>
                </a:ext>
              </a:extLst>
            </xdr:cNvPr>
            <xdr:cNvSpPr/>
          </xdr:nvSpPr>
          <xdr:spPr>
            <a:xfrm>
              <a:off x="6115050" y="5048250"/>
              <a:ext cx="6799483" cy="861326"/>
            </a:xfrm>
            <a:prstGeom prst="rect">
              <a:avLst/>
            </a:prstGeom>
          </xdr:spPr>
          <xdr:txBody>
            <a:bodyPr wrap="square">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ru-RU" sz="2400" b="0" i="1">
                        <a:latin typeface="Cambria Math"/>
                      </a:rPr>
                      <m:t>𝑀𝑜𝑛𝑒</m:t>
                    </m:r>
                    <m:r>
                      <a:rPr lang="en-US" sz="2400" b="0" i="1">
                        <a:latin typeface="Cambria Math"/>
                      </a:rPr>
                      <m:t>𝑦</m:t>
                    </m:r>
                    <m:r>
                      <a:rPr lang="en-US" sz="2400" b="0" i="1">
                        <a:latin typeface="Cambria Math"/>
                      </a:rPr>
                      <m:t> </m:t>
                    </m:r>
                    <m:r>
                      <a:rPr lang="en-US" sz="2400" b="0" i="1">
                        <a:latin typeface="Cambria Math"/>
                      </a:rPr>
                      <m:t>𝑚𝑎𝑟𝑘𝑒𝑡</m:t>
                    </m:r>
                    <m:r>
                      <a:rPr lang="en-US" sz="2400" b="0" i="1">
                        <a:latin typeface="Cambria Math"/>
                      </a:rPr>
                      <m:t> </m:t>
                    </m:r>
                    <m:r>
                      <a:rPr lang="en-US" sz="2400" b="0" i="1">
                        <a:latin typeface="Cambria Math"/>
                      </a:rPr>
                      <m:t>𝑦𝑖𝑒𝑙𝑑</m:t>
                    </m:r>
                    <m:r>
                      <a:rPr lang="en-US" sz="2400" b="0" i="1">
                        <a:latin typeface="Cambria Math"/>
                      </a:rPr>
                      <m:t>= </m:t>
                    </m:r>
                    <m:f>
                      <m:fPr>
                        <m:ctrlPr>
                          <a:rPr lang="ru-RU" sz="2400" i="1">
                            <a:latin typeface="Cambria Math" panose="02040503050406030204" pitchFamily="18" charset="0"/>
                          </a:rPr>
                        </m:ctrlPr>
                      </m:fPr>
                      <m:num>
                        <m:r>
                          <a:rPr lang="en-US" sz="2400" b="0" i="1">
                            <a:latin typeface="Cambria Math"/>
                          </a:rPr>
                          <m:t>(360∗</m:t>
                        </m:r>
                        <m:sSub>
                          <m:sSubPr>
                            <m:ctrlPr>
                              <a:rPr lang="ru-RU" sz="2400" i="1">
                                <a:latin typeface="Cambria Math" panose="02040503050406030204" pitchFamily="18" charset="0"/>
                              </a:rPr>
                            </m:ctrlPr>
                          </m:sSubPr>
                          <m:e>
                            <m:r>
                              <a:rPr lang="en-US" sz="2400" b="0" i="1">
                                <a:latin typeface="Cambria Math"/>
                              </a:rPr>
                              <m:t>𝑟</m:t>
                            </m:r>
                          </m:e>
                          <m:sub>
                            <m:r>
                              <a:rPr lang="en-US" sz="2400" b="0" i="1">
                                <a:latin typeface="Cambria Math"/>
                              </a:rPr>
                              <m:t>𝐵𝐷</m:t>
                            </m:r>
                          </m:sub>
                        </m:sSub>
                        <m:r>
                          <a:rPr lang="en-US" sz="2400" b="0" i="1">
                            <a:latin typeface="Cambria Math"/>
                          </a:rPr>
                          <m:t>)</m:t>
                        </m:r>
                      </m:num>
                      <m:den>
                        <m:r>
                          <a:rPr lang="en-US" sz="2400" b="0" i="1">
                            <a:latin typeface="Cambria Math"/>
                          </a:rPr>
                          <m:t>(360−</m:t>
                        </m:r>
                        <m:d>
                          <m:dPr>
                            <m:ctrlPr>
                              <a:rPr lang="ru-RU" sz="2400" i="1">
                                <a:latin typeface="Cambria Math" panose="02040503050406030204" pitchFamily="18" charset="0"/>
                              </a:rPr>
                            </m:ctrlPr>
                          </m:dPr>
                          <m:e>
                            <m:r>
                              <a:rPr lang="en-US" sz="2400" b="0" i="1">
                                <a:latin typeface="Cambria Math"/>
                              </a:rPr>
                              <m:t>𝑡</m:t>
                            </m:r>
                            <m:r>
                              <a:rPr lang="en-US" sz="2400" b="0" i="1">
                                <a:latin typeface="Cambria Math"/>
                              </a:rPr>
                              <m:t>∗</m:t>
                            </m:r>
                            <m:sSub>
                              <m:sSubPr>
                                <m:ctrlPr>
                                  <a:rPr lang="ru-RU" sz="2400" i="1">
                                    <a:latin typeface="Cambria Math" panose="02040503050406030204" pitchFamily="18" charset="0"/>
                                  </a:rPr>
                                </m:ctrlPr>
                              </m:sSubPr>
                              <m:e>
                                <m:r>
                                  <a:rPr lang="en-US" sz="2400" b="0" i="1">
                                    <a:latin typeface="Cambria Math"/>
                                  </a:rPr>
                                  <m:t>𝑟</m:t>
                                </m:r>
                              </m:e>
                              <m:sub>
                                <m:r>
                                  <a:rPr lang="en-US" sz="2400" b="0" i="1">
                                    <a:latin typeface="Cambria Math"/>
                                  </a:rPr>
                                  <m:t>𝐵𝐷</m:t>
                                </m:r>
                              </m:sub>
                            </m:sSub>
                          </m:e>
                        </m:d>
                        <m:r>
                          <a:rPr lang="en-US" sz="2400" b="0" i="1">
                            <a:latin typeface="Cambria Math"/>
                          </a:rPr>
                          <m:t>)</m:t>
                        </m:r>
                      </m:den>
                    </m:f>
                  </m:oMath>
                </m:oMathPara>
              </a14:m>
              <a:endParaRPr lang="ru-RU" sz="2400"/>
            </a:p>
          </xdr:txBody>
        </xdr:sp>
      </mc:Choice>
      <mc:Fallback xmlns="">
        <xdr:sp macro="" textlink="">
          <xdr:nvSpPr>
            <xdr:cNvPr id="4" name="Прямоугольник 3">
              <a:extLst>
                <a:ext uri="{FF2B5EF4-FFF2-40B4-BE49-F238E27FC236}">
                  <a16:creationId xmlns:a16="http://schemas.microsoft.com/office/drawing/2014/main" id="{ED85535E-0C27-43E0-85B7-B513EECF6A73}"/>
                </a:ext>
              </a:extLst>
            </xdr:cNvPr>
            <xdr:cNvSpPr/>
          </xdr:nvSpPr>
          <xdr:spPr>
            <a:xfrm>
              <a:off x="6115050" y="5048250"/>
              <a:ext cx="6799483" cy="861326"/>
            </a:xfrm>
            <a:prstGeom prst="rect">
              <a:avLst/>
            </a:prstGeom>
          </xdr:spPr>
          <xdr:txBody>
            <a:bodyPr wrap="square">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ru-RU" sz="2400" b="0" i="0">
                  <a:latin typeface="Cambria Math"/>
                </a:rPr>
                <a:t>𝑀𝑜𝑛𝑒</a:t>
              </a:r>
              <a:r>
                <a:rPr lang="en-US" sz="2400" b="0" i="0">
                  <a:latin typeface="Cambria Math"/>
                </a:rPr>
                <a:t>𝑦 𝑚𝑎𝑟𝑘𝑒𝑡 𝑦𝑖𝑒𝑙𝑑=  </a:t>
              </a:r>
              <a:r>
                <a:rPr lang="ru-RU" sz="2400" b="0" i="0">
                  <a:latin typeface="Cambria Math" panose="02040503050406030204" pitchFamily="18" charset="0"/>
                </a:rPr>
                <a:t>(</a:t>
              </a:r>
              <a:r>
                <a:rPr lang="en-US" sz="2400" b="0" i="0">
                  <a:latin typeface="Cambria Math"/>
                </a:rPr>
                <a:t>(360∗𝑟</a:t>
              </a:r>
              <a:r>
                <a:rPr lang="ru-RU" sz="2400" b="0" i="0">
                  <a:latin typeface="Cambria Math" panose="02040503050406030204" pitchFamily="18" charset="0"/>
                </a:rPr>
                <a:t>_</a:t>
              </a:r>
              <a:r>
                <a:rPr lang="en-US" sz="2400" b="0" i="0">
                  <a:latin typeface="Cambria Math"/>
                </a:rPr>
                <a:t>𝐵𝐷)</a:t>
              </a:r>
              <a:r>
                <a:rPr lang="ru-RU" sz="2400" b="0" i="0">
                  <a:latin typeface="Cambria Math" panose="02040503050406030204" pitchFamily="18" charset="0"/>
                </a:rPr>
                <a:t>)/(</a:t>
              </a:r>
              <a:r>
                <a:rPr lang="en-US" sz="2400" b="0" i="0">
                  <a:latin typeface="Cambria Math"/>
                </a:rPr>
                <a:t>(360−</a:t>
              </a:r>
              <a:r>
                <a:rPr lang="ru-RU" sz="2400" b="0" i="0">
                  <a:latin typeface="Cambria Math" panose="02040503050406030204" pitchFamily="18" charset="0"/>
                </a:rPr>
                <a:t>(</a:t>
              </a:r>
              <a:r>
                <a:rPr lang="en-US" sz="2400" b="0" i="0">
                  <a:latin typeface="Cambria Math"/>
                </a:rPr>
                <a:t>𝑡∗𝑟</a:t>
              </a:r>
              <a:r>
                <a:rPr lang="ru-RU" sz="2400" b="0" i="0">
                  <a:latin typeface="Cambria Math" panose="02040503050406030204" pitchFamily="18" charset="0"/>
                </a:rPr>
                <a:t>_</a:t>
              </a:r>
              <a:r>
                <a:rPr lang="en-US" sz="2400" b="0" i="0">
                  <a:latin typeface="Cambria Math"/>
                </a:rPr>
                <a:t>𝐵𝐷</a:t>
              </a:r>
              <a:r>
                <a:rPr lang="en-US" sz="2400" b="0" i="0">
                  <a:latin typeface="Cambria Math" panose="02040503050406030204" pitchFamily="18" charset="0"/>
                </a:rPr>
                <a:t> )</a:t>
              </a:r>
              <a:r>
                <a:rPr lang="en-US" sz="2400" b="0" i="0">
                  <a:latin typeface="Cambria Math"/>
                </a:rPr>
                <a:t>)</a:t>
              </a:r>
              <a:r>
                <a:rPr lang="ru-RU" sz="2400" b="0" i="0">
                  <a:latin typeface="Cambria Math" panose="02040503050406030204" pitchFamily="18" charset="0"/>
                </a:rPr>
                <a:t>)</a:t>
              </a:r>
              <a:endParaRPr lang="ru-RU" sz="2400"/>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3</xdr:col>
      <xdr:colOff>1083128</xdr:colOff>
      <xdr:row>71</xdr:row>
      <xdr:rowOff>144916</xdr:rowOff>
    </xdr:from>
    <xdr:ext cx="8543925" cy="982898"/>
    <mc:AlternateContent xmlns:mc="http://schemas.openxmlformats.org/markup-compatibility/2006" xmlns:a14="http://schemas.microsoft.com/office/drawing/2010/main">
      <mc:Choice Requires="a14">
        <xdr:sp macro="" textlink="">
          <xdr:nvSpPr>
            <xdr:cNvPr id="2" name="TextBox 1"/>
            <xdr:cNvSpPr txBox="1"/>
          </xdr:nvSpPr>
          <xdr:spPr>
            <a:xfrm>
              <a:off x="4267199" y="17534845"/>
              <a:ext cx="8543925" cy="9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800" b="0" i="1">
                        <a:latin typeface="Cambria Math"/>
                      </a:rPr>
                      <m:t>𝑅𝑒𝑡𝑢𝑟𝑛</m:t>
                    </m:r>
                    <m:r>
                      <a:rPr lang="en-US" sz="2800" b="0" i="1">
                        <a:latin typeface="Cambria Math"/>
                      </a:rPr>
                      <m:t>=</m:t>
                    </m:r>
                    <m:f>
                      <m:fPr>
                        <m:ctrlPr>
                          <a:rPr lang="en-US" sz="2800" b="0" i="1">
                            <a:latin typeface="Cambria Math" panose="02040503050406030204" pitchFamily="18" charset="0"/>
                          </a:rPr>
                        </m:ctrlPr>
                      </m:fPr>
                      <m:num>
                        <m:r>
                          <a:rPr lang="en-US" sz="2800" b="0" i="1">
                            <a:latin typeface="Cambria Math"/>
                          </a:rPr>
                          <m:t>𝑅𝑒𝑐𝑒𝑖𝑣𝑒𝑑</m:t>
                        </m:r>
                        <m:r>
                          <a:rPr lang="en-US" sz="2800" b="0" i="1">
                            <a:latin typeface="Cambria Math"/>
                          </a:rPr>
                          <m:t> </m:t>
                        </m:r>
                        <m:r>
                          <a:rPr lang="en-US" sz="2800" b="0" i="1">
                            <a:latin typeface="Cambria Math"/>
                          </a:rPr>
                          <m:t>𝑡𝑜𝑡𝑎𝑙</m:t>
                        </m:r>
                        <m:r>
                          <a:rPr lang="en-US" sz="2800" b="0" i="1">
                            <a:latin typeface="Cambria Math"/>
                          </a:rPr>
                          <m:t> </m:t>
                        </m:r>
                        <m:r>
                          <a:rPr lang="en-US" sz="2800" b="0" i="1">
                            <a:latin typeface="Cambria Math"/>
                          </a:rPr>
                          <m:t>𝑖𝑛𝑐𝑜𝑚𝑒</m:t>
                        </m:r>
                        <m:r>
                          <a:rPr lang="en-US" sz="2800" b="0" i="1">
                            <a:latin typeface="Cambria Math"/>
                          </a:rPr>
                          <m:t>−</m:t>
                        </m:r>
                        <m:r>
                          <a:rPr lang="en-US" sz="2800" b="0" i="1">
                            <a:solidFill>
                              <a:schemeClr val="tx1"/>
                            </a:solidFill>
                            <a:effectLst/>
                            <a:latin typeface="Cambria Math" panose="02040503050406030204" pitchFamily="18" charset="0"/>
                            <a:ea typeface="+mn-ea"/>
                            <a:cs typeface="+mn-cs"/>
                          </a:rPr>
                          <m:t>𝑃𝑢𝑟h𝑎𝑠𝑒</m:t>
                        </m:r>
                        <m:r>
                          <a:rPr lang="en-US" sz="2800" b="0" i="1">
                            <a:solidFill>
                              <a:schemeClr val="tx1"/>
                            </a:solidFill>
                            <a:effectLst/>
                            <a:latin typeface="Cambria Math" panose="02040503050406030204" pitchFamily="18" charset="0"/>
                            <a:ea typeface="+mn-ea"/>
                            <a:cs typeface="+mn-cs"/>
                          </a:rPr>
                          <m:t> </m:t>
                        </m:r>
                        <m:r>
                          <a:rPr lang="en-US" sz="2800" b="0" i="1">
                            <a:solidFill>
                              <a:schemeClr val="tx1"/>
                            </a:solidFill>
                            <a:effectLst/>
                            <a:latin typeface="Cambria Math" panose="02040503050406030204" pitchFamily="18" charset="0"/>
                            <a:ea typeface="+mn-ea"/>
                            <a:cs typeface="+mn-cs"/>
                          </a:rPr>
                          <m:t>𝑝𝑟𝑖𝑐𝑒</m:t>
                        </m:r>
                      </m:num>
                      <m:den>
                        <m:r>
                          <a:rPr lang="en-US" sz="2800" b="0" i="1">
                            <a:latin typeface="Cambria Math"/>
                          </a:rPr>
                          <m:t>𝑃𝑢𝑟𝑐h𝑎𝑠𝑒</m:t>
                        </m:r>
                        <m:r>
                          <a:rPr lang="en-US" sz="2800" b="0" i="1">
                            <a:latin typeface="Cambria Math"/>
                          </a:rPr>
                          <m:t> </m:t>
                        </m:r>
                        <m:r>
                          <a:rPr lang="en-US" sz="2800" b="0" i="1">
                            <a:latin typeface="Cambria Math"/>
                          </a:rPr>
                          <m:t>𝑝𝑟𝑖𝑐𝑒</m:t>
                        </m:r>
                      </m:den>
                    </m:f>
                  </m:oMath>
                </m:oMathPara>
              </a14:m>
              <a:endParaRPr lang="ru-RU" sz="2800"/>
            </a:p>
          </xdr:txBody>
        </xdr:sp>
      </mc:Choice>
      <mc:Fallback xmlns="">
        <xdr:sp macro="" textlink="">
          <xdr:nvSpPr>
            <xdr:cNvPr id="2" name="TextBox 1"/>
            <xdr:cNvSpPr txBox="1"/>
          </xdr:nvSpPr>
          <xdr:spPr>
            <a:xfrm>
              <a:off x="4267199" y="17534845"/>
              <a:ext cx="8543925" cy="9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800" b="0" i="0">
                  <a:latin typeface="Cambria Math"/>
                </a:rPr>
                <a:t>𝑅𝑒𝑡𝑢𝑟𝑛=</a:t>
              </a:r>
              <a:r>
                <a:rPr lang="en-US" sz="2800" b="0" i="0">
                  <a:latin typeface="Cambria Math" panose="02040503050406030204" pitchFamily="18" charset="0"/>
                </a:rPr>
                <a:t>(</a:t>
              </a:r>
              <a:r>
                <a:rPr lang="en-US" sz="2800" b="0" i="0">
                  <a:latin typeface="Cambria Math"/>
                </a:rPr>
                <a:t>𝑅𝑒𝑐𝑒𝑖𝑣𝑒𝑑 𝑡𝑜𝑡𝑎𝑙 𝑖𝑛𝑐𝑜𝑚𝑒−</a:t>
              </a:r>
              <a:r>
                <a:rPr lang="en-US" sz="2800" b="0" i="0">
                  <a:solidFill>
                    <a:schemeClr val="tx1"/>
                  </a:solidFill>
                  <a:effectLst/>
                  <a:latin typeface="Cambria Math" panose="02040503050406030204" pitchFamily="18" charset="0"/>
                  <a:ea typeface="+mn-ea"/>
                  <a:cs typeface="+mn-cs"/>
                </a:rPr>
                <a:t>𝑃𝑢𝑟ℎ𝑎𝑠𝑒 𝑝𝑟𝑖𝑐𝑒)/(</a:t>
              </a:r>
              <a:r>
                <a:rPr lang="en-US" sz="2800" b="0" i="0">
                  <a:latin typeface="Cambria Math"/>
                </a:rPr>
                <a:t>𝑃𝑢𝑟𝑐ℎ𝑎𝑠𝑒 𝑝𝑟𝑖𝑐𝑒</a:t>
              </a:r>
              <a:r>
                <a:rPr lang="en-US" sz="2800" b="0" i="0">
                  <a:latin typeface="Cambria Math" panose="02040503050406030204" pitchFamily="18" charset="0"/>
                </a:rPr>
                <a:t>)</a:t>
              </a:r>
              <a:endParaRPr lang="ru-RU" sz="28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oneCellAnchor>
    <xdr:from>
      <xdr:col>4</xdr:col>
      <xdr:colOff>61480</xdr:colOff>
      <xdr:row>10</xdr:row>
      <xdr:rowOff>65809</xdr:rowOff>
    </xdr:from>
    <xdr:ext cx="9617937" cy="2064328"/>
    <xdr:pic>
      <xdr:nvPicPr>
        <xdr:cNvPr id="2" name="Рисунок 1">
          <a:extLst>
            <a:ext uri="{FF2B5EF4-FFF2-40B4-BE49-F238E27FC236}">
              <a16:creationId xmlns:a16="http://schemas.microsoft.com/office/drawing/2014/main" id="{18A544E1-535E-42D4-A3A9-93F6EB8CD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05525" y="2490354"/>
          <a:ext cx="9617937" cy="20643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333374</xdr:colOff>
      <xdr:row>26</xdr:row>
      <xdr:rowOff>100010</xdr:rowOff>
    </xdr:from>
    <xdr:ext cx="11439525" cy="1304268"/>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84B15C2F-EB2E-4934-807B-58BF1492424F}"/>
                </a:ext>
              </a:extLst>
            </xdr:cNvPr>
            <xdr:cNvSpPr txBox="1"/>
          </xdr:nvSpPr>
          <xdr:spPr>
            <a:xfrm>
              <a:off x="2162174" y="5053010"/>
              <a:ext cx="11439525" cy="1304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de-DE" sz="2800" b="0" i="1">
                        <a:latin typeface="Cambria Math"/>
                      </a:rPr>
                      <m:t>𝑁𝑃𝑉</m:t>
                    </m:r>
                    <m:r>
                      <a:rPr lang="en-US" sz="2800" b="0" i="1">
                        <a:latin typeface="Cambria Math"/>
                      </a:rPr>
                      <m:t>=</m:t>
                    </m:r>
                    <m:f>
                      <m:fPr>
                        <m:ctrlPr>
                          <a:rPr lang="en-US" sz="2800" b="0" i="1">
                            <a:solidFill>
                              <a:schemeClr val="tx1"/>
                            </a:solidFill>
                            <a:effectLst/>
                            <a:latin typeface="Cambria Math" panose="02040503050406030204" pitchFamily="18" charset="0"/>
                            <a:ea typeface="+mn-ea"/>
                            <a:cs typeface="+mn-cs"/>
                          </a:rPr>
                        </m:ctrlPr>
                      </m:fPr>
                      <m:num>
                        <m:r>
                          <a:rPr lang="ru-RU" sz="2800" b="0" i="1">
                            <a:solidFill>
                              <a:schemeClr val="tx1"/>
                            </a:solidFill>
                            <a:effectLst/>
                            <a:latin typeface="Cambria Math"/>
                            <a:ea typeface="+mn-ea"/>
                            <a:cs typeface="+mn-cs"/>
                          </a:rPr>
                          <m:t>−</m:t>
                        </m:r>
                        <m:sSub>
                          <m:sSubPr>
                            <m:ctrlPr>
                              <a:rPr lang="en-US" sz="2800" b="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a:ea typeface="+mn-ea"/>
                                <a:cs typeface="+mn-cs"/>
                              </a:rPr>
                              <m:t>𝐶𝐹</m:t>
                            </m:r>
                          </m:e>
                          <m:sub>
                            <m:r>
                              <a:rPr lang="ru-RU" sz="2800" b="0" i="1">
                                <a:solidFill>
                                  <a:schemeClr val="tx1"/>
                                </a:solidFill>
                                <a:effectLst/>
                                <a:latin typeface="Cambria Math"/>
                                <a:ea typeface="+mn-ea"/>
                                <a:cs typeface="+mn-cs"/>
                              </a:rPr>
                              <m:t>0</m:t>
                            </m:r>
                          </m:sub>
                        </m:sSub>
                      </m:num>
                      <m:den>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ru-RU" sz="2800" b="0" i="1">
                                <a:solidFill>
                                  <a:schemeClr val="tx1"/>
                                </a:solidFill>
                                <a:effectLst/>
                                <a:latin typeface="Cambria Math"/>
                                <a:ea typeface="+mn-ea"/>
                                <a:cs typeface="+mn-cs"/>
                              </a:rPr>
                              <m:t>0</m:t>
                            </m:r>
                          </m:sup>
                        </m:sSup>
                      </m:den>
                    </m:f>
                    <m:r>
                      <a:rPr lang="en-US" sz="2800" b="0" i="1">
                        <a:latin typeface="Cambria Math"/>
                      </a:rPr>
                      <m:t>+</m:t>
                    </m:r>
                    <m:f>
                      <m:fPr>
                        <m:ctrlPr>
                          <a:rPr lang="en-US" sz="2800" b="0" i="1">
                            <a:latin typeface="Cambria Math" panose="02040503050406030204" pitchFamily="18" charset="0"/>
                          </a:rPr>
                        </m:ctrlPr>
                      </m:fPr>
                      <m:num>
                        <m:sSub>
                          <m:sSubPr>
                            <m:ctrlPr>
                              <a:rPr lang="en-US" sz="2800" b="0" i="1">
                                <a:latin typeface="Cambria Math" panose="02040503050406030204" pitchFamily="18" charset="0"/>
                              </a:rPr>
                            </m:ctrlPr>
                          </m:sSubPr>
                          <m:e>
                            <m:r>
                              <a:rPr lang="en-US" sz="2800" b="0" i="1">
                                <a:latin typeface="Cambria Math"/>
                              </a:rPr>
                              <m:t>𝐶𝐹</m:t>
                            </m:r>
                          </m:e>
                          <m:sub>
                            <m:r>
                              <a:rPr lang="en-US" sz="2800" b="0" i="1">
                                <a:latin typeface="Cambria Math"/>
                              </a:rPr>
                              <m:t>1</m:t>
                            </m:r>
                          </m:sub>
                        </m:sSub>
                      </m:num>
                      <m:den>
                        <m:sSup>
                          <m:sSupPr>
                            <m:ctrlPr>
                              <a:rPr lang="en-US" sz="2800" b="0" i="1">
                                <a:latin typeface="Cambria Math" panose="02040503050406030204" pitchFamily="18" charset="0"/>
                              </a:rPr>
                            </m:ctrlPr>
                          </m:sSupPr>
                          <m:e>
                            <m:d>
                              <m:dPr>
                                <m:ctrlPr>
                                  <a:rPr lang="en-US" sz="2800" b="0" i="1">
                                    <a:latin typeface="Cambria Math" panose="02040503050406030204" pitchFamily="18" charset="0"/>
                                  </a:rPr>
                                </m:ctrlPr>
                              </m:dPr>
                              <m:e>
                                <m:r>
                                  <a:rPr lang="en-US" sz="2800" b="0" i="1">
                                    <a:latin typeface="Cambria Math"/>
                                  </a:rPr>
                                  <m:t>1+</m:t>
                                </m:r>
                                <m:r>
                                  <a:rPr lang="en-US" sz="2800" b="0" i="1">
                                    <a:latin typeface="Cambria Math"/>
                                  </a:rPr>
                                  <m:t>𝑟</m:t>
                                </m:r>
                              </m:e>
                            </m:d>
                          </m:e>
                          <m:sup>
                            <m:r>
                              <a:rPr lang="en-US" sz="2800" b="0" i="1">
                                <a:latin typeface="Cambria Math"/>
                              </a:rPr>
                              <m:t>1</m:t>
                            </m:r>
                          </m:sup>
                        </m:sSup>
                      </m:den>
                    </m:f>
                    <m:r>
                      <a:rPr lang="en-US" sz="2800" b="0" i="1">
                        <a:latin typeface="Cambria Math"/>
                      </a:rPr>
                      <m:t>+</m:t>
                    </m:r>
                    <m:f>
                      <m:fPr>
                        <m:ctrlPr>
                          <a:rPr lang="en-US" sz="2800" b="0" i="1">
                            <a:solidFill>
                              <a:schemeClr val="tx1"/>
                            </a:solidFill>
                            <a:effectLst/>
                            <a:latin typeface="Cambria Math" panose="02040503050406030204" pitchFamily="18" charset="0"/>
                            <a:ea typeface="+mn-ea"/>
                            <a:cs typeface="+mn-cs"/>
                          </a:rPr>
                        </m:ctrlPr>
                      </m:fPr>
                      <m:num>
                        <m:sSub>
                          <m:sSubPr>
                            <m:ctrlPr>
                              <a:rPr lang="en-US" sz="2800" b="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a:ea typeface="+mn-ea"/>
                                <a:cs typeface="+mn-cs"/>
                              </a:rPr>
                              <m:t>𝐶𝐹</m:t>
                            </m:r>
                          </m:e>
                          <m:sub>
                            <m:r>
                              <a:rPr lang="en-US" sz="2800" b="0" i="1">
                                <a:solidFill>
                                  <a:schemeClr val="tx1"/>
                                </a:solidFill>
                                <a:effectLst/>
                                <a:latin typeface="Cambria Math"/>
                                <a:ea typeface="+mn-ea"/>
                                <a:cs typeface="+mn-cs"/>
                              </a:rPr>
                              <m:t>2</m:t>
                            </m:r>
                          </m:sub>
                        </m:sSub>
                      </m:num>
                      <m:den>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2</m:t>
                            </m:r>
                          </m:sup>
                        </m:sSup>
                      </m:den>
                    </m:f>
                    <m:r>
                      <a:rPr lang="en-US" sz="2800" b="0" i="1">
                        <a:solidFill>
                          <a:schemeClr val="tx1"/>
                        </a:solidFill>
                        <a:effectLst/>
                        <a:latin typeface="Cambria Math"/>
                        <a:ea typeface="+mn-ea"/>
                        <a:cs typeface="+mn-cs"/>
                      </a:rPr>
                      <m:t>+…+</m:t>
                    </m:r>
                    <m:f>
                      <m:fPr>
                        <m:ctrlPr>
                          <a:rPr lang="en-US" sz="2800" b="0" i="1">
                            <a:solidFill>
                              <a:schemeClr val="tx1"/>
                            </a:solidFill>
                            <a:effectLst/>
                            <a:latin typeface="Cambria Math" panose="02040503050406030204" pitchFamily="18" charset="0"/>
                            <a:ea typeface="+mn-ea"/>
                            <a:cs typeface="+mn-cs"/>
                          </a:rPr>
                        </m:ctrlPr>
                      </m:fPr>
                      <m:num>
                        <m:sSub>
                          <m:sSubPr>
                            <m:ctrlPr>
                              <a:rPr lang="en-US" sz="2800" b="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a:ea typeface="+mn-ea"/>
                                <a:cs typeface="+mn-cs"/>
                              </a:rPr>
                              <m:t>𝐶𝐹</m:t>
                            </m:r>
                          </m:e>
                          <m:sub>
                            <m:r>
                              <a:rPr lang="en-US" sz="2800" b="0" i="1">
                                <a:solidFill>
                                  <a:schemeClr val="tx1"/>
                                </a:solidFill>
                                <a:effectLst/>
                                <a:latin typeface="Cambria Math"/>
                                <a:ea typeface="+mn-ea"/>
                                <a:cs typeface="+mn-cs"/>
                              </a:rPr>
                              <m:t>𝑁</m:t>
                            </m:r>
                          </m:sub>
                        </m:sSub>
                      </m:num>
                      <m:den>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𝑁</m:t>
                            </m:r>
                          </m:sup>
                        </m:sSup>
                      </m:den>
                    </m:f>
                    <m:r>
                      <a:rPr lang="en-US" sz="2800" b="0" i="1">
                        <a:solidFill>
                          <a:schemeClr val="tx1"/>
                        </a:solidFill>
                        <a:effectLst/>
                        <a:latin typeface="Cambria Math"/>
                        <a:ea typeface="+mn-ea"/>
                        <a:cs typeface="+mn-cs"/>
                      </a:rPr>
                      <m:t>=</m:t>
                    </m:r>
                    <m:nary>
                      <m:naryPr>
                        <m:chr m:val="∑"/>
                        <m:ctrlPr>
                          <a:rPr lang="en-US" sz="2800" b="0" i="1">
                            <a:solidFill>
                              <a:schemeClr val="tx1"/>
                            </a:solidFill>
                            <a:effectLst/>
                            <a:latin typeface="Cambria Math" panose="02040503050406030204" pitchFamily="18" charset="0"/>
                            <a:ea typeface="+mn-ea"/>
                            <a:cs typeface="+mn-cs"/>
                          </a:rPr>
                        </m:ctrlPr>
                      </m:naryPr>
                      <m:sub>
                        <m:r>
                          <m:rPr>
                            <m:brk m:alnAt="23"/>
                          </m:rPr>
                          <a:rPr lang="en-US" sz="2800" b="0" i="1">
                            <a:solidFill>
                              <a:schemeClr val="tx1"/>
                            </a:solidFill>
                            <a:effectLst/>
                            <a:latin typeface="Cambria Math"/>
                            <a:ea typeface="+mn-ea"/>
                            <a:cs typeface="+mn-cs"/>
                          </a:rPr>
                          <m:t>𝑡</m:t>
                        </m:r>
                        <m:r>
                          <a:rPr lang="en-US" sz="2800" b="0" i="1">
                            <a:solidFill>
                              <a:schemeClr val="tx1"/>
                            </a:solidFill>
                            <a:effectLst/>
                            <a:latin typeface="Cambria Math"/>
                            <a:ea typeface="+mn-ea"/>
                            <a:cs typeface="+mn-cs"/>
                          </a:rPr>
                          <m:t>=0</m:t>
                        </m:r>
                      </m:sub>
                      <m:sup>
                        <m:r>
                          <a:rPr lang="en-US" sz="2800" b="0" i="1">
                            <a:solidFill>
                              <a:schemeClr val="tx1"/>
                            </a:solidFill>
                            <a:effectLst/>
                            <a:latin typeface="Cambria Math"/>
                            <a:ea typeface="+mn-ea"/>
                            <a:cs typeface="+mn-cs"/>
                          </a:rPr>
                          <m:t>𝑁</m:t>
                        </m:r>
                      </m:sup>
                      <m:e>
                        <m:f>
                          <m:fPr>
                            <m:ctrlPr>
                              <a:rPr lang="en-US" sz="2800" b="0" i="1">
                                <a:solidFill>
                                  <a:schemeClr val="tx1"/>
                                </a:solidFill>
                                <a:effectLst/>
                                <a:latin typeface="Cambria Math" panose="02040503050406030204" pitchFamily="18" charset="0"/>
                                <a:ea typeface="+mn-ea"/>
                                <a:cs typeface="+mn-cs"/>
                              </a:rPr>
                            </m:ctrlPr>
                          </m:fPr>
                          <m:num>
                            <m:sSub>
                              <m:sSubPr>
                                <m:ctrlPr>
                                  <a:rPr lang="en-US" sz="2800" b="0" i="1">
                                    <a:solidFill>
                                      <a:schemeClr val="tx1"/>
                                    </a:solidFill>
                                    <a:effectLst/>
                                    <a:latin typeface="Cambria Math" panose="02040503050406030204" pitchFamily="18" charset="0"/>
                                    <a:ea typeface="+mn-ea"/>
                                    <a:cs typeface="+mn-cs"/>
                                  </a:rPr>
                                </m:ctrlPr>
                              </m:sSubPr>
                              <m:e>
                                <m:r>
                                  <a:rPr lang="en-US" sz="2800" b="0" i="1">
                                    <a:solidFill>
                                      <a:schemeClr val="tx1"/>
                                    </a:solidFill>
                                    <a:effectLst/>
                                    <a:latin typeface="Cambria Math"/>
                                    <a:ea typeface="+mn-ea"/>
                                    <a:cs typeface="+mn-cs"/>
                                  </a:rPr>
                                  <m:t>𝐶𝐹</m:t>
                                </m:r>
                              </m:e>
                              <m:sub>
                                <m:r>
                                  <a:rPr lang="en-US" sz="2800" b="0" i="1">
                                    <a:solidFill>
                                      <a:schemeClr val="tx1"/>
                                    </a:solidFill>
                                    <a:effectLst/>
                                    <a:latin typeface="Cambria Math"/>
                                    <a:ea typeface="+mn-ea"/>
                                    <a:cs typeface="+mn-cs"/>
                                  </a:rPr>
                                  <m:t>𝑡</m:t>
                                </m:r>
                              </m:sub>
                            </m:sSub>
                          </m:num>
                          <m:den>
                            <m:sSup>
                              <m:sSupPr>
                                <m:ctrlPr>
                                  <a:rPr lang="en-US" sz="2800" b="0" i="1">
                                    <a:solidFill>
                                      <a:schemeClr val="tx1"/>
                                    </a:solidFill>
                                    <a:effectLst/>
                                    <a:latin typeface="Cambria Math" panose="02040503050406030204" pitchFamily="18" charset="0"/>
                                    <a:ea typeface="+mn-ea"/>
                                    <a:cs typeface="+mn-cs"/>
                                  </a:rPr>
                                </m:ctrlPr>
                              </m:sSupPr>
                              <m:e>
                                <m:d>
                                  <m:dPr>
                                    <m:ctrlPr>
                                      <a:rPr lang="en-US" sz="2800" b="0" i="1">
                                        <a:solidFill>
                                          <a:schemeClr val="tx1"/>
                                        </a:solidFill>
                                        <a:effectLst/>
                                        <a:latin typeface="Cambria Math" panose="02040503050406030204" pitchFamily="18" charset="0"/>
                                        <a:ea typeface="+mn-ea"/>
                                        <a:cs typeface="+mn-cs"/>
                                      </a:rPr>
                                    </m:ctrlPr>
                                  </m:dPr>
                                  <m:e>
                                    <m:r>
                                      <a:rPr lang="en-US" sz="2800" b="0" i="1">
                                        <a:solidFill>
                                          <a:schemeClr val="tx1"/>
                                        </a:solidFill>
                                        <a:effectLst/>
                                        <a:latin typeface="Cambria Math"/>
                                        <a:ea typeface="+mn-ea"/>
                                        <a:cs typeface="+mn-cs"/>
                                      </a:rPr>
                                      <m:t>1+</m:t>
                                    </m:r>
                                    <m:r>
                                      <a:rPr lang="en-US" sz="2800" b="0" i="1">
                                        <a:solidFill>
                                          <a:schemeClr val="tx1"/>
                                        </a:solidFill>
                                        <a:effectLst/>
                                        <a:latin typeface="Cambria Math"/>
                                        <a:ea typeface="+mn-ea"/>
                                        <a:cs typeface="+mn-cs"/>
                                      </a:rPr>
                                      <m:t>𝑟</m:t>
                                    </m:r>
                                  </m:e>
                                </m:d>
                              </m:e>
                              <m:sup>
                                <m:r>
                                  <a:rPr lang="en-US" sz="2800" b="0" i="1">
                                    <a:solidFill>
                                      <a:schemeClr val="tx1"/>
                                    </a:solidFill>
                                    <a:effectLst/>
                                    <a:latin typeface="Cambria Math"/>
                                    <a:ea typeface="+mn-ea"/>
                                    <a:cs typeface="+mn-cs"/>
                                  </a:rPr>
                                  <m:t>𝑡</m:t>
                                </m:r>
                              </m:sup>
                            </m:sSup>
                          </m:den>
                        </m:f>
                      </m:e>
                    </m:nary>
                  </m:oMath>
                </m:oMathPara>
              </a14:m>
              <a:endParaRPr lang="ru-RU" sz="2800"/>
            </a:p>
          </xdr:txBody>
        </xdr:sp>
      </mc:Choice>
      <mc:Fallback xmlns="">
        <xdr:sp macro="" textlink="">
          <xdr:nvSpPr>
            <xdr:cNvPr id="3" name="TextBox 2">
              <a:extLst>
                <a:ext uri="{FF2B5EF4-FFF2-40B4-BE49-F238E27FC236}">
                  <a16:creationId xmlns:a16="http://schemas.microsoft.com/office/drawing/2014/main" id="{84B15C2F-EB2E-4934-807B-58BF1492424F}"/>
                </a:ext>
              </a:extLst>
            </xdr:cNvPr>
            <xdr:cNvSpPr txBox="1"/>
          </xdr:nvSpPr>
          <xdr:spPr>
            <a:xfrm>
              <a:off x="2162174" y="5053010"/>
              <a:ext cx="11439525" cy="1304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de-DE" sz="2800" b="0" i="0">
                  <a:latin typeface="Cambria Math"/>
                </a:rPr>
                <a:t>𝑁𝑃𝑉</a:t>
              </a:r>
              <a:r>
                <a:rPr lang="en-US" sz="2800" b="0" i="0">
                  <a:latin typeface="Cambria Math"/>
                </a:rPr>
                <a:t>=</a:t>
              </a:r>
              <a:r>
                <a:rPr lang="en-US" sz="2800" b="0" i="0">
                  <a:solidFill>
                    <a:schemeClr val="tx1"/>
                  </a:solidFill>
                  <a:effectLst/>
                  <a:latin typeface="Cambria Math" panose="02040503050406030204" pitchFamily="18" charset="0"/>
                  <a:ea typeface="+mn-ea"/>
                  <a:cs typeface="+mn-cs"/>
                </a:rPr>
                <a:t>(</a:t>
              </a:r>
              <a:r>
                <a:rPr lang="ru-RU" sz="2800" b="0" i="0">
                  <a:solidFill>
                    <a:schemeClr val="tx1"/>
                  </a:solidFill>
                  <a:effectLst/>
                  <a:latin typeface="Cambria Math"/>
                  <a:ea typeface="+mn-ea"/>
                  <a:cs typeface="+mn-cs"/>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𝐶𝐹</a:t>
              </a:r>
              <a:r>
                <a:rPr lang="en-US" sz="2800" b="0" i="0">
                  <a:solidFill>
                    <a:schemeClr val="tx1"/>
                  </a:solidFill>
                  <a:effectLst/>
                  <a:latin typeface="Cambria Math" panose="02040503050406030204" pitchFamily="18" charset="0"/>
                  <a:ea typeface="+mn-ea"/>
                  <a:cs typeface="+mn-cs"/>
                </a:rPr>
                <a:t>〗_</a:t>
              </a:r>
              <a:r>
                <a:rPr lang="ru-RU" sz="2800" b="0" i="0">
                  <a:solidFill>
                    <a:schemeClr val="tx1"/>
                  </a:solidFill>
                  <a:effectLst/>
                  <a:latin typeface="Cambria Math"/>
                  <a:ea typeface="+mn-ea"/>
                  <a:cs typeface="+mn-cs"/>
                </a:rPr>
                <a:t>0</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ru-RU" sz="2800" b="0" i="0">
                  <a:solidFill>
                    <a:schemeClr val="tx1"/>
                  </a:solidFill>
                  <a:effectLst/>
                  <a:latin typeface="Cambria Math"/>
                  <a:ea typeface="+mn-ea"/>
                  <a:cs typeface="+mn-cs"/>
                </a:rPr>
                <a:t>0</a:t>
              </a:r>
              <a:r>
                <a:rPr lang="ru-RU" sz="2800" b="0" i="0">
                  <a:solidFill>
                    <a:schemeClr val="tx1"/>
                  </a:solidFill>
                  <a:effectLst/>
                  <a:latin typeface="Cambria Math" panose="02040503050406030204" pitchFamily="18" charset="0"/>
                  <a:ea typeface="+mn-ea"/>
                  <a:cs typeface="+mn-cs"/>
                </a:rPr>
                <a:t> </a:t>
              </a:r>
              <a:r>
                <a:rPr lang="en-US" sz="2800" b="0" i="0">
                  <a:latin typeface="Cambria Math"/>
                </a:rPr>
                <a:t>+</a:t>
              </a:r>
              <a:r>
                <a:rPr lang="en-US" sz="2800" b="0" i="0">
                  <a:latin typeface="Cambria Math" panose="02040503050406030204" pitchFamily="18" charset="0"/>
                </a:rPr>
                <a:t>〖</a:t>
              </a:r>
              <a:r>
                <a:rPr lang="en-US" sz="2800" b="0" i="0">
                  <a:latin typeface="Cambria Math"/>
                </a:rPr>
                <a:t>𝐶𝐹</a:t>
              </a:r>
              <a:r>
                <a:rPr lang="en-US" sz="2800" b="0" i="0">
                  <a:latin typeface="Cambria Math" panose="02040503050406030204" pitchFamily="18" charset="0"/>
                </a:rPr>
                <a:t>〗_</a:t>
              </a:r>
              <a:r>
                <a:rPr lang="en-US" sz="2800" b="0" i="0">
                  <a:latin typeface="Cambria Math"/>
                </a:rPr>
                <a:t>1</a:t>
              </a:r>
              <a:r>
                <a:rPr lang="en-US" sz="2800" b="0" i="0">
                  <a:latin typeface="Cambria Math" panose="02040503050406030204" pitchFamily="18" charset="0"/>
                </a:rPr>
                <a:t>/(</a:t>
              </a:r>
              <a:r>
                <a:rPr lang="en-US" sz="2800" b="0" i="0">
                  <a:latin typeface="Cambria Math"/>
                </a:rPr>
                <a:t>1+𝑟</a:t>
              </a:r>
              <a:r>
                <a:rPr lang="en-US" sz="2800" b="0" i="0">
                  <a:latin typeface="Cambria Math" panose="02040503050406030204" pitchFamily="18" charset="0"/>
                </a:rPr>
                <a:t>)^</a:t>
              </a:r>
              <a:r>
                <a:rPr lang="en-US" sz="2800" b="0" i="0">
                  <a:latin typeface="Cambria Math"/>
                </a:rPr>
                <a:t>1</a:t>
              </a:r>
              <a:r>
                <a:rPr lang="en-US" sz="2800" b="0" i="0">
                  <a:latin typeface="Cambria Math" panose="02040503050406030204" pitchFamily="18" charset="0"/>
                </a:rPr>
                <a:t> </a:t>
              </a:r>
              <a:r>
                <a:rPr lang="en-US" sz="2800" b="0" i="0">
                  <a:latin typeface="Cambria Math"/>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𝐶𝐹</a:t>
              </a:r>
              <a:r>
                <a:rPr lang="en-US" sz="2800" b="0" i="0">
                  <a:solidFill>
                    <a:schemeClr val="tx1"/>
                  </a:solidFill>
                  <a:effectLst/>
                  <a:latin typeface="Cambria Math" panose="02040503050406030204" pitchFamily="18" charset="0"/>
                  <a:ea typeface="+mn-ea"/>
                  <a:cs typeface="+mn-cs"/>
                </a:rPr>
                <a:t>〗_</a:t>
              </a:r>
              <a:r>
                <a:rPr lang="en-US" sz="2800" b="0" i="0">
                  <a:solidFill>
                    <a:schemeClr val="tx1"/>
                  </a:solidFill>
                  <a:effectLst/>
                  <a:latin typeface="Cambria Math"/>
                  <a:ea typeface="+mn-ea"/>
                  <a:cs typeface="+mn-cs"/>
                </a:rPr>
                <a:t>2</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2</a:t>
              </a:r>
              <a:r>
                <a:rPr lang="en-US" sz="2800" b="0" i="0">
                  <a:solidFill>
                    <a:schemeClr val="tx1"/>
                  </a:solidFill>
                  <a:effectLst/>
                  <a:latin typeface="Cambria Math" panose="02040503050406030204" pitchFamily="18" charset="0"/>
                  <a:ea typeface="+mn-ea"/>
                  <a:cs typeface="+mn-cs"/>
                </a:rPr>
                <a:t> </a:t>
              </a:r>
              <a:r>
                <a:rPr lang="en-US" sz="2800" b="0" i="0">
                  <a:solidFill>
                    <a:schemeClr val="tx1"/>
                  </a:solidFill>
                  <a:effectLst/>
                  <a:latin typeface="Cambria Math"/>
                  <a:ea typeface="+mn-ea"/>
                  <a:cs typeface="+mn-cs"/>
                </a:rPr>
                <a:t>+…+</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𝐶𝐹</a:t>
              </a:r>
              <a:r>
                <a:rPr lang="en-US" sz="2800" b="0" i="0">
                  <a:solidFill>
                    <a:schemeClr val="tx1"/>
                  </a:solidFill>
                  <a:effectLst/>
                  <a:latin typeface="Cambria Math" panose="02040503050406030204" pitchFamily="18" charset="0"/>
                  <a:ea typeface="+mn-ea"/>
                  <a:cs typeface="+mn-cs"/>
                </a:rPr>
                <a:t>〗_</a:t>
              </a:r>
              <a:r>
                <a:rPr lang="en-US" sz="2800" b="0" i="0">
                  <a:solidFill>
                    <a:schemeClr val="tx1"/>
                  </a:solidFill>
                  <a:effectLst/>
                  <a:latin typeface="Cambria Math"/>
                  <a:ea typeface="+mn-ea"/>
                  <a:cs typeface="+mn-cs"/>
                </a:rPr>
                <a:t>𝑁</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𝑁</a:t>
              </a:r>
              <a:r>
                <a:rPr lang="en-US" sz="2800" b="0" i="0">
                  <a:solidFill>
                    <a:schemeClr val="tx1"/>
                  </a:solidFill>
                  <a:effectLst/>
                  <a:latin typeface="Cambria Math" panose="02040503050406030204" pitchFamily="18" charset="0"/>
                  <a:ea typeface="+mn-ea"/>
                  <a:cs typeface="+mn-cs"/>
                </a:rPr>
                <a:t> </a:t>
              </a:r>
              <a:r>
                <a:rPr lang="en-US" sz="2800" b="0" i="0">
                  <a:solidFill>
                    <a:schemeClr val="tx1"/>
                  </a:solidFill>
                  <a:effectLst/>
                  <a:latin typeface="Cambria Math"/>
                  <a:ea typeface="+mn-ea"/>
                  <a:cs typeface="+mn-cs"/>
                </a:rPr>
                <a:t>=</a:t>
              </a:r>
              <a:r>
                <a:rPr lang="en-US" sz="2800" b="0" i="0">
                  <a:solidFill>
                    <a:schemeClr val="tx1"/>
                  </a:solidFill>
                  <a:effectLst/>
                  <a:latin typeface="Cambria Math" panose="02040503050406030204" pitchFamily="18" charset="0"/>
                  <a:ea typeface="+mn-ea"/>
                  <a:cs typeface="+mn-cs"/>
                </a:rPr>
                <a:t>∑_(</a:t>
              </a:r>
              <a:r>
                <a:rPr lang="en-US" sz="2800" b="0" i="0">
                  <a:solidFill>
                    <a:schemeClr val="tx1"/>
                  </a:solidFill>
                  <a:effectLst/>
                  <a:latin typeface="Cambria Math"/>
                  <a:ea typeface="+mn-ea"/>
                  <a:cs typeface="+mn-cs"/>
                </a:rPr>
                <a:t>𝑡=0</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𝑁</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𝐶𝐹</a:t>
              </a:r>
              <a:r>
                <a:rPr lang="en-US" sz="2800" b="0" i="0">
                  <a:solidFill>
                    <a:schemeClr val="tx1"/>
                  </a:solidFill>
                  <a:effectLst/>
                  <a:latin typeface="Cambria Math" panose="02040503050406030204" pitchFamily="18" charset="0"/>
                  <a:ea typeface="+mn-ea"/>
                  <a:cs typeface="+mn-cs"/>
                </a:rPr>
                <a:t>〗_</a:t>
              </a:r>
              <a:r>
                <a:rPr lang="en-US" sz="2800" b="0" i="0">
                  <a:solidFill>
                    <a:schemeClr val="tx1"/>
                  </a:solidFill>
                  <a:effectLst/>
                  <a:latin typeface="Cambria Math"/>
                  <a:ea typeface="+mn-ea"/>
                  <a:cs typeface="+mn-cs"/>
                </a:rPr>
                <a:t>𝑡</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1+𝑟</a:t>
              </a:r>
              <a:r>
                <a:rPr lang="en-US" sz="2800" b="0" i="0">
                  <a:solidFill>
                    <a:schemeClr val="tx1"/>
                  </a:solidFill>
                  <a:effectLst/>
                  <a:latin typeface="Cambria Math" panose="02040503050406030204" pitchFamily="18" charset="0"/>
                  <a:ea typeface="+mn-ea"/>
                  <a:cs typeface="+mn-cs"/>
                </a:rPr>
                <a:t>)^</a:t>
              </a:r>
              <a:r>
                <a:rPr lang="en-US" sz="2800" b="0" i="0">
                  <a:solidFill>
                    <a:schemeClr val="tx1"/>
                  </a:solidFill>
                  <a:effectLst/>
                  <a:latin typeface="Cambria Math"/>
                  <a:ea typeface="+mn-ea"/>
                  <a:cs typeface="+mn-cs"/>
                </a:rPr>
                <a:t>𝑡</a:t>
              </a:r>
              <a:r>
                <a:rPr lang="en-US" sz="2800" b="0" i="0">
                  <a:solidFill>
                    <a:schemeClr val="tx1"/>
                  </a:solidFill>
                  <a:effectLst/>
                  <a:latin typeface="Cambria Math" panose="02040503050406030204" pitchFamily="18" charset="0"/>
                  <a:ea typeface="+mn-ea"/>
                  <a:cs typeface="+mn-cs"/>
                </a:rPr>
                <a:t> </a:t>
              </a:r>
              <a:endParaRPr lang="ru-RU" sz="2800"/>
            </a:p>
          </xdr:txBody>
        </xdr:sp>
      </mc:Fallback>
    </mc:AlternateContent>
    <xdr:clientData/>
  </xdr:oneCellAnchor>
  <xdr:oneCellAnchor>
    <xdr:from>
      <xdr:col>3</xdr:col>
      <xdr:colOff>95250</xdr:colOff>
      <xdr:row>31</xdr:row>
      <xdr:rowOff>90486</xdr:rowOff>
    </xdr:from>
    <xdr:ext cx="5048250" cy="609975"/>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7E742FE2-B4E9-4FDF-A6BA-1CEF1C9C440D}"/>
                </a:ext>
              </a:extLst>
            </xdr:cNvPr>
            <xdr:cNvSpPr txBox="1"/>
          </xdr:nvSpPr>
          <xdr:spPr>
            <a:xfrm>
              <a:off x="1924050" y="5995986"/>
              <a:ext cx="5048250" cy="609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de-DE" sz="1100" b="0" i="1">
                        <a:latin typeface="Cambria Math"/>
                      </a:rPr>
                      <m:t>𝑁𝑃𝑉</m:t>
                    </m:r>
                    <m:r>
                      <a:rPr lang="en-US" sz="1100" b="0" i="1">
                        <a:latin typeface="Cambria Math"/>
                      </a:rPr>
                      <m:t>=−1000+</m:t>
                    </m:r>
                    <m:f>
                      <m:fPr>
                        <m:ctrlPr>
                          <a:rPr lang="en-US" sz="1100" b="0" i="1">
                            <a:latin typeface="Cambria Math" panose="02040503050406030204" pitchFamily="18" charset="0"/>
                          </a:rPr>
                        </m:ctrlPr>
                      </m:fPr>
                      <m:num>
                        <m:r>
                          <a:rPr lang="en-US" sz="1100" b="0" i="1">
                            <a:latin typeface="Cambria Math"/>
                          </a:rPr>
                          <m:t>500</m:t>
                        </m:r>
                      </m:num>
                      <m:den>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a:rPr>
                                  <m:t>1+0,1</m:t>
                                </m:r>
                              </m:e>
                            </m:d>
                          </m:e>
                          <m:sup>
                            <m:r>
                              <a:rPr lang="en-US" sz="1100" b="0" i="1">
                                <a:latin typeface="Cambria Math"/>
                              </a:rPr>
                              <m:t>1</m:t>
                            </m:r>
                          </m:sup>
                        </m:sSup>
                      </m:den>
                    </m:f>
                    <m:r>
                      <a:rPr lang="en-US" sz="1100" b="0" i="1">
                        <a:latin typeface="Cambria Math"/>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a:ea typeface="+mn-ea"/>
                            <a:cs typeface="+mn-cs"/>
                          </a:rPr>
                          <m:t>400</m:t>
                        </m:r>
                      </m:num>
                      <m:den>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a:ea typeface="+mn-ea"/>
                                    <a:cs typeface="+mn-cs"/>
                                  </a:rPr>
                                  <m:t>1+</m:t>
                                </m:r>
                                <m:r>
                                  <a:rPr lang="en-US" sz="1100" b="0" i="1">
                                    <a:solidFill>
                                      <a:schemeClr val="tx1"/>
                                    </a:solidFill>
                                    <a:effectLst/>
                                    <a:latin typeface="Cambria Math"/>
                                    <a:ea typeface="+mn-ea"/>
                                    <a:cs typeface="+mn-cs"/>
                                  </a:rPr>
                                  <m:t>𝑟</m:t>
                                </m:r>
                              </m:e>
                            </m:d>
                          </m:e>
                          <m:sup>
                            <m:r>
                              <a:rPr lang="en-US" sz="1100" b="0" i="1">
                                <a:solidFill>
                                  <a:schemeClr val="tx1"/>
                                </a:solidFill>
                                <a:effectLst/>
                                <a:latin typeface="Cambria Math"/>
                                <a:ea typeface="+mn-ea"/>
                                <a:cs typeface="+mn-cs"/>
                              </a:rPr>
                              <m:t>2</m:t>
                            </m:r>
                          </m:sup>
                        </m:sSup>
                      </m:den>
                    </m:f>
                    <m:r>
                      <a:rPr lang="en-US" sz="1100" b="0" i="1">
                        <a:solidFill>
                          <a:schemeClr val="tx1"/>
                        </a:solidFill>
                        <a:effectLst/>
                        <a:latin typeface="Cambria Math"/>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a:ea typeface="+mn-ea"/>
                            <a:cs typeface="+mn-cs"/>
                          </a:rPr>
                          <m:t>300</m:t>
                        </m:r>
                      </m:num>
                      <m:den>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a:ea typeface="+mn-ea"/>
                                    <a:cs typeface="+mn-cs"/>
                                  </a:rPr>
                                  <m:t>1+</m:t>
                                </m:r>
                                <m:r>
                                  <a:rPr lang="en-US" sz="1100" b="0" i="1">
                                    <a:solidFill>
                                      <a:schemeClr val="tx1"/>
                                    </a:solidFill>
                                    <a:effectLst/>
                                    <a:latin typeface="Cambria Math"/>
                                    <a:ea typeface="+mn-ea"/>
                                    <a:cs typeface="+mn-cs"/>
                                  </a:rPr>
                                  <m:t>𝑟</m:t>
                                </m:r>
                              </m:e>
                            </m:d>
                          </m:e>
                          <m:sup>
                            <m:r>
                              <a:rPr lang="en-US" sz="1100" b="0" i="1">
                                <a:solidFill>
                                  <a:schemeClr val="tx1"/>
                                </a:solidFill>
                                <a:effectLst/>
                                <a:latin typeface="Cambria Math"/>
                                <a:ea typeface="+mn-ea"/>
                                <a:cs typeface="+mn-cs"/>
                              </a:rPr>
                              <m:t>3</m:t>
                            </m:r>
                          </m:sup>
                        </m:sSup>
                      </m:den>
                    </m:f>
                    <m:r>
                      <a:rPr lang="en-US" sz="1100" b="0" i="1">
                        <a:solidFill>
                          <a:schemeClr val="tx1"/>
                        </a:solidFill>
                        <a:effectLst/>
                        <a:latin typeface="Cambria Math"/>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a:ea typeface="+mn-ea"/>
                            <a:cs typeface="+mn-cs"/>
                          </a:rPr>
                          <m:t>100</m:t>
                        </m:r>
                      </m:num>
                      <m:den>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a:ea typeface="+mn-ea"/>
                                    <a:cs typeface="+mn-cs"/>
                                  </a:rPr>
                                  <m:t>1+</m:t>
                                </m:r>
                                <m:r>
                                  <a:rPr lang="en-US" sz="1100" b="0" i="1">
                                    <a:solidFill>
                                      <a:schemeClr val="tx1"/>
                                    </a:solidFill>
                                    <a:effectLst/>
                                    <a:latin typeface="Cambria Math"/>
                                    <a:ea typeface="+mn-ea"/>
                                    <a:cs typeface="+mn-cs"/>
                                  </a:rPr>
                                  <m:t>𝑟</m:t>
                                </m:r>
                              </m:e>
                            </m:d>
                          </m:e>
                          <m:sup>
                            <m:r>
                              <a:rPr lang="en-US" sz="1100" b="0" i="1">
                                <a:solidFill>
                                  <a:schemeClr val="tx1"/>
                                </a:solidFill>
                                <a:effectLst/>
                                <a:latin typeface="Cambria Math"/>
                                <a:ea typeface="+mn-ea"/>
                                <a:cs typeface="+mn-cs"/>
                              </a:rPr>
                              <m:t>4</m:t>
                            </m:r>
                          </m:sup>
                        </m:sSup>
                      </m:den>
                    </m:f>
                    <m:r>
                      <a:rPr lang="en-US" sz="1100" b="0" i="1">
                        <a:solidFill>
                          <a:schemeClr val="tx1"/>
                        </a:solidFill>
                        <a:effectLst/>
                        <a:latin typeface="Cambria Math"/>
                        <a:ea typeface="+mn-ea"/>
                        <a:cs typeface="+mn-cs"/>
                      </a:rPr>
                      <m:t>=−1000+454,55+330,58+225,39+68,30=78,82</m:t>
                    </m:r>
                  </m:oMath>
                </m:oMathPara>
              </a14:m>
              <a:endParaRPr lang="ru-RU" sz="1100"/>
            </a:p>
          </xdr:txBody>
        </xdr:sp>
      </mc:Choice>
      <mc:Fallback xmlns="">
        <xdr:sp macro="" textlink="">
          <xdr:nvSpPr>
            <xdr:cNvPr id="4" name="TextBox 3">
              <a:extLst>
                <a:ext uri="{FF2B5EF4-FFF2-40B4-BE49-F238E27FC236}">
                  <a16:creationId xmlns:a16="http://schemas.microsoft.com/office/drawing/2014/main" id="{7E742FE2-B4E9-4FDF-A6BA-1CEF1C9C440D}"/>
                </a:ext>
              </a:extLst>
            </xdr:cNvPr>
            <xdr:cNvSpPr txBox="1"/>
          </xdr:nvSpPr>
          <xdr:spPr>
            <a:xfrm>
              <a:off x="1924050" y="5995986"/>
              <a:ext cx="5048250" cy="609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de-DE" sz="1100" b="0" i="0">
                  <a:latin typeface="Cambria Math"/>
                </a:rPr>
                <a:t>𝑁𝑃𝑉</a:t>
              </a:r>
              <a:r>
                <a:rPr lang="en-US" sz="1100" b="0" i="0">
                  <a:latin typeface="Cambria Math"/>
                </a:rPr>
                <a:t>=−1000+500</a:t>
              </a:r>
              <a:r>
                <a:rPr lang="en-US" sz="1100" b="0" i="0">
                  <a:latin typeface="Cambria Math" panose="02040503050406030204" pitchFamily="18" charset="0"/>
                </a:rPr>
                <a:t>/(</a:t>
              </a:r>
              <a:r>
                <a:rPr lang="en-US" sz="1100" b="0" i="0">
                  <a:latin typeface="Cambria Math"/>
                </a:rPr>
                <a:t>1+0,1</a:t>
              </a:r>
              <a:r>
                <a:rPr lang="en-US" sz="1100" b="0" i="0">
                  <a:latin typeface="Cambria Math" panose="02040503050406030204" pitchFamily="18" charset="0"/>
                </a:rPr>
                <a:t>)^</a:t>
              </a:r>
              <a:r>
                <a:rPr lang="en-US" sz="1100" b="0" i="0">
                  <a:latin typeface="Cambria Math"/>
                </a:rPr>
                <a:t>1</a:t>
              </a:r>
              <a:r>
                <a:rPr lang="en-US" sz="1100" b="0" i="0">
                  <a:latin typeface="Cambria Math" panose="02040503050406030204" pitchFamily="18" charset="0"/>
                </a:rPr>
                <a:t> </a:t>
              </a:r>
              <a:r>
                <a:rPr lang="en-US" sz="1100" b="0" i="0">
                  <a:latin typeface="Cambria Math"/>
                </a:rPr>
                <a:t>+</a:t>
              </a:r>
              <a:r>
                <a:rPr lang="en-US" sz="1100" b="0" i="0">
                  <a:solidFill>
                    <a:schemeClr val="tx1"/>
                  </a:solidFill>
                  <a:effectLst/>
                  <a:latin typeface="Cambria Math"/>
                  <a:ea typeface="+mn-ea"/>
                  <a:cs typeface="+mn-cs"/>
                </a:rPr>
                <a:t>400</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a:ea typeface="+mn-ea"/>
                  <a:cs typeface="+mn-cs"/>
                </a:rPr>
                <a:t>1+𝑟</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a:ea typeface="+mn-ea"/>
                  <a:cs typeface="+mn-cs"/>
                </a:rPr>
                <a:t>2</a:t>
              </a:r>
              <a:r>
                <a:rPr lang="en-US"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a:ea typeface="+mn-ea"/>
                  <a:cs typeface="+mn-cs"/>
                </a:rPr>
                <a:t>+300</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a:ea typeface="+mn-ea"/>
                  <a:cs typeface="+mn-cs"/>
                </a:rPr>
                <a:t>1+𝑟</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a:ea typeface="+mn-ea"/>
                  <a:cs typeface="+mn-cs"/>
                </a:rPr>
                <a:t>3</a:t>
              </a:r>
              <a:r>
                <a:rPr lang="en-US"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a:ea typeface="+mn-ea"/>
                  <a:cs typeface="+mn-cs"/>
                </a:rPr>
                <a:t>+100</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a:ea typeface="+mn-ea"/>
                  <a:cs typeface="+mn-cs"/>
                </a:rPr>
                <a:t>1+𝑟</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a:ea typeface="+mn-ea"/>
                  <a:cs typeface="+mn-cs"/>
                </a:rPr>
                <a:t>4</a:t>
              </a:r>
              <a:r>
                <a:rPr lang="en-US"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a:ea typeface="+mn-ea"/>
                  <a:cs typeface="+mn-cs"/>
                </a:rPr>
                <a:t>=−1000+454,55+330,58+225,39+68,30=78,82</a:t>
              </a:r>
              <a:endParaRPr lang="ru-RU" sz="1100"/>
            </a:p>
          </xdr:txBody>
        </xdr:sp>
      </mc:Fallback>
    </mc:AlternateContent>
    <xdr:clientData/>
  </xdr:oneCellAnchor>
  <xdr:oneCellAnchor>
    <xdr:from>
      <xdr:col>4</xdr:col>
      <xdr:colOff>570938</xdr:colOff>
      <xdr:row>79</xdr:row>
      <xdr:rowOff>49584</xdr:rowOff>
    </xdr:from>
    <xdr:ext cx="9506511" cy="838435"/>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4F44C0BB-49BB-4EBA-AE51-FC9AC6F0B63F}"/>
                </a:ext>
              </a:extLst>
            </xdr:cNvPr>
            <xdr:cNvSpPr txBox="1"/>
          </xdr:nvSpPr>
          <xdr:spPr>
            <a:xfrm>
              <a:off x="3009338" y="15099084"/>
              <a:ext cx="9506511" cy="838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de-DE" sz="2400" b="0" i="1">
                        <a:latin typeface="Cambria Math"/>
                      </a:rPr>
                      <m:t>𝑁𝑃𝑉</m:t>
                    </m:r>
                    <m:r>
                      <a:rPr lang="en-US" sz="2400" b="0" i="1">
                        <a:latin typeface="Cambria Math"/>
                      </a:rPr>
                      <m:t>=</m:t>
                    </m:r>
                    <m:sSub>
                      <m:sSubPr>
                        <m:ctrlPr>
                          <a:rPr lang="en-US" sz="2400" b="0" i="1">
                            <a:latin typeface="Cambria Math" panose="02040503050406030204" pitchFamily="18" charset="0"/>
                          </a:rPr>
                        </m:ctrlPr>
                      </m:sSubPr>
                      <m:e>
                        <m:r>
                          <a:rPr lang="en-US" sz="2400" b="0" i="1">
                            <a:latin typeface="Cambria Math"/>
                          </a:rPr>
                          <m:t>𝐶𝐹</m:t>
                        </m:r>
                      </m:e>
                      <m:sub>
                        <m:r>
                          <a:rPr lang="en-US" sz="2400" b="0" i="1">
                            <a:latin typeface="Cambria Math"/>
                          </a:rPr>
                          <m:t>0</m:t>
                        </m:r>
                      </m:sub>
                    </m:sSub>
                    <m:r>
                      <a:rPr lang="en-US" sz="2400" b="0" i="1">
                        <a:latin typeface="Cambria Math"/>
                      </a:rPr>
                      <m:t>+</m:t>
                    </m:r>
                    <m:f>
                      <m:fPr>
                        <m:ctrlPr>
                          <a:rPr lang="en-US" sz="2400" b="0" i="1">
                            <a:latin typeface="Cambria Math" panose="02040503050406030204" pitchFamily="18" charset="0"/>
                          </a:rPr>
                        </m:ctrlPr>
                      </m:fPr>
                      <m:num>
                        <m:sSub>
                          <m:sSubPr>
                            <m:ctrlPr>
                              <a:rPr lang="en-US" sz="2400" b="0" i="1">
                                <a:latin typeface="Cambria Math" panose="02040503050406030204" pitchFamily="18" charset="0"/>
                              </a:rPr>
                            </m:ctrlPr>
                          </m:sSubPr>
                          <m:e>
                            <m:r>
                              <a:rPr lang="en-US" sz="2400" b="0" i="1">
                                <a:latin typeface="Cambria Math"/>
                              </a:rPr>
                              <m:t>𝐶𝐹</m:t>
                            </m:r>
                          </m:e>
                          <m:sub>
                            <m:r>
                              <a:rPr lang="en-US" sz="2400" b="0" i="1">
                                <a:latin typeface="Cambria Math"/>
                              </a:rPr>
                              <m:t>1</m:t>
                            </m:r>
                          </m:sub>
                        </m:sSub>
                      </m:num>
                      <m:den>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𝐼𝑅𝑅</m:t>
                                </m:r>
                              </m:e>
                            </m:d>
                          </m:e>
                          <m:sup>
                            <m:r>
                              <a:rPr lang="en-US" sz="2400" b="0" i="1">
                                <a:latin typeface="Cambria Math"/>
                              </a:rPr>
                              <m:t>1</m:t>
                            </m:r>
                          </m:sup>
                        </m:sSup>
                      </m:den>
                    </m:f>
                    <m:r>
                      <a:rPr lang="en-US" sz="2400" b="0" i="1">
                        <a:latin typeface="Cambria Math"/>
                      </a:rPr>
                      <m:t>+</m:t>
                    </m:r>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𝐶𝐹</m:t>
                            </m:r>
                          </m:e>
                          <m:sub>
                            <m:r>
                              <a:rPr lang="en-US" sz="2400" b="0" i="1">
                                <a:solidFill>
                                  <a:schemeClr val="tx1"/>
                                </a:solidFill>
                                <a:effectLst/>
                                <a:latin typeface="Cambria Math"/>
                                <a:ea typeface="+mn-ea"/>
                                <a:cs typeface="+mn-cs"/>
                              </a:rPr>
                              <m:t>2</m:t>
                            </m:r>
                          </m:sub>
                        </m:sSub>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en-US" sz="2400" b="0" i="1">
                                    <a:solidFill>
                                      <a:schemeClr val="tx1"/>
                                    </a:solidFill>
                                    <a:effectLst/>
                                    <a:latin typeface="Cambria Math"/>
                                    <a:ea typeface="+mn-ea"/>
                                    <a:cs typeface="+mn-cs"/>
                                  </a:rPr>
                                  <m:t>𝐼𝑅𝑅</m:t>
                                </m:r>
                              </m:e>
                            </m:d>
                          </m:e>
                          <m:sup>
                            <m:r>
                              <a:rPr lang="en-US" sz="2400" b="0" i="1">
                                <a:solidFill>
                                  <a:schemeClr val="tx1"/>
                                </a:solidFill>
                                <a:effectLst/>
                                <a:latin typeface="Cambria Math"/>
                                <a:ea typeface="+mn-ea"/>
                                <a:cs typeface="+mn-cs"/>
                              </a:rPr>
                              <m:t>2</m:t>
                            </m:r>
                          </m:sup>
                        </m:sSup>
                      </m:den>
                    </m:f>
                    <m:r>
                      <a:rPr lang="en-US" sz="2400" b="0" i="1">
                        <a:solidFill>
                          <a:schemeClr val="tx1"/>
                        </a:solidFill>
                        <a:effectLst/>
                        <a:latin typeface="Cambria Math"/>
                        <a:ea typeface="+mn-ea"/>
                        <a:cs typeface="+mn-cs"/>
                      </a:rPr>
                      <m:t>+…+</m:t>
                    </m:r>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𝐶𝐹</m:t>
                            </m:r>
                          </m:e>
                          <m:sub>
                            <m:r>
                              <a:rPr lang="en-US" sz="2400" b="0" i="1">
                                <a:solidFill>
                                  <a:schemeClr val="tx1"/>
                                </a:solidFill>
                                <a:effectLst/>
                                <a:latin typeface="Cambria Math"/>
                                <a:ea typeface="+mn-ea"/>
                                <a:cs typeface="+mn-cs"/>
                              </a:rPr>
                              <m:t>𝑁</m:t>
                            </m:r>
                          </m:sub>
                        </m:sSub>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en-US" sz="2400" b="0" i="1">
                                    <a:solidFill>
                                      <a:schemeClr val="tx1"/>
                                    </a:solidFill>
                                    <a:effectLst/>
                                    <a:latin typeface="Cambria Math"/>
                                    <a:ea typeface="+mn-ea"/>
                                    <a:cs typeface="+mn-cs"/>
                                  </a:rPr>
                                  <m:t>𝐼𝑅𝑅</m:t>
                                </m:r>
                              </m:e>
                            </m:d>
                          </m:e>
                          <m:sup>
                            <m:r>
                              <a:rPr lang="en-US" sz="2400" b="0" i="1">
                                <a:solidFill>
                                  <a:schemeClr val="tx1"/>
                                </a:solidFill>
                                <a:effectLst/>
                                <a:latin typeface="Cambria Math"/>
                                <a:ea typeface="+mn-ea"/>
                                <a:cs typeface="+mn-cs"/>
                              </a:rPr>
                              <m:t>𝑁</m:t>
                            </m:r>
                          </m:sup>
                        </m:sSup>
                      </m:den>
                    </m:f>
                    <m:r>
                      <a:rPr lang="en-US" sz="2400" b="0" i="1">
                        <a:solidFill>
                          <a:schemeClr val="tx1"/>
                        </a:solidFill>
                        <a:effectLst/>
                        <a:latin typeface="Cambria Math"/>
                        <a:ea typeface="+mn-ea"/>
                        <a:cs typeface="+mn-cs"/>
                      </a:rPr>
                      <m:t>=0</m:t>
                    </m:r>
                  </m:oMath>
                </m:oMathPara>
              </a14:m>
              <a:endParaRPr lang="ru-RU" sz="2400"/>
            </a:p>
          </xdr:txBody>
        </xdr:sp>
      </mc:Choice>
      <mc:Fallback xmlns="">
        <xdr:sp macro="" textlink="">
          <xdr:nvSpPr>
            <xdr:cNvPr id="5" name="TextBox 4">
              <a:extLst>
                <a:ext uri="{FF2B5EF4-FFF2-40B4-BE49-F238E27FC236}">
                  <a16:creationId xmlns:a16="http://schemas.microsoft.com/office/drawing/2014/main" id="{4F44C0BB-49BB-4EBA-AE51-FC9AC6F0B63F}"/>
                </a:ext>
              </a:extLst>
            </xdr:cNvPr>
            <xdr:cNvSpPr txBox="1"/>
          </xdr:nvSpPr>
          <xdr:spPr>
            <a:xfrm>
              <a:off x="3009338" y="15099084"/>
              <a:ext cx="9506511" cy="838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de-DE" sz="2400" b="0" i="0">
                  <a:latin typeface="Cambria Math"/>
                </a:rPr>
                <a:t>𝑁𝑃𝑉</a:t>
              </a:r>
              <a:r>
                <a:rPr lang="en-US" sz="2400" b="0" i="0">
                  <a:latin typeface="Cambria Math"/>
                </a:rPr>
                <a:t>=</a:t>
              </a:r>
              <a:r>
                <a:rPr lang="en-US" sz="2400" b="0" i="0">
                  <a:latin typeface="Cambria Math" panose="02040503050406030204" pitchFamily="18" charset="0"/>
                </a:rPr>
                <a:t>〖</a:t>
              </a:r>
              <a:r>
                <a:rPr lang="en-US" sz="2400" b="0" i="0">
                  <a:latin typeface="Cambria Math"/>
                </a:rPr>
                <a:t>𝐶𝐹</a:t>
              </a:r>
              <a:r>
                <a:rPr lang="en-US" sz="2400" b="0" i="0">
                  <a:latin typeface="Cambria Math" panose="02040503050406030204" pitchFamily="18" charset="0"/>
                </a:rPr>
                <a:t>〗_</a:t>
              </a:r>
              <a:r>
                <a:rPr lang="en-US" sz="2400" b="0" i="0">
                  <a:latin typeface="Cambria Math"/>
                </a:rPr>
                <a:t>0+</a:t>
              </a:r>
              <a:r>
                <a:rPr lang="en-US" sz="2400" b="0" i="0">
                  <a:latin typeface="Cambria Math" panose="02040503050406030204" pitchFamily="18" charset="0"/>
                </a:rPr>
                <a:t>〖</a:t>
              </a:r>
              <a:r>
                <a:rPr lang="en-US" sz="2400" b="0" i="0">
                  <a:latin typeface="Cambria Math"/>
                </a:rPr>
                <a:t>𝐶𝐹</a:t>
              </a:r>
              <a:r>
                <a:rPr lang="en-US" sz="2400" b="0" i="0">
                  <a:latin typeface="Cambria Math" panose="02040503050406030204" pitchFamily="18" charset="0"/>
                </a:rPr>
                <a:t>〗_</a:t>
              </a:r>
              <a:r>
                <a:rPr lang="en-US" sz="2400" b="0" i="0">
                  <a:latin typeface="Cambria Math"/>
                </a:rPr>
                <a:t>1</a:t>
              </a:r>
              <a:r>
                <a:rPr lang="en-US" sz="2400" b="0" i="0">
                  <a:latin typeface="Cambria Math" panose="02040503050406030204" pitchFamily="18" charset="0"/>
                </a:rPr>
                <a:t>/(</a:t>
              </a:r>
              <a:r>
                <a:rPr lang="en-US" sz="2400" b="0" i="0">
                  <a:latin typeface="Cambria Math"/>
                </a:rPr>
                <a:t>1+𝐼𝑅𝑅</a:t>
              </a:r>
              <a:r>
                <a:rPr lang="en-US" sz="2400" b="0" i="0">
                  <a:latin typeface="Cambria Math" panose="02040503050406030204" pitchFamily="18" charset="0"/>
                </a:rPr>
                <a:t>)^</a:t>
              </a:r>
              <a:r>
                <a:rPr lang="en-US" sz="2400" b="0" i="0">
                  <a:latin typeface="Cambria Math"/>
                </a:rPr>
                <a:t>1</a:t>
              </a:r>
              <a:r>
                <a:rPr lang="en-US" sz="2400" b="0" i="0">
                  <a:latin typeface="Cambria Math" panose="02040503050406030204" pitchFamily="18" charset="0"/>
                </a:rPr>
                <a:t> </a:t>
              </a:r>
              <a:r>
                <a:rPr lang="en-US" sz="2400" b="0" i="0">
                  <a:latin typeface="Cambria Math"/>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𝐶𝐹</a:t>
              </a:r>
              <a:r>
                <a:rPr lang="en-US" sz="2400" b="0" i="0">
                  <a:solidFill>
                    <a:schemeClr val="tx1"/>
                  </a:solidFill>
                  <a:effectLst/>
                  <a:latin typeface="Cambria Math" panose="02040503050406030204" pitchFamily="18" charset="0"/>
                  <a:ea typeface="+mn-ea"/>
                  <a:cs typeface="+mn-cs"/>
                </a:rPr>
                <a:t>〗_</a:t>
              </a:r>
              <a:r>
                <a:rPr lang="en-US" sz="2400" b="0" i="0">
                  <a:solidFill>
                    <a:schemeClr val="tx1"/>
                  </a:solidFill>
                  <a:effectLst/>
                  <a:latin typeface="Cambria Math"/>
                  <a:ea typeface="+mn-ea"/>
                  <a:cs typeface="+mn-cs"/>
                </a:rPr>
                <a:t>2</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1+𝐼𝑅𝑅</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2</a:t>
              </a:r>
              <a:r>
                <a:rPr lang="en-US"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𝐶𝐹</a:t>
              </a:r>
              <a:r>
                <a:rPr lang="en-US" sz="2400" b="0" i="0">
                  <a:solidFill>
                    <a:schemeClr val="tx1"/>
                  </a:solidFill>
                  <a:effectLst/>
                  <a:latin typeface="Cambria Math" panose="02040503050406030204" pitchFamily="18" charset="0"/>
                  <a:ea typeface="+mn-ea"/>
                  <a:cs typeface="+mn-cs"/>
                </a:rPr>
                <a:t>〗_</a:t>
              </a:r>
              <a:r>
                <a:rPr lang="en-US" sz="2400" b="0" i="0">
                  <a:solidFill>
                    <a:schemeClr val="tx1"/>
                  </a:solidFill>
                  <a:effectLst/>
                  <a:latin typeface="Cambria Math"/>
                  <a:ea typeface="+mn-ea"/>
                  <a:cs typeface="+mn-cs"/>
                </a:rPr>
                <a:t>𝑁</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1+𝐼𝑅𝑅</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𝑁</a:t>
              </a:r>
              <a:r>
                <a:rPr lang="en-US"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=0</a:t>
              </a:r>
              <a:endParaRPr lang="ru-RU" sz="2400"/>
            </a:p>
          </xdr:txBody>
        </xdr:sp>
      </mc:Fallback>
    </mc:AlternateContent>
    <xdr:clientData/>
  </xdr:oneCellAnchor>
  <xdr:oneCellAnchor>
    <xdr:from>
      <xdr:col>5</xdr:col>
      <xdr:colOff>93008</xdr:colOff>
      <xdr:row>82</xdr:row>
      <xdr:rowOff>171728</xdr:rowOff>
    </xdr:from>
    <xdr:ext cx="5048250" cy="1131143"/>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A79E1FC8-A182-4FAF-AC22-14CA1FF71C1D}"/>
                </a:ext>
              </a:extLst>
            </xdr:cNvPr>
            <xdr:cNvSpPr txBox="1"/>
          </xdr:nvSpPr>
          <xdr:spPr>
            <a:xfrm>
              <a:off x="3141008" y="15792728"/>
              <a:ext cx="5048250" cy="113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0=</m:t>
                    </m:r>
                    <m:nary>
                      <m:naryPr>
                        <m:chr m:val="∑"/>
                        <m:ctrlPr>
                          <a:rPr lang="en-US" sz="2400" b="0" i="1">
                            <a:solidFill>
                              <a:schemeClr val="tx1"/>
                            </a:solidFill>
                            <a:effectLst/>
                            <a:latin typeface="Cambria Math" panose="02040503050406030204" pitchFamily="18" charset="0"/>
                            <a:ea typeface="+mn-ea"/>
                            <a:cs typeface="+mn-cs"/>
                          </a:rPr>
                        </m:ctrlPr>
                      </m:naryPr>
                      <m:sub>
                        <m:r>
                          <m:rPr>
                            <m:brk m:alnAt="23"/>
                          </m:rPr>
                          <a:rPr lang="en-US" sz="2400" b="0" i="1">
                            <a:solidFill>
                              <a:schemeClr val="tx1"/>
                            </a:solidFill>
                            <a:effectLst/>
                            <a:latin typeface="Cambria Math"/>
                            <a:ea typeface="+mn-ea"/>
                            <a:cs typeface="+mn-cs"/>
                          </a:rPr>
                          <m:t>𝑡</m:t>
                        </m:r>
                        <m:r>
                          <a:rPr lang="en-US" sz="2400" b="0" i="1">
                            <a:solidFill>
                              <a:schemeClr val="tx1"/>
                            </a:solidFill>
                            <a:effectLst/>
                            <a:latin typeface="Cambria Math"/>
                            <a:ea typeface="+mn-ea"/>
                            <a:cs typeface="+mn-cs"/>
                          </a:rPr>
                          <m:t>=0</m:t>
                        </m:r>
                      </m:sub>
                      <m:sup>
                        <m:r>
                          <a:rPr lang="en-US" sz="2400" b="0" i="1">
                            <a:solidFill>
                              <a:schemeClr val="tx1"/>
                            </a:solidFill>
                            <a:effectLst/>
                            <a:latin typeface="Cambria Math"/>
                            <a:ea typeface="+mn-ea"/>
                            <a:cs typeface="+mn-cs"/>
                          </a:rPr>
                          <m:t>𝑁</m:t>
                        </m:r>
                      </m:sup>
                      <m:e>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𝐶𝐹</m:t>
                                </m:r>
                              </m:e>
                              <m:sub>
                                <m:r>
                                  <a:rPr lang="en-US" sz="2400" b="0" i="1">
                                    <a:solidFill>
                                      <a:schemeClr val="tx1"/>
                                    </a:solidFill>
                                    <a:effectLst/>
                                    <a:latin typeface="Cambria Math"/>
                                    <a:ea typeface="+mn-ea"/>
                                    <a:cs typeface="+mn-cs"/>
                                  </a:rPr>
                                  <m:t>𝑡</m:t>
                                </m:r>
                              </m:sub>
                            </m:sSub>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en-US" sz="2400" b="0" i="1">
                                        <a:solidFill>
                                          <a:schemeClr val="tx1"/>
                                        </a:solidFill>
                                        <a:effectLst/>
                                        <a:latin typeface="Cambria Math"/>
                                        <a:ea typeface="+mn-ea"/>
                                        <a:cs typeface="+mn-cs"/>
                                      </a:rPr>
                                      <m:t>𝐼𝑅𝑅</m:t>
                                    </m:r>
                                  </m:e>
                                </m:d>
                              </m:e>
                              <m:sup>
                                <m:r>
                                  <a:rPr lang="en-US" sz="2400" b="0" i="1">
                                    <a:solidFill>
                                      <a:schemeClr val="tx1"/>
                                    </a:solidFill>
                                    <a:effectLst/>
                                    <a:latin typeface="Cambria Math"/>
                                    <a:ea typeface="+mn-ea"/>
                                    <a:cs typeface="+mn-cs"/>
                                  </a:rPr>
                                  <m:t>𝑡</m:t>
                                </m:r>
                              </m:sup>
                            </m:sSup>
                          </m:den>
                        </m:f>
                      </m:e>
                    </m:nary>
                  </m:oMath>
                </m:oMathPara>
              </a14:m>
              <a:endParaRPr lang="ru-RU" sz="2400">
                <a:effectLst/>
              </a:endParaRPr>
            </a:p>
          </xdr:txBody>
        </xdr:sp>
      </mc:Choice>
      <mc:Fallback xmlns="">
        <xdr:sp macro="" textlink="">
          <xdr:nvSpPr>
            <xdr:cNvPr id="6" name="TextBox 5">
              <a:extLst>
                <a:ext uri="{FF2B5EF4-FFF2-40B4-BE49-F238E27FC236}">
                  <a16:creationId xmlns:a16="http://schemas.microsoft.com/office/drawing/2014/main" id="{A79E1FC8-A182-4FAF-AC22-14CA1FF71C1D}"/>
                </a:ext>
              </a:extLst>
            </xdr:cNvPr>
            <xdr:cNvSpPr txBox="1"/>
          </xdr:nvSpPr>
          <xdr:spPr>
            <a:xfrm>
              <a:off x="3141008" y="15792728"/>
              <a:ext cx="5048250" cy="113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0=</a:t>
              </a:r>
              <a:r>
                <a:rPr lang="en-US" sz="2400" b="0" i="0">
                  <a:solidFill>
                    <a:schemeClr val="tx1"/>
                  </a:solidFill>
                  <a:effectLst/>
                  <a:latin typeface="Cambria Math" panose="02040503050406030204" pitchFamily="18" charset="0"/>
                  <a:ea typeface="+mn-ea"/>
                  <a:cs typeface="+mn-cs"/>
                </a:rPr>
                <a:t>∑_(</a:t>
              </a:r>
              <a:r>
                <a:rPr lang="en-US" sz="2400" b="0" i="0">
                  <a:solidFill>
                    <a:schemeClr val="tx1"/>
                  </a:solidFill>
                  <a:effectLst/>
                  <a:latin typeface="Cambria Math"/>
                  <a:ea typeface="+mn-ea"/>
                  <a:cs typeface="+mn-cs"/>
                </a:rPr>
                <a:t>𝑡=0</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𝑁</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𝐶𝐹</a:t>
              </a:r>
              <a:r>
                <a:rPr lang="en-US" sz="2400" b="0" i="0">
                  <a:solidFill>
                    <a:schemeClr val="tx1"/>
                  </a:solidFill>
                  <a:effectLst/>
                  <a:latin typeface="Cambria Math" panose="02040503050406030204" pitchFamily="18" charset="0"/>
                  <a:ea typeface="+mn-ea"/>
                  <a:cs typeface="+mn-cs"/>
                </a:rPr>
                <a:t>〗_</a:t>
              </a:r>
              <a:r>
                <a:rPr lang="en-US" sz="2400" b="0" i="0">
                  <a:solidFill>
                    <a:schemeClr val="tx1"/>
                  </a:solidFill>
                  <a:effectLst/>
                  <a:latin typeface="Cambria Math"/>
                  <a:ea typeface="+mn-ea"/>
                  <a:cs typeface="+mn-cs"/>
                </a:rPr>
                <a:t>𝑡</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1+𝐼𝑅𝑅</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𝑡</a:t>
              </a:r>
              <a:r>
                <a:rPr lang="en-US" sz="2400" b="0" i="0">
                  <a:solidFill>
                    <a:schemeClr val="tx1"/>
                  </a:solidFill>
                  <a:effectLst/>
                  <a:latin typeface="Cambria Math" panose="02040503050406030204" pitchFamily="18" charset="0"/>
                  <a:ea typeface="+mn-ea"/>
                  <a:cs typeface="+mn-cs"/>
                </a:rPr>
                <a:t> </a:t>
              </a:r>
              <a:endParaRPr lang="ru-RU" sz="2400">
                <a:effectLst/>
              </a:endParaRPr>
            </a:p>
          </xdr:txBody>
        </xdr:sp>
      </mc:Fallback>
    </mc:AlternateContent>
    <xdr:clientData/>
  </xdr:oneCellAnchor>
  <xdr:oneCellAnchor>
    <xdr:from>
      <xdr:col>3</xdr:col>
      <xdr:colOff>719977</xdr:colOff>
      <xdr:row>69</xdr:row>
      <xdr:rowOff>57989</xdr:rowOff>
    </xdr:from>
    <xdr:ext cx="9414623" cy="845937"/>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325BE2E2-1F40-4C16-B6BF-9E6A6D8994B3}"/>
                </a:ext>
              </a:extLst>
            </xdr:cNvPr>
            <xdr:cNvSpPr txBox="1"/>
          </xdr:nvSpPr>
          <xdr:spPr>
            <a:xfrm>
              <a:off x="2434477" y="13202489"/>
              <a:ext cx="9414623" cy="845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2400" b="0" i="1">
                        <a:latin typeface="Cambria Math"/>
                      </a:rPr>
                      <m:t>0</m:t>
                    </m:r>
                    <m:r>
                      <a:rPr lang="en-US" sz="2400" b="0" i="1">
                        <a:latin typeface="Cambria Math"/>
                      </a:rPr>
                      <m:t>=−1000+</m:t>
                    </m:r>
                    <m:f>
                      <m:fPr>
                        <m:ctrlPr>
                          <a:rPr lang="en-US" sz="2400" b="0" i="1">
                            <a:latin typeface="Cambria Math" panose="02040503050406030204" pitchFamily="18" charset="0"/>
                          </a:rPr>
                        </m:ctrlPr>
                      </m:fPr>
                      <m:num>
                        <m:r>
                          <a:rPr lang="en-US" sz="2400" b="0" i="1">
                            <a:latin typeface="Cambria Math"/>
                          </a:rPr>
                          <m:t>500</m:t>
                        </m:r>
                      </m:num>
                      <m:den>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de-DE" sz="2400" b="0" i="1">
                                    <a:latin typeface="Cambria Math"/>
                                  </a:rPr>
                                  <m:t>𝐼𝑅𝑅</m:t>
                                </m:r>
                              </m:e>
                            </m:d>
                          </m:e>
                          <m:sup>
                            <m:r>
                              <a:rPr lang="en-US" sz="2400" b="0" i="1">
                                <a:latin typeface="Cambria Math"/>
                              </a:rPr>
                              <m:t>1</m:t>
                            </m:r>
                          </m:sup>
                        </m:sSup>
                      </m:den>
                    </m:f>
                    <m:r>
                      <a:rPr lang="en-US" sz="2400" b="0" i="1">
                        <a:latin typeface="Cambria Math"/>
                      </a:rPr>
                      <m:t>+</m:t>
                    </m:r>
                    <m:f>
                      <m:fPr>
                        <m:ctrlPr>
                          <a:rPr lang="en-US" sz="2400" b="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400</m:t>
                        </m:r>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de-DE" sz="2400" b="0" i="1">
                                    <a:solidFill>
                                      <a:schemeClr val="tx1"/>
                                    </a:solidFill>
                                    <a:effectLst/>
                                    <a:latin typeface="Cambria Math"/>
                                    <a:ea typeface="+mn-ea"/>
                                    <a:cs typeface="+mn-cs"/>
                                  </a:rPr>
                                  <m:t>𝐼𝑅𝑅</m:t>
                                </m:r>
                              </m:e>
                            </m:d>
                          </m:e>
                          <m:sup>
                            <m:r>
                              <a:rPr lang="en-US" sz="2400" b="0" i="1">
                                <a:solidFill>
                                  <a:schemeClr val="tx1"/>
                                </a:solidFill>
                                <a:effectLst/>
                                <a:latin typeface="Cambria Math"/>
                                <a:ea typeface="+mn-ea"/>
                                <a:cs typeface="+mn-cs"/>
                              </a:rPr>
                              <m:t>2</m:t>
                            </m:r>
                          </m:sup>
                        </m:sSup>
                      </m:den>
                    </m:f>
                    <m:r>
                      <a:rPr lang="en-US" sz="2400" b="0" i="1">
                        <a:solidFill>
                          <a:schemeClr val="tx1"/>
                        </a:solidFill>
                        <a:effectLst/>
                        <a:latin typeface="Cambria Math"/>
                        <a:ea typeface="+mn-ea"/>
                        <a:cs typeface="+mn-cs"/>
                      </a:rPr>
                      <m:t>+</m:t>
                    </m:r>
                    <m:f>
                      <m:fPr>
                        <m:ctrlPr>
                          <a:rPr lang="en-US" sz="2400" b="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300</m:t>
                        </m:r>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de-DE" sz="2400" b="0" i="1">
                                    <a:solidFill>
                                      <a:schemeClr val="tx1"/>
                                    </a:solidFill>
                                    <a:effectLst/>
                                    <a:latin typeface="Cambria Math"/>
                                    <a:ea typeface="+mn-ea"/>
                                    <a:cs typeface="+mn-cs"/>
                                  </a:rPr>
                                  <m:t>𝐼𝑅𝑅</m:t>
                                </m:r>
                              </m:e>
                            </m:d>
                          </m:e>
                          <m:sup>
                            <m:r>
                              <a:rPr lang="en-US" sz="2400" b="0" i="1">
                                <a:solidFill>
                                  <a:schemeClr val="tx1"/>
                                </a:solidFill>
                                <a:effectLst/>
                                <a:latin typeface="Cambria Math"/>
                                <a:ea typeface="+mn-ea"/>
                                <a:cs typeface="+mn-cs"/>
                              </a:rPr>
                              <m:t>3</m:t>
                            </m:r>
                          </m:sup>
                        </m:sSup>
                      </m:den>
                    </m:f>
                    <m:r>
                      <a:rPr lang="en-US" sz="2400" b="0" i="1">
                        <a:solidFill>
                          <a:schemeClr val="tx1"/>
                        </a:solidFill>
                        <a:effectLst/>
                        <a:latin typeface="Cambria Math"/>
                        <a:ea typeface="+mn-ea"/>
                        <a:cs typeface="+mn-cs"/>
                      </a:rPr>
                      <m:t>+</m:t>
                    </m:r>
                    <m:f>
                      <m:fPr>
                        <m:ctrlPr>
                          <a:rPr lang="en-US" sz="2400" b="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100</m:t>
                        </m:r>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de-DE" sz="2400" b="0" i="1">
                                    <a:solidFill>
                                      <a:schemeClr val="tx1"/>
                                    </a:solidFill>
                                    <a:effectLst/>
                                    <a:latin typeface="Cambria Math"/>
                                    <a:ea typeface="+mn-ea"/>
                                    <a:cs typeface="+mn-cs"/>
                                  </a:rPr>
                                  <m:t>𝐼𝑅𝑅</m:t>
                                </m:r>
                              </m:e>
                            </m:d>
                          </m:e>
                          <m:sup>
                            <m:r>
                              <a:rPr lang="en-US" sz="2400" b="0" i="1">
                                <a:solidFill>
                                  <a:schemeClr val="tx1"/>
                                </a:solidFill>
                                <a:effectLst/>
                                <a:latin typeface="Cambria Math"/>
                                <a:ea typeface="+mn-ea"/>
                                <a:cs typeface="+mn-cs"/>
                              </a:rPr>
                              <m:t>4</m:t>
                            </m:r>
                          </m:sup>
                        </m:sSup>
                      </m:den>
                    </m:f>
                  </m:oMath>
                </m:oMathPara>
              </a14:m>
              <a:endParaRPr lang="ru-RU" sz="2400"/>
            </a:p>
          </xdr:txBody>
        </xdr:sp>
      </mc:Choice>
      <mc:Fallback xmlns="">
        <xdr:sp macro="" textlink="">
          <xdr:nvSpPr>
            <xdr:cNvPr id="7" name="TextBox 6">
              <a:extLst>
                <a:ext uri="{FF2B5EF4-FFF2-40B4-BE49-F238E27FC236}">
                  <a16:creationId xmlns:a16="http://schemas.microsoft.com/office/drawing/2014/main" id="{325BE2E2-1F40-4C16-B6BF-9E6A6D8994B3}"/>
                </a:ext>
              </a:extLst>
            </xdr:cNvPr>
            <xdr:cNvSpPr txBox="1"/>
          </xdr:nvSpPr>
          <xdr:spPr>
            <a:xfrm>
              <a:off x="2434477" y="13202489"/>
              <a:ext cx="9414623" cy="845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400" b="0" i="0">
                  <a:latin typeface="Cambria Math"/>
                </a:rPr>
                <a:t>0</a:t>
              </a:r>
              <a:r>
                <a:rPr lang="en-US" sz="2400" b="0" i="0">
                  <a:latin typeface="Cambria Math"/>
                </a:rPr>
                <a:t>=−1000+500</a:t>
              </a:r>
              <a:r>
                <a:rPr lang="en-US" sz="2400" b="0" i="0">
                  <a:latin typeface="Cambria Math" panose="02040503050406030204" pitchFamily="18" charset="0"/>
                </a:rPr>
                <a:t>/(</a:t>
              </a:r>
              <a:r>
                <a:rPr lang="en-US" sz="2400" b="0" i="0">
                  <a:latin typeface="Cambria Math"/>
                </a:rPr>
                <a:t>1+</a:t>
              </a:r>
              <a:r>
                <a:rPr lang="de-DE" sz="2400" b="0" i="0">
                  <a:latin typeface="Cambria Math"/>
                </a:rPr>
                <a:t>𝐼𝑅𝑅</a:t>
              </a:r>
              <a:r>
                <a:rPr lang="de-DE" sz="2400" b="0" i="0">
                  <a:latin typeface="Cambria Math" panose="02040503050406030204" pitchFamily="18" charset="0"/>
                </a:rPr>
                <a:t>)</a:t>
              </a:r>
              <a:r>
                <a:rPr lang="en-US" sz="2400" b="0" i="0">
                  <a:latin typeface="Cambria Math" panose="02040503050406030204" pitchFamily="18" charset="0"/>
                </a:rPr>
                <a:t>^</a:t>
              </a:r>
              <a:r>
                <a:rPr lang="en-US" sz="2400" b="0" i="0">
                  <a:latin typeface="Cambria Math"/>
                </a:rPr>
                <a:t>1</a:t>
              </a:r>
              <a:r>
                <a:rPr lang="en-US" sz="2400" b="0" i="0">
                  <a:latin typeface="Cambria Math" panose="02040503050406030204" pitchFamily="18" charset="0"/>
                </a:rPr>
                <a:t> </a:t>
              </a:r>
              <a:r>
                <a:rPr lang="en-US" sz="2400" b="0" i="0">
                  <a:latin typeface="Cambria Math"/>
                </a:rPr>
                <a:t>+</a:t>
              </a:r>
              <a:r>
                <a:rPr lang="en-US" sz="2400" b="0" i="0">
                  <a:solidFill>
                    <a:schemeClr val="tx1"/>
                  </a:solidFill>
                  <a:effectLst/>
                  <a:latin typeface="Cambria Math"/>
                  <a:ea typeface="+mn-ea"/>
                  <a:cs typeface="+mn-cs"/>
                </a:rPr>
                <a:t>400</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1+</a:t>
              </a:r>
              <a:r>
                <a:rPr lang="de-DE" sz="2400" b="0" i="0">
                  <a:solidFill>
                    <a:schemeClr val="tx1"/>
                  </a:solidFill>
                  <a:effectLst/>
                  <a:latin typeface="Cambria Math"/>
                  <a:ea typeface="+mn-ea"/>
                  <a:cs typeface="+mn-cs"/>
                </a:rPr>
                <a:t>𝐼𝑅𝑅</a:t>
              </a:r>
              <a:r>
                <a:rPr lang="de-DE"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2</a:t>
              </a:r>
              <a:r>
                <a:rPr lang="en-US"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+300</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1+</a:t>
              </a:r>
              <a:r>
                <a:rPr lang="de-DE" sz="2400" b="0" i="0">
                  <a:solidFill>
                    <a:schemeClr val="tx1"/>
                  </a:solidFill>
                  <a:effectLst/>
                  <a:latin typeface="Cambria Math"/>
                  <a:ea typeface="+mn-ea"/>
                  <a:cs typeface="+mn-cs"/>
                </a:rPr>
                <a:t>𝐼𝑅𝑅</a:t>
              </a:r>
              <a:r>
                <a:rPr lang="de-DE"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3</a:t>
              </a:r>
              <a:r>
                <a:rPr lang="en-US"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+100</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1+</a:t>
              </a:r>
              <a:r>
                <a:rPr lang="de-DE" sz="2400" b="0" i="0">
                  <a:solidFill>
                    <a:schemeClr val="tx1"/>
                  </a:solidFill>
                  <a:effectLst/>
                  <a:latin typeface="Cambria Math"/>
                  <a:ea typeface="+mn-ea"/>
                  <a:cs typeface="+mn-cs"/>
                </a:rPr>
                <a:t>𝐼𝑅𝑅</a:t>
              </a:r>
              <a:r>
                <a:rPr lang="de-DE"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4</a:t>
              </a:r>
              <a:r>
                <a:rPr lang="en-US" sz="2400" b="0" i="0">
                  <a:solidFill>
                    <a:schemeClr val="tx1"/>
                  </a:solidFill>
                  <a:effectLst/>
                  <a:latin typeface="Cambria Math" panose="02040503050406030204" pitchFamily="18" charset="0"/>
                  <a:ea typeface="+mn-ea"/>
                  <a:cs typeface="+mn-cs"/>
                </a:rPr>
                <a:t> </a:t>
              </a:r>
              <a:endParaRPr lang="ru-RU" sz="2400"/>
            </a:p>
          </xdr:txBody>
        </xdr:sp>
      </mc:Fallback>
    </mc:AlternateContent>
    <xdr:clientData/>
  </xdr:oneCellAnchor>
  <xdr:oneCellAnchor>
    <xdr:from>
      <xdr:col>7</xdr:col>
      <xdr:colOff>522194</xdr:colOff>
      <xdr:row>97</xdr:row>
      <xdr:rowOff>223836</xdr:rowOff>
    </xdr:from>
    <xdr:ext cx="5177678" cy="1131143"/>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E1565F50-B66A-425E-AECF-FBD7E21103AE}"/>
                </a:ext>
              </a:extLst>
            </xdr:cNvPr>
            <xdr:cNvSpPr txBox="1"/>
          </xdr:nvSpPr>
          <xdr:spPr>
            <a:xfrm>
              <a:off x="4789394" y="18673761"/>
              <a:ext cx="5177678" cy="113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nary>
                      <m:naryPr>
                        <m:chr m:val="∑"/>
                        <m:ctrlPr>
                          <a:rPr lang="de-DE" sz="2400" b="0" i="1">
                            <a:latin typeface="Cambria Math" panose="02040503050406030204" pitchFamily="18" charset="0"/>
                          </a:rPr>
                        </m:ctrlPr>
                      </m:naryPr>
                      <m:sub>
                        <m:r>
                          <m:rPr>
                            <m:brk m:alnAt="23"/>
                          </m:rPr>
                          <a:rPr lang="en-US" sz="2400" b="0" i="1">
                            <a:latin typeface="Cambria Math"/>
                          </a:rPr>
                          <m:t>𝑡</m:t>
                        </m:r>
                        <m:r>
                          <a:rPr lang="en-US" sz="2400" b="0" i="1">
                            <a:latin typeface="Cambria Math"/>
                          </a:rPr>
                          <m:t>=0</m:t>
                        </m:r>
                      </m:sub>
                      <m:sup>
                        <m:r>
                          <a:rPr lang="en-US" sz="2400" b="0" i="1">
                            <a:latin typeface="Cambria Math"/>
                          </a:rPr>
                          <m:t>𝑁</m:t>
                        </m:r>
                      </m:sup>
                      <m:e>
                        <m:f>
                          <m:fPr>
                            <m:ctrlPr>
                              <a:rPr lang="de-DE" sz="2400" b="0" i="1">
                                <a:latin typeface="Cambria Math" panose="02040503050406030204" pitchFamily="18" charset="0"/>
                              </a:rPr>
                            </m:ctrlPr>
                          </m:fPr>
                          <m:num>
                            <m:sSub>
                              <m:sSubPr>
                                <m:ctrlPr>
                                  <a:rPr lang="de-DE" sz="2400" b="0" i="1">
                                    <a:latin typeface="Cambria Math" panose="02040503050406030204" pitchFamily="18" charset="0"/>
                                  </a:rPr>
                                </m:ctrlPr>
                              </m:sSubPr>
                              <m:e>
                                <m:r>
                                  <a:rPr lang="de-DE" sz="2400" b="0" i="1">
                                    <a:latin typeface="Cambria Math"/>
                                  </a:rPr>
                                  <m:t>𝐶𝑂𝐹</m:t>
                                </m:r>
                              </m:e>
                              <m:sub>
                                <m:r>
                                  <a:rPr lang="de-DE" sz="2400" b="0" i="1">
                                    <a:latin typeface="Cambria Math"/>
                                  </a:rPr>
                                  <m:t>𝑡</m:t>
                                </m:r>
                              </m:sub>
                            </m:sSub>
                          </m:num>
                          <m:den>
                            <m:sSup>
                              <m:sSupPr>
                                <m:ctrlPr>
                                  <a:rPr lang="de-DE" sz="2400" b="0" i="1">
                                    <a:latin typeface="Cambria Math" panose="02040503050406030204" pitchFamily="18" charset="0"/>
                                  </a:rPr>
                                </m:ctrlPr>
                              </m:sSupPr>
                              <m:e>
                                <m:d>
                                  <m:dPr>
                                    <m:ctrlPr>
                                      <a:rPr lang="de-DE" sz="2400" b="0" i="1">
                                        <a:latin typeface="Cambria Math" panose="02040503050406030204" pitchFamily="18" charset="0"/>
                                      </a:rPr>
                                    </m:ctrlPr>
                                  </m:dPr>
                                  <m:e>
                                    <m:r>
                                      <a:rPr lang="de-DE" sz="2400" b="0" i="1">
                                        <a:latin typeface="Cambria Math"/>
                                      </a:rPr>
                                      <m:t>1+</m:t>
                                    </m:r>
                                    <m:r>
                                      <a:rPr lang="de-DE" sz="2400" b="0" i="1">
                                        <a:latin typeface="Cambria Math"/>
                                      </a:rPr>
                                      <m:t>𝑟</m:t>
                                    </m:r>
                                  </m:e>
                                </m:d>
                              </m:e>
                              <m:sup>
                                <m:r>
                                  <a:rPr lang="de-DE" sz="2400" b="0" i="1">
                                    <a:latin typeface="Cambria Math"/>
                                  </a:rPr>
                                  <m:t>𝑡</m:t>
                                </m:r>
                              </m:sup>
                            </m:sSup>
                          </m:den>
                        </m:f>
                      </m:e>
                    </m:nary>
                    <m:r>
                      <a:rPr lang="en-US" sz="2400" b="0" i="1">
                        <a:latin typeface="Cambria Math"/>
                      </a:rPr>
                      <m:t>=</m:t>
                    </m:r>
                    <m:f>
                      <m:fPr>
                        <m:ctrlPr>
                          <a:rPr lang="en-US" sz="2400" b="0" i="1">
                            <a:latin typeface="Cambria Math" panose="02040503050406030204" pitchFamily="18" charset="0"/>
                          </a:rPr>
                        </m:ctrlPr>
                      </m:fPr>
                      <m:num>
                        <m:nary>
                          <m:naryPr>
                            <m:chr m:val="∑"/>
                            <m:ctrlPr>
                              <a:rPr lang="en-US" sz="2400" b="0" i="1">
                                <a:latin typeface="Cambria Math" panose="02040503050406030204" pitchFamily="18" charset="0"/>
                              </a:rPr>
                            </m:ctrlPr>
                          </m:naryPr>
                          <m:sub>
                            <m:r>
                              <m:rPr>
                                <m:brk m:alnAt="23"/>
                              </m:rPr>
                              <a:rPr lang="en-US" sz="2400" b="0" i="1">
                                <a:latin typeface="Cambria Math"/>
                              </a:rPr>
                              <m:t>𝑡</m:t>
                            </m:r>
                            <m:r>
                              <a:rPr lang="en-US" sz="2400" b="0" i="1">
                                <a:latin typeface="Cambria Math"/>
                              </a:rPr>
                              <m:t>=0</m:t>
                            </m:r>
                          </m:sub>
                          <m:sup>
                            <m:r>
                              <a:rPr lang="en-US" sz="2400" b="0" i="1">
                                <a:latin typeface="Cambria Math"/>
                              </a:rPr>
                              <m:t>𝑁</m:t>
                            </m:r>
                          </m:sup>
                          <m:e>
                            <m:sSub>
                              <m:sSubPr>
                                <m:ctrlPr>
                                  <a:rPr lang="en-US" sz="2400" b="0" i="1">
                                    <a:latin typeface="Cambria Math" panose="02040503050406030204" pitchFamily="18" charset="0"/>
                                  </a:rPr>
                                </m:ctrlPr>
                              </m:sSubPr>
                              <m:e>
                                <m:r>
                                  <a:rPr lang="en-US" sz="2400" b="0" i="1">
                                    <a:latin typeface="Cambria Math"/>
                                  </a:rPr>
                                  <m:t>𝐶𝐼𝐹</m:t>
                                </m:r>
                              </m:e>
                              <m:sub>
                                <m:r>
                                  <a:rPr lang="en-US" sz="2400" b="0" i="1">
                                    <a:latin typeface="Cambria Math"/>
                                  </a:rPr>
                                  <m:t>𝑡</m:t>
                                </m:r>
                              </m:sub>
                            </m:sSub>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𝑟</m:t>
                                    </m:r>
                                  </m:e>
                                </m:d>
                              </m:e>
                              <m:sup>
                                <m:r>
                                  <a:rPr lang="en-US" sz="2400" b="0" i="1">
                                    <a:latin typeface="Cambria Math"/>
                                  </a:rPr>
                                  <m:t>𝑁</m:t>
                                </m:r>
                                <m:r>
                                  <a:rPr lang="en-US" sz="2400" b="0" i="1">
                                    <a:latin typeface="Cambria Math"/>
                                  </a:rPr>
                                  <m:t>−</m:t>
                                </m:r>
                                <m:r>
                                  <a:rPr lang="en-US" sz="2400" b="0" i="1">
                                    <a:latin typeface="Cambria Math"/>
                                  </a:rPr>
                                  <m:t>𝑡</m:t>
                                </m:r>
                              </m:sup>
                            </m:sSup>
                          </m:e>
                        </m:nary>
                      </m:num>
                      <m:den>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𝑀𝐼𝑅𝑅</m:t>
                                </m:r>
                              </m:e>
                            </m:d>
                          </m:e>
                          <m:sup>
                            <m:r>
                              <a:rPr lang="en-US" sz="2400" b="0" i="1">
                                <a:latin typeface="Cambria Math"/>
                              </a:rPr>
                              <m:t>𝑁</m:t>
                            </m:r>
                          </m:sup>
                        </m:sSup>
                      </m:den>
                    </m:f>
                  </m:oMath>
                </m:oMathPara>
              </a14:m>
              <a:endParaRPr lang="ru-RU" sz="2400"/>
            </a:p>
          </xdr:txBody>
        </xdr:sp>
      </mc:Choice>
      <mc:Fallback xmlns="">
        <xdr:sp macro="" textlink="">
          <xdr:nvSpPr>
            <xdr:cNvPr id="8" name="TextBox 7">
              <a:extLst>
                <a:ext uri="{FF2B5EF4-FFF2-40B4-BE49-F238E27FC236}">
                  <a16:creationId xmlns:a16="http://schemas.microsoft.com/office/drawing/2014/main" id="{E1565F50-B66A-425E-AECF-FBD7E21103AE}"/>
                </a:ext>
              </a:extLst>
            </xdr:cNvPr>
            <xdr:cNvSpPr txBox="1"/>
          </xdr:nvSpPr>
          <xdr:spPr>
            <a:xfrm>
              <a:off x="4789394" y="18673761"/>
              <a:ext cx="5177678" cy="113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de-DE" sz="2400" b="0" i="0">
                  <a:latin typeface="Cambria Math" panose="02040503050406030204" pitchFamily="18" charset="0"/>
                </a:rPr>
                <a:t>∑</a:t>
              </a:r>
              <a:r>
                <a:rPr lang="en-US" sz="2400" b="0" i="0">
                  <a:latin typeface="Cambria Math" panose="02040503050406030204" pitchFamily="18" charset="0"/>
                </a:rPr>
                <a:t>_</a:t>
              </a:r>
              <a:r>
                <a:rPr lang="de-DE" sz="2400" b="0" i="0">
                  <a:latin typeface="Cambria Math" panose="02040503050406030204" pitchFamily="18" charset="0"/>
                </a:rPr>
                <a:t>(</a:t>
              </a:r>
              <a:r>
                <a:rPr lang="en-US" sz="2400" b="0" i="0">
                  <a:latin typeface="Cambria Math"/>
                </a:rPr>
                <a:t>𝑡=0</a:t>
              </a:r>
              <a:r>
                <a:rPr lang="de-DE" sz="2400" b="0" i="0">
                  <a:latin typeface="Cambria Math" panose="02040503050406030204" pitchFamily="18" charset="0"/>
                </a:rPr>
                <a:t>)</a:t>
              </a:r>
              <a:r>
                <a:rPr lang="en-US" sz="2400" b="0" i="0">
                  <a:latin typeface="Cambria Math" panose="02040503050406030204" pitchFamily="18" charset="0"/>
                </a:rPr>
                <a:t>^</a:t>
              </a:r>
              <a:r>
                <a:rPr lang="en-US" sz="2400" b="0" i="0">
                  <a:latin typeface="Cambria Math"/>
                </a:rPr>
                <a:t>𝑁</a:t>
              </a:r>
              <a:r>
                <a:rPr lang="de-DE" sz="2400" b="0" i="0">
                  <a:latin typeface="Cambria Math" panose="02040503050406030204" pitchFamily="18" charset="0"/>
                </a:rPr>
                <a:t>▒〖</a:t>
              </a:r>
              <a:r>
                <a:rPr lang="de-DE" sz="2400" b="0" i="0">
                  <a:latin typeface="Cambria Math"/>
                </a:rPr>
                <a:t>𝐶𝑂𝐹</a:t>
              </a:r>
              <a:r>
                <a:rPr lang="de-DE" sz="2400" b="0" i="0">
                  <a:latin typeface="Cambria Math" panose="02040503050406030204" pitchFamily="18" charset="0"/>
                </a:rPr>
                <a:t>〗_</a:t>
              </a:r>
              <a:r>
                <a:rPr lang="de-DE" sz="2400" b="0" i="0">
                  <a:latin typeface="Cambria Math"/>
                </a:rPr>
                <a:t>𝑡</a:t>
              </a:r>
              <a:r>
                <a:rPr lang="de-DE" sz="2400" b="0" i="0">
                  <a:latin typeface="Cambria Math" panose="02040503050406030204" pitchFamily="18" charset="0"/>
                </a:rPr>
                <a:t>/(</a:t>
              </a:r>
              <a:r>
                <a:rPr lang="de-DE" sz="2400" b="0" i="0">
                  <a:latin typeface="Cambria Math"/>
                </a:rPr>
                <a:t>1+𝑟</a:t>
              </a:r>
              <a:r>
                <a:rPr lang="de-DE" sz="2400" b="0" i="0">
                  <a:latin typeface="Cambria Math" panose="02040503050406030204" pitchFamily="18" charset="0"/>
                </a:rPr>
                <a:t>)^</a:t>
              </a:r>
              <a:r>
                <a:rPr lang="de-DE" sz="2400" b="0" i="0">
                  <a:latin typeface="Cambria Math"/>
                </a:rPr>
                <a:t>𝑡</a:t>
              </a:r>
              <a:r>
                <a:rPr lang="de-DE" sz="2400" b="0" i="0">
                  <a:latin typeface="Cambria Math" panose="02040503050406030204" pitchFamily="18" charset="0"/>
                </a:rPr>
                <a:t> </a:t>
              </a:r>
              <a:r>
                <a:rPr lang="en-US" sz="2400" b="0" i="0">
                  <a:latin typeface="Cambria Math"/>
                </a:rPr>
                <a:t>=</a:t>
              </a:r>
              <a:r>
                <a:rPr lang="en-US" sz="2400" b="0" i="0">
                  <a:latin typeface="Cambria Math" panose="02040503050406030204" pitchFamily="18" charset="0"/>
                </a:rPr>
                <a:t>(∑_(</a:t>
              </a:r>
              <a:r>
                <a:rPr lang="en-US" sz="2400" b="0" i="0">
                  <a:latin typeface="Cambria Math"/>
                </a:rPr>
                <a:t>𝑡=0</a:t>
              </a:r>
              <a:r>
                <a:rPr lang="en-US" sz="2400" b="0" i="0">
                  <a:latin typeface="Cambria Math" panose="02040503050406030204" pitchFamily="18" charset="0"/>
                </a:rPr>
                <a:t>)^</a:t>
              </a:r>
              <a:r>
                <a:rPr lang="en-US" sz="2400" b="0" i="0">
                  <a:latin typeface="Cambria Math"/>
                </a:rPr>
                <a:t>𝑁</a:t>
              </a:r>
              <a:r>
                <a:rPr lang="en-US" sz="2400" b="0" i="0">
                  <a:latin typeface="Cambria Math" panose="02040503050406030204" pitchFamily="18" charset="0"/>
                </a:rPr>
                <a:t>▒〖〖</a:t>
              </a:r>
              <a:r>
                <a:rPr lang="en-US" sz="2400" b="0" i="0">
                  <a:latin typeface="Cambria Math"/>
                </a:rPr>
                <a:t>𝐶𝐼𝐹</a:t>
              </a:r>
              <a:r>
                <a:rPr lang="en-US" sz="2400" b="0" i="0">
                  <a:latin typeface="Cambria Math" panose="02040503050406030204" pitchFamily="18" charset="0"/>
                </a:rPr>
                <a:t>〗_</a:t>
              </a:r>
              <a:r>
                <a:rPr lang="en-US" sz="2400" b="0" i="0">
                  <a:latin typeface="Cambria Math"/>
                </a:rPr>
                <a:t>𝑡</a:t>
              </a:r>
              <a:r>
                <a:rPr lang="en-US" sz="2400" b="0" i="0">
                  <a:latin typeface="Cambria Math" panose="02040503050406030204" pitchFamily="18" charset="0"/>
                </a:rPr>
                <a:t> (</a:t>
              </a:r>
              <a:r>
                <a:rPr lang="en-US" sz="2400" b="0" i="0">
                  <a:latin typeface="Cambria Math"/>
                </a:rPr>
                <a:t>1+𝑟</a:t>
              </a:r>
              <a:r>
                <a:rPr lang="en-US" sz="2400" b="0" i="0">
                  <a:latin typeface="Cambria Math" panose="02040503050406030204" pitchFamily="18" charset="0"/>
                </a:rPr>
                <a:t>)^(</a:t>
              </a:r>
              <a:r>
                <a:rPr lang="en-US" sz="2400" b="0" i="0">
                  <a:latin typeface="Cambria Math"/>
                </a:rPr>
                <a:t>𝑁−𝑡</a:t>
              </a:r>
              <a:r>
                <a:rPr lang="en-US" sz="2400" b="0" i="0">
                  <a:latin typeface="Cambria Math" panose="02040503050406030204" pitchFamily="18" charset="0"/>
                </a:rPr>
                <a:t>) 〗)/(</a:t>
              </a:r>
              <a:r>
                <a:rPr lang="en-US" sz="2400" b="0" i="0">
                  <a:latin typeface="Cambria Math"/>
                </a:rPr>
                <a:t>1+𝑀𝐼𝑅𝑅</a:t>
              </a:r>
              <a:r>
                <a:rPr lang="en-US" sz="2400" b="0" i="0">
                  <a:latin typeface="Cambria Math" panose="02040503050406030204" pitchFamily="18" charset="0"/>
                </a:rPr>
                <a:t>)^</a:t>
              </a:r>
              <a:r>
                <a:rPr lang="en-US" sz="2400" b="0" i="0">
                  <a:latin typeface="Cambria Math"/>
                </a:rPr>
                <a:t>𝑁</a:t>
              </a:r>
              <a:r>
                <a:rPr lang="en-US" sz="2400" b="0" i="0">
                  <a:latin typeface="Cambria Math" panose="02040503050406030204" pitchFamily="18" charset="0"/>
                </a:rPr>
                <a:t> </a:t>
              </a:r>
              <a:endParaRPr lang="ru-RU" sz="2400"/>
            </a:p>
          </xdr:txBody>
        </xdr:sp>
      </mc:Fallback>
    </mc:AlternateContent>
    <xdr:clientData/>
  </xdr:oneCellAnchor>
  <xdr:oneCellAnchor>
    <xdr:from>
      <xdr:col>9</xdr:col>
      <xdr:colOff>520513</xdr:colOff>
      <xdr:row>124</xdr:row>
      <xdr:rowOff>234481</xdr:rowOff>
    </xdr:from>
    <xdr:ext cx="5048250" cy="835998"/>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803D650-55D9-4A2D-A1F5-E263BA84C401}"/>
                </a:ext>
              </a:extLst>
            </xdr:cNvPr>
            <xdr:cNvSpPr txBox="1"/>
          </xdr:nvSpPr>
          <xdr:spPr>
            <a:xfrm>
              <a:off x="6006913" y="23808856"/>
              <a:ext cx="5048250" cy="835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400" b="0" i="1">
                            <a:latin typeface="Cambria Math" panose="02040503050406030204" pitchFamily="18" charset="0"/>
                          </a:rPr>
                        </m:ctrlPr>
                      </m:sSubPr>
                      <m:e>
                        <m:r>
                          <a:rPr lang="en-US" sz="2400" b="0" i="1">
                            <a:latin typeface="Cambria Math"/>
                          </a:rPr>
                          <m:t>𝑃𝑉</m:t>
                        </m:r>
                      </m:e>
                      <m:sub>
                        <m:r>
                          <a:rPr lang="en-US" sz="2400" b="0" i="1">
                            <a:latin typeface="Cambria Math"/>
                          </a:rPr>
                          <m:t>𝑐𝑜𝑠𝑡𝑠</m:t>
                        </m:r>
                      </m:sub>
                    </m:sSub>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𝑇𝑉</m:t>
                        </m:r>
                      </m:num>
                      <m:den>
                        <m:sSup>
                          <m:sSupPr>
                            <m:ctrlPr>
                              <a:rPr lang="en-US" sz="2400" b="0" i="1">
                                <a:latin typeface="Cambria Math" panose="02040503050406030204" pitchFamily="18" charset="0"/>
                              </a:rPr>
                            </m:ctrlPr>
                          </m:sSupPr>
                          <m:e>
                            <m:d>
                              <m:dPr>
                                <m:ctrlPr>
                                  <a:rPr lang="en-US" sz="2400" b="0" i="1">
                                    <a:latin typeface="Cambria Math" panose="02040503050406030204" pitchFamily="18" charset="0"/>
                                  </a:rPr>
                                </m:ctrlPr>
                              </m:dPr>
                              <m:e>
                                <m:r>
                                  <a:rPr lang="en-US" sz="2400" b="0" i="1">
                                    <a:latin typeface="Cambria Math"/>
                                  </a:rPr>
                                  <m:t>1+</m:t>
                                </m:r>
                                <m:r>
                                  <a:rPr lang="en-US" sz="2400" b="0" i="1">
                                    <a:latin typeface="Cambria Math"/>
                                  </a:rPr>
                                  <m:t>𝑀𝐼𝑅𝑅</m:t>
                                </m:r>
                              </m:e>
                            </m:d>
                          </m:e>
                          <m:sup>
                            <m:r>
                              <a:rPr lang="en-US" sz="2400" b="0" i="1">
                                <a:latin typeface="Cambria Math"/>
                              </a:rPr>
                              <m:t>𝑁</m:t>
                            </m:r>
                          </m:sup>
                        </m:sSup>
                      </m:den>
                    </m:f>
                  </m:oMath>
                </m:oMathPara>
              </a14:m>
              <a:endParaRPr lang="ru-RU" sz="2400"/>
            </a:p>
          </xdr:txBody>
        </xdr:sp>
      </mc:Choice>
      <mc:Fallback xmlns="">
        <xdr:sp macro="" textlink="">
          <xdr:nvSpPr>
            <xdr:cNvPr id="9" name="TextBox 8">
              <a:extLst>
                <a:ext uri="{FF2B5EF4-FFF2-40B4-BE49-F238E27FC236}">
                  <a16:creationId xmlns:a16="http://schemas.microsoft.com/office/drawing/2014/main" id="{1803D650-55D9-4A2D-A1F5-E263BA84C401}"/>
                </a:ext>
              </a:extLst>
            </xdr:cNvPr>
            <xdr:cNvSpPr txBox="1"/>
          </xdr:nvSpPr>
          <xdr:spPr>
            <a:xfrm>
              <a:off x="6006913" y="23808856"/>
              <a:ext cx="5048250" cy="835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panose="02040503050406030204" pitchFamily="18" charset="0"/>
                </a:rPr>
                <a:t>〖</a:t>
              </a:r>
              <a:r>
                <a:rPr lang="en-US" sz="2400" b="0" i="0">
                  <a:latin typeface="Cambria Math"/>
                </a:rPr>
                <a:t>𝑃𝑉</a:t>
              </a:r>
              <a:r>
                <a:rPr lang="en-US" sz="2400" b="0" i="0">
                  <a:latin typeface="Cambria Math" panose="02040503050406030204" pitchFamily="18" charset="0"/>
                </a:rPr>
                <a:t>〗_</a:t>
              </a:r>
              <a:r>
                <a:rPr lang="en-US" sz="2400" b="0" i="0">
                  <a:latin typeface="Cambria Math"/>
                </a:rPr>
                <a:t>𝑐𝑜𝑠𝑡𝑠=𝑇𝑉</a:t>
              </a:r>
              <a:r>
                <a:rPr lang="en-US" sz="2400" b="0" i="0">
                  <a:latin typeface="Cambria Math" panose="02040503050406030204" pitchFamily="18" charset="0"/>
                </a:rPr>
                <a:t>/(</a:t>
              </a:r>
              <a:r>
                <a:rPr lang="en-US" sz="2400" b="0" i="0">
                  <a:latin typeface="Cambria Math"/>
                </a:rPr>
                <a:t>1+𝑀𝐼𝑅𝑅</a:t>
              </a:r>
              <a:r>
                <a:rPr lang="en-US" sz="2400" b="0" i="0">
                  <a:latin typeface="Cambria Math" panose="02040503050406030204" pitchFamily="18" charset="0"/>
                </a:rPr>
                <a:t>)^</a:t>
              </a:r>
              <a:r>
                <a:rPr lang="en-US" sz="2400" b="0" i="0">
                  <a:latin typeface="Cambria Math"/>
                </a:rPr>
                <a:t>𝑁</a:t>
              </a:r>
              <a:r>
                <a:rPr lang="en-US" sz="2400" b="0" i="0">
                  <a:latin typeface="Cambria Math" panose="02040503050406030204" pitchFamily="18" charset="0"/>
                </a:rPr>
                <a:t> </a:t>
              </a:r>
              <a:endParaRPr lang="ru-RU" sz="2400"/>
            </a:p>
          </xdr:txBody>
        </xdr:sp>
      </mc:Fallback>
    </mc:AlternateContent>
    <xdr:clientData/>
  </xdr:oneCellAnchor>
  <xdr:oneCellAnchor>
    <xdr:from>
      <xdr:col>1</xdr:col>
      <xdr:colOff>2689411</xdr:colOff>
      <xdr:row>205</xdr:row>
      <xdr:rowOff>235322</xdr:rowOff>
    </xdr:from>
    <xdr:ext cx="11788589" cy="1658471"/>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68F5D3E3-9A77-4C24-A9DD-75E2DBB2F31D}"/>
                </a:ext>
              </a:extLst>
            </xdr:cNvPr>
            <xdr:cNvSpPr txBox="1"/>
          </xdr:nvSpPr>
          <xdr:spPr>
            <a:xfrm>
              <a:off x="1222561" y="39240197"/>
              <a:ext cx="11788589" cy="1658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𝑃𝑎𝑦𝑏𝑎𝑐𝑘</m:t>
                    </m:r>
                    <m:r>
                      <a:rPr lang="en-US" sz="2400" b="0" i="1">
                        <a:latin typeface="Cambria Math"/>
                      </a:rPr>
                      <m:t> </m:t>
                    </m:r>
                    <m:r>
                      <a:rPr lang="en-US" sz="2400" b="0" i="1">
                        <a:latin typeface="Cambria Math"/>
                      </a:rPr>
                      <m:t>𝑝𝑒𝑟𝑖𝑜𝑑</m:t>
                    </m:r>
                    <m:r>
                      <a:rPr lang="en-US" sz="2400" b="0" i="1">
                        <a:latin typeface="Cambria Math"/>
                      </a:rPr>
                      <m:t>=</m:t>
                    </m:r>
                    <m:r>
                      <a:rPr lang="en-US" sz="2400" b="0" i="1">
                        <a:latin typeface="Cambria Math"/>
                      </a:rPr>
                      <m:t>𝑁𝑢𝑚𝑏𝑒𝑟</m:t>
                    </m:r>
                    <m:r>
                      <a:rPr lang="en-US" sz="2400" b="0" i="1">
                        <a:latin typeface="Cambria Math"/>
                      </a:rPr>
                      <m:t> </m:t>
                    </m:r>
                    <m:r>
                      <a:rPr lang="en-US" sz="2400" b="0" i="1">
                        <a:latin typeface="Cambria Math"/>
                      </a:rPr>
                      <m:t>𝑜𝑓</m:t>
                    </m:r>
                    <m:r>
                      <a:rPr lang="en-US" sz="2400" b="0" i="1">
                        <a:latin typeface="Cambria Math"/>
                      </a:rPr>
                      <m:t> </m:t>
                    </m:r>
                    <m:r>
                      <a:rPr lang="en-US" sz="2400" b="0" i="1">
                        <a:latin typeface="Cambria Math"/>
                      </a:rPr>
                      <m:t>𝑦𝑒𝑎𝑟</m:t>
                    </m:r>
                    <m:r>
                      <a:rPr lang="en-US" sz="2400" b="0" i="1">
                        <a:latin typeface="Cambria Math"/>
                      </a:rPr>
                      <m:t> </m:t>
                    </m:r>
                    <m:r>
                      <a:rPr lang="en-US" sz="2400" b="0" i="1">
                        <a:latin typeface="Cambria Math"/>
                      </a:rPr>
                      <m:t>𝑤𝑖𝑡h</m:t>
                    </m:r>
                    <m:r>
                      <a:rPr lang="en-US" sz="2400" b="0" i="1">
                        <a:latin typeface="Cambria Math"/>
                      </a:rPr>
                      <m:t> </m:t>
                    </m:r>
                    <m:r>
                      <a:rPr lang="en-US" sz="2400" b="0" i="1">
                        <a:latin typeface="Cambria Math"/>
                      </a:rPr>
                      <m:t>𝑙𝑎𝑠𝑡</m:t>
                    </m:r>
                    <m:r>
                      <a:rPr lang="en-US" sz="2400" b="0" i="1">
                        <a:latin typeface="Cambria Math"/>
                      </a:rPr>
                      <m:t> </m:t>
                    </m:r>
                    <m:r>
                      <a:rPr lang="en-US" sz="2400" b="0" i="1">
                        <a:latin typeface="Cambria Math"/>
                      </a:rPr>
                      <m:t>𝑛𝑒𝑔𝑎𝑡𝑖𝑣𝑒</m:t>
                    </m:r>
                    <m:r>
                      <a:rPr lang="en-US" sz="2400" b="0" i="1">
                        <a:latin typeface="Cambria Math"/>
                      </a:rPr>
                      <m:t> </m:t>
                    </m:r>
                    <m:r>
                      <a:rPr lang="en-US" sz="2400" b="0" i="1">
                        <a:latin typeface="Cambria Math"/>
                      </a:rPr>
                      <m:t>𝑐𝑢𝑚𝑢𝑙𝑎𝑡𝑖𝑣𝑒</m:t>
                    </m:r>
                    <m:r>
                      <a:rPr lang="en-US" sz="2400" b="0" i="1">
                        <a:latin typeface="Cambria Math"/>
                      </a:rPr>
                      <m:t>  </m:t>
                    </m:r>
                    <m:r>
                      <a:rPr lang="en-US" sz="2400" b="0" i="1">
                        <a:latin typeface="Cambria Math"/>
                      </a:rPr>
                      <m:t>𝐶𝐹</m:t>
                    </m:r>
                    <m:r>
                      <a:rPr lang="en-US" sz="2400" b="0" i="1">
                        <a:latin typeface="Cambria Math"/>
                      </a:rPr>
                      <m:t>+</m:t>
                    </m:r>
                    <m:d>
                      <m:dPr>
                        <m:begChr m:val="|"/>
                        <m:endChr m:val="|"/>
                        <m:ctrlPr>
                          <a:rPr lang="en-US" sz="2400" b="0" i="1">
                            <a:latin typeface="Cambria Math" panose="02040503050406030204" pitchFamily="18" charset="0"/>
                          </a:rPr>
                        </m:ctrlPr>
                      </m:dPr>
                      <m:e>
                        <m:f>
                          <m:fPr>
                            <m:ctrlPr>
                              <a:rPr lang="en-US" sz="2400" b="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𝐿𝑎𝑠𝑡</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𝑛𝑒𝑔𝑎𝑡𝑖𝑣𝑒</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𝑐𝑢𝑚𝑢𝑙𝑎𝑡𝑖𝑣𝑒</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𝐶𝐹</m:t>
                            </m:r>
                          </m:num>
                          <m:den>
                            <m:r>
                              <a:rPr lang="en-US" sz="2400" b="0" i="1">
                                <a:solidFill>
                                  <a:schemeClr val="tx1"/>
                                </a:solidFill>
                                <a:effectLst/>
                                <a:latin typeface="Cambria Math"/>
                                <a:ea typeface="+mn-ea"/>
                                <a:cs typeface="+mn-cs"/>
                              </a:rPr>
                              <m:t>𝐶𝐹</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𝑓𝑜𝑟</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𝑡h𝑒</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𝑛𝑒𝑥𝑡</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𝑝𝑒𝑟𝑜𝑑</m:t>
                            </m:r>
                          </m:den>
                        </m:f>
                      </m:e>
                    </m:d>
                  </m:oMath>
                </m:oMathPara>
              </a14:m>
              <a:endParaRPr lang="ru-RU" sz="2400"/>
            </a:p>
          </xdr:txBody>
        </xdr:sp>
      </mc:Choice>
      <mc:Fallback xmlns="">
        <xdr:sp macro="" textlink="">
          <xdr:nvSpPr>
            <xdr:cNvPr id="10" name="TextBox 9">
              <a:extLst>
                <a:ext uri="{FF2B5EF4-FFF2-40B4-BE49-F238E27FC236}">
                  <a16:creationId xmlns:a16="http://schemas.microsoft.com/office/drawing/2014/main" id="{68F5D3E3-9A77-4C24-A9DD-75E2DBB2F31D}"/>
                </a:ext>
              </a:extLst>
            </xdr:cNvPr>
            <xdr:cNvSpPr txBox="1"/>
          </xdr:nvSpPr>
          <xdr:spPr>
            <a:xfrm>
              <a:off x="1222561" y="39240197"/>
              <a:ext cx="11788589" cy="1658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𝑃𝑎𝑦𝑏𝑎𝑐𝑘 𝑝𝑒𝑟𝑖𝑜𝑑=𝑁𝑢𝑚𝑏𝑒𝑟 𝑜𝑓 𝑦𝑒𝑎𝑟 𝑤𝑖𝑡ℎ 𝑙𝑎𝑠𝑡 𝑛𝑒𝑔𝑎𝑡𝑖𝑣𝑒 𝑐𝑢𝑚𝑢𝑙𝑎𝑡𝑖𝑣𝑒  𝐶𝐹+</a:t>
              </a:r>
              <a:r>
                <a:rPr lang="en-US" sz="2400" b="0" i="0">
                  <a:latin typeface="Cambria Math" panose="02040503050406030204" pitchFamily="18" charset="0"/>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𝐿𝑎𝑠𝑡 𝑛𝑒𝑔𝑎𝑡𝑖𝑣𝑒 𝑐𝑢𝑚𝑢𝑙𝑎𝑡𝑖𝑣𝑒 𝐶𝐹</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𝐶𝐹 𝑓𝑜𝑟 𝑡ℎ𝑒 𝑛𝑒𝑥𝑡 𝑝𝑒𝑟𝑜𝑑</a:t>
              </a:r>
              <a:r>
                <a:rPr lang="en-US" sz="2400" b="0" i="0">
                  <a:solidFill>
                    <a:schemeClr val="tx1"/>
                  </a:solidFill>
                  <a:effectLst/>
                  <a:latin typeface="Cambria Math" panose="02040503050406030204" pitchFamily="18" charset="0"/>
                  <a:ea typeface="+mn-ea"/>
                  <a:cs typeface="+mn-cs"/>
                </a:rPr>
                <a:t>)|</a:t>
              </a:r>
              <a:endParaRPr lang="ru-RU" sz="24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oneCellAnchor>
    <xdr:from>
      <xdr:col>6</xdr:col>
      <xdr:colOff>352424</xdr:colOff>
      <xdr:row>37</xdr:row>
      <xdr:rowOff>44904</xdr:rowOff>
    </xdr:from>
    <xdr:ext cx="5123389" cy="81817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A92BA769-E678-43A1-9E43-7005CB4E2F80}"/>
                </a:ext>
              </a:extLst>
            </xdr:cNvPr>
            <xdr:cNvSpPr txBox="1"/>
          </xdr:nvSpPr>
          <xdr:spPr>
            <a:xfrm>
              <a:off x="6217103" y="9107261"/>
              <a:ext cx="5123389" cy="8181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800" b="0" i="1">
                        <a:latin typeface="Cambria Math"/>
                      </a:rPr>
                      <m:t>𝑇𝑜𝑡𝑎𝑙</m:t>
                    </m:r>
                    <m:r>
                      <a:rPr lang="en-US" sz="2800" b="0" i="1">
                        <a:latin typeface="Cambria Math"/>
                      </a:rPr>
                      <m:t> </m:t>
                    </m:r>
                    <m:r>
                      <a:rPr lang="en-US" sz="2800" b="0" i="1">
                        <a:latin typeface="Cambria Math"/>
                      </a:rPr>
                      <m:t>𝑎𝑠𝑠𝑒𝑡𝑠</m:t>
                    </m:r>
                    <m:r>
                      <a:rPr lang="en-US" sz="2800" b="0" i="1">
                        <a:latin typeface="Cambria Math"/>
                      </a:rPr>
                      <m:t> </m:t>
                    </m:r>
                    <m:r>
                      <a:rPr lang="en-US" sz="2800" b="0" i="1">
                        <a:latin typeface="Cambria Math"/>
                      </a:rPr>
                      <m:t>𝑡𝑢𝑟𝑛𝑜𝑣𝑒𝑟</m:t>
                    </m:r>
                    <m:r>
                      <a:rPr lang="en-US" sz="2800" b="0" i="1">
                        <a:latin typeface="Cambria Math"/>
                      </a:rPr>
                      <m:t>=</m:t>
                    </m:r>
                    <m:f>
                      <m:fPr>
                        <m:ctrlPr>
                          <a:rPr lang="ru-RU" sz="2800" i="1">
                            <a:latin typeface="Cambria Math" panose="02040503050406030204" pitchFamily="18" charset="0"/>
                          </a:rPr>
                        </m:ctrlPr>
                      </m:fPr>
                      <m:num>
                        <m:r>
                          <a:rPr lang="en-US" sz="2800" b="0" i="1">
                            <a:latin typeface="Cambria Math"/>
                          </a:rPr>
                          <m:t>𝑆𝑎𝑙𝑒𝑠</m:t>
                        </m:r>
                      </m:num>
                      <m:den>
                        <m:r>
                          <a:rPr lang="en-US" sz="2800" b="0" i="1">
                            <a:latin typeface="Cambria Math" panose="02040503050406030204" pitchFamily="18" charset="0"/>
                          </a:rPr>
                          <m:t>𝐴𝑠𝑠𝑒𝑡𝑠</m:t>
                        </m:r>
                      </m:den>
                    </m:f>
                  </m:oMath>
                </m:oMathPara>
              </a14:m>
              <a:endParaRPr lang="ru-RU" sz="2800"/>
            </a:p>
          </xdr:txBody>
        </xdr:sp>
      </mc:Choice>
      <mc:Fallback xmlns="">
        <xdr:sp macro="" textlink="">
          <xdr:nvSpPr>
            <xdr:cNvPr id="2" name="TextBox 1">
              <a:extLst>
                <a:ext uri="{FF2B5EF4-FFF2-40B4-BE49-F238E27FC236}">
                  <a16:creationId xmlns:a16="http://schemas.microsoft.com/office/drawing/2014/main" id="{A92BA769-E678-43A1-9E43-7005CB4E2F80}"/>
                </a:ext>
              </a:extLst>
            </xdr:cNvPr>
            <xdr:cNvSpPr txBox="1"/>
          </xdr:nvSpPr>
          <xdr:spPr>
            <a:xfrm>
              <a:off x="6217103" y="9107261"/>
              <a:ext cx="5123389" cy="8181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800" b="0" i="0">
                  <a:latin typeface="Cambria Math"/>
                </a:rPr>
                <a:t>𝑇𝑜𝑡𝑎𝑙 𝑎𝑠𝑠𝑒𝑡𝑠 𝑡𝑢𝑟𝑛𝑜𝑣𝑒𝑟=𝑆𝑎𝑙𝑒𝑠</a:t>
              </a:r>
              <a:r>
                <a:rPr lang="ru-RU" sz="2800" b="0" i="0">
                  <a:latin typeface="Cambria Math" panose="02040503050406030204" pitchFamily="18" charset="0"/>
                </a:rPr>
                <a:t>/</a:t>
              </a:r>
              <a:r>
                <a:rPr lang="en-US" sz="2800" b="0" i="0">
                  <a:latin typeface="Cambria Math" panose="02040503050406030204" pitchFamily="18" charset="0"/>
                </a:rPr>
                <a:t>𝐴𝑠𝑠𝑒𝑡𝑠</a:t>
              </a:r>
              <a:endParaRPr lang="ru-RU" sz="2800"/>
            </a:p>
          </xdr:txBody>
        </xdr:sp>
      </mc:Fallback>
    </mc:AlternateContent>
    <xdr:clientData/>
  </xdr:oneCellAnchor>
  <xdr:oneCellAnchor>
    <xdr:from>
      <xdr:col>8</xdr:col>
      <xdr:colOff>566058</xdr:colOff>
      <xdr:row>45</xdr:row>
      <xdr:rowOff>31296</xdr:rowOff>
    </xdr:from>
    <xdr:ext cx="3085460" cy="8038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5619F8F-ED78-4B06-85D6-D691F4A6BA97}"/>
                </a:ext>
              </a:extLst>
            </xdr:cNvPr>
            <xdr:cNvSpPr txBox="1"/>
          </xdr:nvSpPr>
          <xdr:spPr>
            <a:xfrm>
              <a:off x="7655379" y="11053082"/>
              <a:ext cx="3085460" cy="803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800" b="0" i="1">
                        <a:latin typeface="Cambria Math"/>
                      </a:rPr>
                      <m:t>𝑅𝑂𝐴</m:t>
                    </m:r>
                    <m:r>
                      <a:rPr lang="en-US" sz="2800" b="0" i="1">
                        <a:latin typeface="Cambria Math"/>
                      </a:rPr>
                      <m:t>=</m:t>
                    </m:r>
                    <m:f>
                      <m:fPr>
                        <m:ctrlPr>
                          <a:rPr lang="ru-RU" sz="2800" i="1">
                            <a:latin typeface="Cambria Math" panose="02040503050406030204" pitchFamily="18" charset="0"/>
                          </a:rPr>
                        </m:ctrlPr>
                      </m:fPr>
                      <m:num>
                        <m:r>
                          <a:rPr lang="en-US" sz="2800" b="0" i="1">
                            <a:latin typeface="Cambria Math"/>
                          </a:rPr>
                          <m:t>𝑁𝑒𝑡</m:t>
                        </m:r>
                        <m:r>
                          <a:rPr lang="en-US" sz="2800" b="0" i="1">
                            <a:latin typeface="Cambria Math"/>
                          </a:rPr>
                          <m:t> </m:t>
                        </m:r>
                        <m:r>
                          <a:rPr lang="en-US" sz="2800" b="0" i="1">
                            <a:latin typeface="Cambria Math"/>
                          </a:rPr>
                          <m:t>𝑖𝑛𝑐𝑜𝑚𝑒</m:t>
                        </m:r>
                      </m:num>
                      <m:den>
                        <m:r>
                          <a:rPr lang="en-US" sz="2800" b="0" i="1">
                            <a:latin typeface="Cambria Math"/>
                          </a:rPr>
                          <m:t>𝐴𝑠𝑠𝑒𝑡𝑠</m:t>
                        </m:r>
                      </m:den>
                    </m:f>
                  </m:oMath>
                </m:oMathPara>
              </a14:m>
              <a:endParaRPr lang="ru-RU" sz="2800"/>
            </a:p>
          </xdr:txBody>
        </xdr:sp>
      </mc:Choice>
      <mc:Fallback xmlns="">
        <xdr:sp macro="" textlink="">
          <xdr:nvSpPr>
            <xdr:cNvPr id="3" name="TextBox 2">
              <a:extLst>
                <a:ext uri="{FF2B5EF4-FFF2-40B4-BE49-F238E27FC236}">
                  <a16:creationId xmlns:a16="http://schemas.microsoft.com/office/drawing/2014/main" id="{65619F8F-ED78-4B06-85D6-D691F4A6BA97}"/>
                </a:ext>
              </a:extLst>
            </xdr:cNvPr>
            <xdr:cNvSpPr txBox="1"/>
          </xdr:nvSpPr>
          <xdr:spPr>
            <a:xfrm>
              <a:off x="7655379" y="11053082"/>
              <a:ext cx="3085460" cy="803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800" b="0" i="0">
                  <a:latin typeface="Cambria Math"/>
                </a:rPr>
                <a:t>𝑅𝑂𝐴=</a:t>
              </a:r>
              <a:r>
                <a:rPr lang="ru-RU" sz="2800" i="0">
                  <a:latin typeface="Cambria Math" panose="02040503050406030204" pitchFamily="18" charset="0"/>
                </a:rPr>
                <a:t>(</a:t>
              </a:r>
              <a:r>
                <a:rPr lang="en-US" sz="2800" b="0" i="0">
                  <a:latin typeface="Cambria Math"/>
                </a:rPr>
                <a:t>𝑁𝑒𝑡 𝑖𝑛𝑐𝑜𝑚𝑒</a:t>
              </a:r>
              <a:r>
                <a:rPr lang="ru-RU" sz="2800" b="0" i="0">
                  <a:latin typeface="Cambria Math" panose="02040503050406030204" pitchFamily="18" charset="0"/>
                </a:rPr>
                <a:t>)/</a:t>
              </a:r>
              <a:r>
                <a:rPr lang="en-US" sz="2800" b="0" i="0">
                  <a:latin typeface="Cambria Math"/>
                </a:rPr>
                <a:t>𝐴𝑠𝑠𝑒𝑡𝑠</a:t>
              </a:r>
              <a:endParaRPr lang="ru-RU" sz="2800"/>
            </a:p>
          </xdr:txBody>
        </xdr:sp>
      </mc:Fallback>
    </mc:AlternateContent>
    <xdr:clientData/>
  </xdr:oneCellAnchor>
  <xdr:oneCellAnchor>
    <xdr:from>
      <xdr:col>7</xdr:col>
      <xdr:colOff>361950</xdr:colOff>
      <xdr:row>10</xdr:row>
      <xdr:rowOff>180975</xdr:rowOff>
    </xdr:from>
    <xdr:ext cx="9686926" cy="848566"/>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A5E8CEAB-2F65-41DC-A025-ED3F5A8F40D7}"/>
                </a:ext>
              </a:extLst>
            </xdr:cNvPr>
            <xdr:cNvSpPr txBox="1"/>
          </xdr:nvSpPr>
          <xdr:spPr>
            <a:xfrm>
              <a:off x="4629150" y="2085975"/>
              <a:ext cx="9686926" cy="848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𝐼𝑛𝑣𝑒𝑛𝑡𝑜𝑟𝑦</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𝑐𝑜𝑛𝑣𝑒𝑟𝑠𝑖𝑜𝑛</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𝐼𝑛𝑣𝑒𝑛𝑡𝑜𝑟𝑦</m:t>
                        </m:r>
                      </m:num>
                      <m:den>
                        <m:r>
                          <a:rPr lang="en-US" sz="2400" i="1">
                            <a:solidFill>
                              <a:schemeClr val="tx1"/>
                            </a:solidFill>
                            <a:effectLst/>
                            <a:latin typeface="Cambria Math"/>
                            <a:ea typeface="+mn-ea"/>
                            <a:cs typeface="+mn-cs"/>
                          </a:rPr>
                          <m:t>𝐶𝑜𝑠𝑡</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𝑜𝑓</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𝑔𝑜𝑜𝑑𝑠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𝑠𝑜𝑙𝑑</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𝑑𝑎𝑦</m:t>
                        </m:r>
                      </m:den>
                    </m:f>
                  </m:oMath>
                </m:oMathPara>
              </a14:m>
              <a:endParaRPr lang="ru-RU" sz="2400">
                <a:effectLst/>
              </a:endParaRPr>
            </a:p>
          </xdr:txBody>
        </xdr:sp>
      </mc:Choice>
      <mc:Fallback xmlns="">
        <xdr:sp macro="" textlink="">
          <xdr:nvSpPr>
            <xdr:cNvPr id="4" name="TextBox 3">
              <a:extLst>
                <a:ext uri="{FF2B5EF4-FFF2-40B4-BE49-F238E27FC236}">
                  <a16:creationId xmlns:a16="http://schemas.microsoft.com/office/drawing/2014/main" id="{A5E8CEAB-2F65-41DC-A025-ED3F5A8F40D7}"/>
                </a:ext>
              </a:extLst>
            </xdr:cNvPr>
            <xdr:cNvSpPr txBox="1"/>
          </xdr:nvSpPr>
          <xdr:spPr>
            <a:xfrm>
              <a:off x="4629150" y="2085975"/>
              <a:ext cx="9686926" cy="848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i="0">
                  <a:solidFill>
                    <a:schemeClr val="tx1"/>
                  </a:solidFill>
                  <a:effectLst/>
                  <a:latin typeface="Cambria Math"/>
                  <a:ea typeface="+mn-ea"/>
                  <a:cs typeface="+mn-cs"/>
                </a:rPr>
                <a:t>𝐼𝑛𝑣𝑒𝑛𝑡𝑜𝑟𝑦 𝑐𝑜𝑛𝑣𝑒𝑟𝑠𝑖𝑜𝑛 𝑝𝑒𝑟𝑜𝑑=𝐼𝑛𝑣𝑒𝑛𝑡𝑜𝑟𝑦</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𝐶𝑜𝑠𝑡 𝑜𝑓 𝑔𝑜𝑜𝑑𝑠 𝑠𝑜𝑙𝑑 𝑝𝑒𝑟 𝑑𝑎𝑦</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8</xdr:col>
      <xdr:colOff>304800</xdr:colOff>
      <xdr:row>15</xdr:row>
      <xdr:rowOff>28575</xdr:rowOff>
    </xdr:from>
    <xdr:ext cx="7839075" cy="843116"/>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4E1F838-1E81-46AE-B086-7D62ED573D7F}"/>
                </a:ext>
              </a:extLst>
            </xdr:cNvPr>
            <xdr:cNvSpPr txBox="1"/>
          </xdr:nvSpPr>
          <xdr:spPr>
            <a:xfrm>
              <a:off x="5181600" y="2886075"/>
              <a:ext cx="7839075" cy="84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𝐴𝑣𝑒𝑟𝑎𝑔𝑒</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𝑐𝑜𝑙𝑙𝑒𝑐𝑡𝑖𝑜𝑛</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𝑝𝑒𝑟𝑖𝑜𝑑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𝑅𝑒𝑐𝑒𝑖𝑣𝑎𝑏𝑙𝑒𝑠</m:t>
                        </m:r>
                      </m:num>
                      <m:den>
                        <m:f>
                          <m:fPr>
                            <m:type m:val="lin"/>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𝑆𝑎𝑙𝑒𝑠</m:t>
                            </m:r>
                          </m:num>
                          <m:den>
                            <m:r>
                              <a:rPr lang="en-US" sz="2400" i="1">
                                <a:solidFill>
                                  <a:schemeClr val="tx1"/>
                                </a:solidFill>
                                <a:effectLst/>
                                <a:latin typeface="Cambria Math"/>
                                <a:ea typeface="+mn-ea"/>
                                <a:cs typeface="+mn-cs"/>
                              </a:rPr>
                              <m:t>365</m:t>
                            </m:r>
                          </m:den>
                        </m:f>
                      </m:den>
                    </m:f>
                  </m:oMath>
                </m:oMathPara>
              </a14:m>
              <a:endParaRPr lang="ru-RU" sz="2400">
                <a:effectLst/>
              </a:endParaRPr>
            </a:p>
          </xdr:txBody>
        </xdr:sp>
      </mc:Choice>
      <mc:Fallback xmlns="">
        <xdr:sp macro="" textlink="">
          <xdr:nvSpPr>
            <xdr:cNvPr id="5" name="TextBox 4">
              <a:extLst>
                <a:ext uri="{FF2B5EF4-FFF2-40B4-BE49-F238E27FC236}">
                  <a16:creationId xmlns:a16="http://schemas.microsoft.com/office/drawing/2014/main" id="{74E1F838-1E81-46AE-B086-7D62ED573D7F}"/>
                </a:ext>
              </a:extLst>
            </xdr:cNvPr>
            <xdr:cNvSpPr txBox="1"/>
          </xdr:nvSpPr>
          <xdr:spPr>
            <a:xfrm>
              <a:off x="5181600" y="2886075"/>
              <a:ext cx="7839075" cy="84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i="0">
                  <a:solidFill>
                    <a:schemeClr val="tx1"/>
                  </a:solidFill>
                  <a:effectLst/>
                  <a:latin typeface="Cambria Math"/>
                  <a:ea typeface="+mn-ea"/>
                  <a:cs typeface="+mn-cs"/>
                </a:rPr>
                <a:t>𝐴𝑣𝑒𝑟𝑎𝑔𝑒 𝑐𝑜𝑙𝑙𝑒𝑐𝑡𝑖𝑜𝑛 𝑝𝑒𝑟𝑖𝑜𝑑=𝑅𝑒𝑐𝑒𝑖𝑣𝑎𝑏𝑙𝑒𝑠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𝑆𝑎𝑙𝑒𝑠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365</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8</xdr:col>
      <xdr:colOff>590550</xdr:colOff>
      <xdr:row>19</xdr:row>
      <xdr:rowOff>76200</xdr:rowOff>
    </xdr:from>
    <xdr:ext cx="9686926" cy="162275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200CEDA6-A2B4-411F-8551-A86A2DCB8106}"/>
                </a:ext>
              </a:extLst>
            </xdr:cNvPr>
            <xdr:cNvSpPr txBox="1"/>
          </xdr:nvSpPr>
          <xdr:spPr>
            <a:xfrm>
              <a:off x="5467350" y="3695700"/>
              <a:ext cx="9686926" cy="1622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𝑃𝑎𝑦𝑎𝑏𝑙𝑒𝑠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𝑑𝑒𝑓𝑒𝑟𝑟𝑎𝑙</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𝑃𝑎𝑦𝑎𝑏𝑙𝑒𝑠</m:t>
                        </m:r>
                      </m:num>
                      <m:den>
                        <m:r>
                          <a:rPr lang="en-US" sz="2400" i="1">
                            <a:solidFill>
                              <a:schemeClr val="tx1"/>
                            </a:solidFill>
                            <a:effectLst/>
                            <a:latin typeface="Cambria Math"/>
                            <a:ea typeface="+mn-ea"/>
                            <a:cs typeface="+mn-cs"/>
                          </a:rPr>
                          <m:t>𝑃𝑢𝑟𝑐h𝑎𝑠𝑒𝑠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𝑑𝑎𝑦</m:t>
                        </m:r>
                      </m:den>
                    </m:f>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𝑃𝑎𝑦𝑎𝑏𝑙𝑒𝑠</m:t>
                        </m:r>
                      </m:num>
                      <m:den>
                        <m:f>
                          <m:fPr>
                            <m:type m:val="lin"/>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𝐶𝑜𝑠𝑡</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𝑜𝑓</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𝑔𝑜𝑜𝑑𝑠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𝑠𝑜𝑙𝑑</m:t>
                            </m:r>
                          </m:num>
                          <m:den>
                            <m:r>
                              <a:rPr lang="en-US" sz="2400" i="1">
                                <a:solidFill>
                                  <a:schemeClr val="tx1"/>
                                </a:solidFill>
                                <a:effectLst/>
                                <a:latin typeface="Cambria Math"/>
                                <a:ea typeface="+mn-ea"/>
                                <a:cs typeface="+mn-cs"/>
                              </a:rPr>
                              <m:t>365</m:t>
                            </m:r>
                          </m:den>
                        </m:f>
                      </m:den>
                    </m:f>
                  </m:oMath>
                </m:oMathPara>
              </a14:m>
              <a:endParaRPr lang="ru-RU" sz="2400">
                <a:effectLst/>
              </a:endParaRPr>
            </a:p>
          </xdr:txBody>
        </xdr:sp>
      </mc:Choice>
      <mc:Fallback xmlns="">
        <xdr:sp macro="" textlink="">
          <xdr:nvSpPr>
            <xdr:cNvPr id="6" name="TextBox 5">
              <a:extLst>
                <a:ext uri="{FF2B5EF4-FFF2-40B4-BE49-F238E27FC236}">
                  <a16:creationId xmlns:a16="http://schemas.microsoft.com/office/drawing/2014/main" id="{200CEDA6-A2B4-411F-8551-A86A2DCB8106}"/>
                </a:ext>
              </a:extLst>
            </xdr:cNvPr>
            <xdr:cNvSpPr txBox="1"/>
          </xdr:nvSpPr>
          <xdr:spPr>
            <a:xfrm>
              <a:off x="5467350" y="3695700"/>
              <a:ext cx="9686926" cy="1622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en-US" sz="2400" i="0">
                  <a:solidFill>
                    <a:schemeClr val="tx1"/>
                  </a:solidFill>
                  <a:effectLst/>
                  <a:latin typeface="Cambria Math"/>
                  <a:ea typeface="+mn-ea"/>
                  <a:cs typeface="+mn-cs"/>
                </a:rPr>
                <a:t>𝑃𝑎𝑦𝑎𝑏𝑙𝑒𝑠 𝑑𝑒𝑓𝑒𝑟𝑟𝑎𝑙 𝑝𝑒𝑟𝑜𝑑=𝑃𝑎𝑦𝑎𝑏𝑙𝑒𝑠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𝑃𝑢𝑟𝑐ℎ𝑎𝑠𝑒𝑠 𝑝𝑒𝑟 𝑑𝑎𝑦</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=𝑃𝑎𝑦𝑎𝑏𝑙𝑒𝑠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𝐶𝑜𝑠𝑡 𝑜𝑓 𝑔𝑜𝑜𝑑𝑠 𝑠𝑜𝑙𝑑</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365</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11</xdr:col>
      <xdr:colOff>295275</xdr:colOff>
      <xdr:row>27</xdr:row>
      <xdr:rowOff>142875</xdr:rowOff>
    </xdr:from>
    <xdr:ext cx="7824788" cy="865043"/>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1591F9FB-3270-4980-9B7E-8E5ACEB365D7}"/>
                </a:ext>
              </a:extLst>
            </xdr:cNvPr>
            <xdr:cNvSpPr txBox="1"/>
          </xdr:nvSpPr>
          <xdr:spPr>
            <a:xfrm>
              <a:off x="7000875" y="5286375"/>
              <a:ext cx="7824788" cy="865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b="0" i="1">
                        <a:solidFill>
                          <a:schemeClr val="tx1"/>
                        </a:solidFill>
                        <a:effectLst/>
                        <a:latin typeface="Cambria Math"/>
                        <a:ea typeface="+mn-ea"/>
                        <a:cs typeface="+mn-cs"/>
                      </a:rPr>
                      <m:t>𝐼𝑛𝑣𝑒𝑛𝑡𝑜𝑟𝑦</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𝑡𝑢𝑟𝑛𝑜𝑣𝑒𝑟</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𝑟𝑎𝑡𝑒</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𝑆𝑎𝑙𝑒𝑠</m:t>
                        </m:r>
                      </m:num>
                      <m:den>
                        <m:r>
                          <a:rPr lang="en-US" sz="2400" b="0" i="1">
                            <a:solidFill>
                              <a:schemeClr val="tx1"/>
                            </a:solidFill>
                            <a:effectLst/>
                            <a:latin typeface="Cambria Math"/>
                            <a:ea typeface="+mn-ea"/>
                            <a:cs typeface="+mn-cs"/>
                          </a:rPr>
                          <m:t>𝐼𝑛𝑣𝑒𝑛𝑡𝑜𝑟𝑦</m:t>
                        </m:r>
                      </m:den>
                    </m:f>
                  </m:oMath>
                </m:oMathPara>
              </a14:m>
              <a:endParaRPr lang="ru-RU" sz="2400">
                <a:effectLst/>
              </a:endParaRPr>
            </a:p>
          </xdr:txBody>
        </xdr:sp>
      </mc:Choice>
      <mc:Fallback xmlns="">
        <xdr:sp macro="" textlink="">
          <xdr:nvSpPr>
            <xdr:cNvPr id="7" name="TextBox 6">
              <a:extLst>
                <a:ext uri="{FF2B5EF4-FFF2-40B4-BE49-F238E27FC236}">
                  <a16:creationId xmlns:a16="http://schemas.microsoft.com/office/drawing/2014/main" id="{1591F9FB-3270-4980-9B7E-8E5ACEB365D7}"/>
                </a:ext>
              </a:extLst>
            </xdr:cNvPr>
            <xdr:cNvSpPr txBox="1"/>
          </xdr:nvSpPr>
          <xdr:spPr>
            <a:xfrm>
              <a:off x="7000875" y="5286375"/>
              <a:ext cx="7824788" cy="865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b="0" i="0">
                  <a:solidFill>
                    <a:schemeClr val="tx1"/>
                  </a:solidFill>
                  <a:effectLst/>
                  <a:latin typeface="Cambria Math"/>
                  <a:ea typeface="+mn-ea"/>
                  <a:cs typeface="+mn-cs"/>
                </a:rPr>
                <a:t>𝐼𝑛𝑣𝑒𝑛𝑡𝑜𝑟𝑦 𝑡𝑢𝑟𝑛𝑜𝑣𝑒𝑟 𝑟𝑎𝑡𝑒</a:t>
              </a:r>
              <a:r>
                <a:rPr lang="en-US" sz="2400" i="0">
                  <a:solidFill>
                    <a:schemeClr val="tx1"/>
                  </a:solidFill>
                  <a:effectLst/>
                  <a:latin typeface="Cambria Math"/>
                  <a:ea typeface="+mn-ea"/>
                  <a:cs typeface="+mn-cs"/>
                </a:rPr>
                <a:t>=</a:t>
              </a:r>
              <a:r>
                <a:rPr lang="en-US" sz="2400" b="0" i="0">
                  <a:solidFill>
                    <a:schemeClr val="tx1"/>
                  </a:solidFill>
                  <a:effectLst/>
                  <a:latin typeface="Cambria Math"/>
                  <a:ea typeface="+mn-ea"/>
                  <a:cs typeface="+mn-cs"/>
                </a:rPr>
                <a:t>𝑆𝑎𝑙𝑒𝑠</a:t>
              </a:r>
              <a:r>
                <a:rPr lang="ru-RU"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𝐼𝑛𝑣𝑒𝑛𝑡𝑜𝑟𝑦</a:t>
              </a:r>
              <a:endParaRPr lang="ru-RU" sz="2400">
                <a:effectLst/>
              </a:endParaRPr>
            </a:p>
          </xdr:txBody>
        </xdr:sp>
      </mc:Fallback>
    </mc:AlternateContent>
    <xdr:clientData/>
  </xdr:oneCellAnchor>
  <xdr:oneCellAnchor>
    <xdr:from>
      <xdr:col>7</xdr:col>
      <xdr:colOff>27214</xdr:colOff>
      <xdr:row>56</xdr:row>
      <xdr:rowOff>0</xdr:rowOff>
    </xdr:from>
    <xdr:ext cx="6229350" cy="666849"/>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FF48EFA-42EE-4EF0-9352-0BCB17236C41}"/>
                </a:ext>
              </a:extLst>
            </xdr:cNvPr>
            <xdr:cNvSpPr txBox="1"/>
          </xdr:nvSpPr>
          <xdr:spPr>
            <a:xfrm>
              <a:off x="6504214" y="13716000"/>
              <a:ext cx="6229350" cy="6668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m:rPr>
                        <m:sty m:val="p"/>
                      </m:rPr>
                      <a:rPr lang="en-US" sz="1800" b="0" i="0">
                        <a:latin typeface="Cambria Math"/>
                        <a:ea typeface="Cambria Math" pitchFamily="18" charset="0"/>
                      </a:rPr>
                      <m:t>DSO</m:t>
                    </m:r>
                    <m:r>
                      <a:rPr lang="en-US" sz="1800" b="0" i="0">
                        <a:latin typeface="Cambria Math" pitchFamily="18" charset="0"/>
                        <a:ea typeface="Cambria Math" pitchFamily="18" charset="0"/>
                      </a:rPr>
                      <m:t>= </m:t>
                    </m:r>
                    <m:f>
                      <m:fPr>
                        <m:ctrlPr>
                          <a:rPr lang="en-US" sz="1800" b="0" i="1">
                            <a:latin typeface="Cambria Math" panose="02040503050406030204" pitchFamily="18" charset="0"/>
                            <a:ea typeface="Cambria Math" pitchFamily="18" charset="0"/>
                          </a:rPr>
                        </m:ctrlPr>
                      </m:fPr>
                      <m:num>
                        <m:r>
                          <a:rPr lang="en-US" sz="1800" b="0" i="1">
                            <a:latin typeface="Cambria Math"/>
                            <a:ea typeface="Cambria Math" pitchFamily="18" charset="0"/>
                          </a:rPr>
                          <m:t>𝑅𝑒𝑐𝑒𝑖𝑣𝑎𝑏𝑙𝑒𝑠</m:t>
                        </m:r>
                      </m:num>
                      <m:den>
                        <m:r>
                          <a:rPr lang="en-US" sz="1800" b="0" i="1">
                            <a:latin typeface="Cambria Math"/>
                            <a:ea typeface="Cambria Math" pitchFamily="18" charset="0"/>
                          </a:rPr>
                          <m:t>𝐴𝑣𝑒𝑟𝑎𝑔𝑒</m:t>
                        </m:r>
                        <m:r>
                          <a:rPr lang="en-US" sz="1800" b="0" i="1">
                            <a:latin typeface="Cambria Math"/>
                            <a:ea typeface="Cambria Math" pitchFamily="18" charset="0"/>
                          </a:rPr>
                          <m:t> </m:t>
                        </m:r>
                        <m:r>
                          <a:rPr lang="en-US" sz="1800" b="0" i="1">
                            <a:latin typeface="Cambria Math"/>
                            <a:ea typeface="Cambria Math" pitchFamily="18" charset="0"/>
                          </a:rPr>
                          <m:t>𝑠𝑎𝑙𝑒𝑠</m:t>
                        </m:r>
                        <m:r>
                          <a:rPr lang="en-US" sz="1800" b="0" i="1">
                            <a:latin typeface="Cambria Math"/>
                            <a:ea typeface="Cambria Math" pitchFamily="18" charset="0"/>
                          </a:rPr>
                          <m:t> </m:t>
                        </m:r>
                        <m:r>
                          <a:rPr lang="en-US" sz="1800" b="0" i="1">
                            <a:latin typeface="Cambria Math"/>
                            <a:ea typeface="Cambria Math" pitchFamily="18" charset="0"/>
                          </a:rPr>
                          <m:t>𝑝𝑒𝑟</m:t>
                        </m:r>
                        <m:r>
                          <a:rPr lang="en-US" sz="1800" b="0" i="1">
                            <a:latin typeface="Cambria Math"/>
                            <a:ea typeface="Cambria Math" pitchFamily="18" charset="0"/>
                          </a:rPr>
                          <m:t> </m:t>
                        </m:r>
                        <m:r>
                          <a:rPr lang="en-US" sz="1800" b="0" i="1">
                            <a:latin typeface="Cambria Math"/>
                            <a:ea typeface="Cambria Math" pitchFamily="18" charset="0"/>
                          </a:rPr>
                          <m:t>𝑑𝑎𝑦</m:t>
                        </m:r>
                      </m:den>
                    </m:f>
                    <m:r>
                      <a:rPr lang="en-US" sz="1800" b="0" i="1">
                        <a:latin typeface="Cambria Math"/>
                        <a:ea typeface="Cambria Math" pitchFamily="18" charset="0"/>
                      </a:rPr>
                      <m:t>=</m:t>
                    </m:r>
                    <m:f>
                      <m:fPr>
                        <m:ctrlPr>
                          <a:rPr lang="en-US" sz="1800" b="0" i="1">
                            <a:solidFill>
                              <a:schemeClr val="tx1"/>
                            </a:solidFill>
                            <a:effectLst/>
                            <a:latin typeface="Cambria Math" panose="02040503050406030204" pitchFamily="18" charset="0"/>
                            <a:ea typeface="+mn-ea"/>
                            <a:cs typeface="+mn-cs"/>
                          </a:rPr>
                        </m:ctrlPr>
                      </m:fPr>
                      <m:num>
                        <m:r>
                          <a:rPr lang="en-US" sz="1800" b="0" i="1">
                            <a:solidFill>
                              <a:schemeClr val="tx1"/>
                            </a:solidFill>
                            <a:effectLst/>
                            <a:latin typeface="Cambria Math" panose="02040503050406030204" pitchFamily="18" charset="0"/>
                            <a:ea typeface="+mn-ea"/>
                            <a:cs typeface="+mn-cs"/>
                          </a:rPr>
                          <m:t>𝑅𝑒𝑐𝑒𝑖𝑣𝑎𝑏𝑙𝑒𝑠</m:t>
                        </m:r>
                      </m:num>
                      <m:den>
                        <m:f>
                          <m:fPr>
                            <m:type m:val="lin"/>
                            <m:ctrlPr>
                              <a:rPr lang="en-US" sz="1800" b="0" i="1">
                                <a:solidFill>
                                  <a:schemeClr val="tx1"/>
                                </a:solidFill>
                                <a:effectLst/>
                                <a:latin typeface="Cambria Math" panose="02040503050406030204" pitchFamily="18" charset="0"/>
                                <a:ea typeface="+mn-ea"/>
                                <a:cs typeface="+mn-cs"/>
                              </a:rPr>
                            </m:ctrlPr>
                          </m:fPr>
                          <m:num>
                            <m:r>
                              <a:rPr lang="en-US" sz="1800" b="0" i="1">
                                <a:solidFill>
                                  <a:schemeClr val="tx1"/>
                                </a:solidFill>
                                <a:effectLst/>
                                <a:latin typeface="Cambria Math"/>
                                <a:ea typeface="+mn-ea"/>
                                <a:cs typeface="+mn-cs"/>
                              </a:rPr>
                              <m:t>𝐴𝑛𝑛𝑢𝑎𝑙</m:t>
                            </m:r>
                            <m:r>
                              <a:rPr lang="en-US" sz="1800" b="0" i="1">
                                <a:solidFill>
                                  <a:schemeClr val="tx1"/>
                                </a:solidFill>
                                <a:effectLst/>
                                <a:latin typeface="Cambria Math"/>
                                <a:ea typeface="+mn-ea"/>
                                <a:cs typeface="+mn-cs"/>
                              </a:rPr>
                              <m:t> </m:t>
                            </m:r>
                            <m:r>
                              <a:rPr lang="en-US" sz="1800" b="0" i="1">
                                <a:solidFill>
                                  <a:schemeClr val="tx1"/>
                                </a:solidFill>
                                <a:effectLst/>
                                <a:latin typeface="Cambria Math"/>
                                <a:ea typeface="+mn-ea"/>
                                <a:cs typeface="+mn-cs"/>
                              </a:rPr>
                              <m:t>𝑠𝑎𝑙𝑒𝑠</m:t>
                            </m:r>
                          </m:num>
                          <m:den>
                            <m:r>
                              <a:rPr lang="en-US" sz="1800" b="0" i="1">
                                <a:solidFill>
                                  <a:schemeClr val="tx1"/>
                                </a:solidFill>
                                <a:effectLst/>
                                <a:latin typeface="Cambria Math"/>
                                <a:ea typeface="+mn-ea"/>
                                <a:cs typeface="+mn-cs"/>
                              </a:rPr>
                              <m:t>365</m:t>
                            </m:r>
                          </m:den>
                        </m:f>
                      </m:den>
                    </m:f>
                  </m:oMath>
                </m:oMathPara>
              </a14:m>
              <a:endParaRPr lang="ru-RU" sz="1800" i="0">
                <a:latin typeface="Cambria Math" pitchFamily="18" charset="0"/>
                <a:ea typeface="Cambria Math" pitchFamily="18" charset="0"/>
              </a:endParaRPr>
            </a:p>
          </xdr:txBody>
        </xdr:sp>
      </mc:Choice>
      <mc:Fallback xmlns="">
        <xdr:sp macro="" textlink="">
          <xdr:nvSpPr>
            <xdr:cNvPr id="8" name="TextBox 7">
              <a:extLst>
                <a:ext uri="{FF2B5EF4-FFF2-40B4-BE49-F238E27FC236}">
                  <a16:creationId xmlns:a16="http://schemas.microsoft.com/office/drawing/2014/main" id="{DFF48EFA-42EE-4EF0-9352-0BCB17236C41}"/>
                </a:ext>
              </a:extLst>
            </xdr:cNvPr>
            <xdr:cNvSpPr txBox="1"/>
          </xdr:nvSpPr>
          <xdr:spPr>
            <a:xfrm>
              <a:off x="6504214" y="13716000"/>
              <a:ext cx="6229350" cy="6668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800" b="0" i="0">
                  <a:latin typeface="Cambria Math"/>
                  <a:ea typeface="Cambria Math" pitchFamily="18" charset="0"/>
                </a:rPr>
                <a:t>DSO</a:t>
              </a:r>
              <a:r>
                <a:rPr lang="en-US" sz="1800" b="0" i="0">
                  <a:latin typeface="Cambria Math" pitchFamily="18" charset="0"/>
                  <a:ea typeface="Cambria Math" pitchFamily="18" charset="0"/>
                </a:rPr>
                <a:t>= </a:t>
              </a:r>
              <a:r>
                <a:rPr lang="en-US" sz="1800" b="0" i="0">
                  <a:latin typeface="Cambria Math"/>
                  <a:ea typeface="Cambria Math" pitchFamily="18" charset="0"/>
                </a:rPr>
                <a:t> 𝑅𝑒𝑐𝑒𝑖𝑣𝑎𝑏𝑙𝑒𝑠</a:t>
              </a:r>
              <a:r>
                <a:rPr lang="en-US" sz="1800" b="0" i="0">
                  <a:latin typeface="Cambria Math" panose="02040503050406030204" pitchFamily="18" charset="0"/>
                  <a:ea typeface="Cambria Math" pitchFamily="18" charset="0"/>
                </a:rPr>
                <a:t>/(</a:t>
              </a:r>
              <a:r>
                <a:rPr lang="en-US" sz="1800" b="0" i="0">
                  <a:latin typeface="Cambria Math"/>
                  <a:ea typeface="Cambria Math" pitchFamily="18" charset="0"/>
                </a:rPr>
                <a:t>𝐴𝑣𝑒𝑟𝑎𝑔𝑒 𝑠𝑎𝑙𝑒𝑠 𝑝𝑒𝑟 𝑑𝑎𝑦</a:t>
              </a:r>
              <a:r>
                <a:rPr lang="en-US" sz="1800" b="0" i="0">
                  <a:latin typeface="Cambria Math" panose="02040503050406030204" pitchFamily="18" charset="0"/>
                  <a:ea typeface="Cambria Math" pitchFamily="18" charset="0"/>
                </a:rPr>
                <a:t>)</a:t>
              </a:r>
              <a:r>
                <a:rPr lang="en-US" sz="1800" b="0" i="0">
                  <a:latin typeface="Cambria Math"/>
                  <a:ea typeface="Cambria Math" pitchFamily="18" charset="0"/>
                </a:rPr>
                <a:t>=</a:t>
              </a:r>
              <a:r>
                <a:rPr lang="en-US" sz="1800" b="0" i="0">
                  <a:solidFill>
                    <a:schemeClr val="tx1"/>
                  </a:solidFill>
                  <a:effectLst/>
                  <a:latin typeface="Cambria Math" panose="02040503050406030204" pitchFamily="18" charset="0"/>
                  <a:ea typeface="+mn-ea"/>
                  <a:cs typeface="+mn-cs"/>
                </a:rPr>
                <a:t>𝑅𝑒𝑐𝑒𝑖𝑣𝑎𝑏𝑙𝑒𝑠/(〖</a:t>
              </a:r>
              <a:r>
                <a:rPr lang="en-US" sz="1800" b="0" i="0">
                  <a:solidFill>
                    <a:schemeClr val="tx1"/>
                  </a:solidFill>
                  <a:effectLst/>
                  <a:latin typeface="Cambria Math"/>
                  <a:ea typeface="+mn-ea"/>
                  <a:cs typeface="+mn-cs"/>
                </a:rPr>
                <a:t>𝐴𝑛𝑛𝑢𝑎𝑙 𝑠𝑎𝑙𝑒𝑠</a:t>
              </a:r>
              <a:r>
                <a:rPr lang="en-US" sz="1800" b="0" i="0">
                  <a:solidFill>
                    <a:schemeClr val="tx1"/>
                  </a:solidFill>
                  <a:effectLst/>
                  <a:latin typeface="Cambria Math" panose="02040503050406030204" pitchFamily="18" charset="0"/>
                  <a:ea typeface="+mn-ea"/>
                  <a:cs typeface="+mn-cs"/>
                </a:rPr>
                <a:t>〗∕</a:t>
              </a:r>
              <a:r>
                <a:rPr lang="en-US" sz="1800" b="0" i="0">
                  <a:solidFill>
                    <a:schemeClr val="tx1"/>
                  </a:solidFill>
                  <a:effectLst/>
                  <a:latin typeface="Cambria Math"/>
                  <a:ea typeface="+mn-ea"/>
                  <a:cs typeface="+mn-cs"/>
                </a:rPr>
                <a:t>365</a:t>
              </a:r>
              <a:r>
                <a:rPr lang="en-US" sz="1800" b="0" i="0">
                  <a:solidFill>
                    <a:schemeClr val="tx1"/>
                  </a:solidFill>
                  <a:effectLst/>
                  <a:latin typeface="Cambria Math" panose="02040503050406030204" pitchFamily="18" charset="0"/>
                  <a:ea typeface="+mn-ea"/>
                  <a:cs typeface="+mn-cs"/>
                </a:rPr>
                <a:t>)</a:t>
              </a:r>
              <a:endParaRPr lang="ru-RU" sz="1800" i="0">
                <a:latin typeface="Cambria Math" pitchFamily="18" charset="0"/>
                <a:ea typeface="Cambria Math" pitchFamily="18" charset="0"/>
              </a:endParaRPr>
            </a:p>
          </xdr:txBody>
        </xdr:sp>
      </mc:Fallback>
    </mc:AlternateContent>
    <xdr:clientData/>
  </xdr:oneCellAnchor>
  <xdr:oneCellAnchor>
    <xdr:from>
      <xdr:col>6</xdr:col>
      <xdr:colOff>429986</xdr:colOff>
      <xdr:row>119</xdr:row>
      <xdr:rowOff>176893</xdr:rowOff>
    </xdr:from>
    <xdr:ext cx="9686926" cy="848566"/>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A5E8CEAB-2F65-41DC-A025-ED3F5A8F40D7}"/>
                </a:ext>
              </a:extLst>
            </xdr:cNvPr>
            <xdr:cNvSpPr txBox="1"/>
          </xdr:nvSpPr>
          <xdr:spPr>
            <a:xfrm>
              <a:off x="6294665" y="29323393"/>
              <a:ext cx="9686926" cy="848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𝐼𝑛𝑣𝑒𝑛𝑡𝑜𝑟𝑦</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𝑐𝑜𝑛𝑣𝑒𝑟𝑠𝑖𝑜𝑛</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𝐼𝑛𝑣𝑒𝑛𝑡𝑜𝑟𝑦</m:t>
                        </m:r>
                      </m:num>
                      <m:den>
                        <m:r>
                          <a:rPr lang="en-US" sz="2400" i="1">
                            <a:solidFill>
                              <a:schemeClr val="tx1"/>
                            </a:solidFill>
                            <a:effectLst/>
                            <a:latin typeface="Cambria Math"/>
                            <a:ea typeface="+mn-ea"/>
                            <a:cs typeface="+mn-cs"/>
                          </a:rPr>
                          <m:t>𝐶𝑜𝑠𝑡</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𝑜𝑓</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𝑔𝑜𝑜𝑑𝑠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𝑠𝑜𝑙𝑑</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𝑑𝑎𝑦</m:t>
                        </m:r>
                      </m:den>
                    </m:f>
                  </m:oMath>
                </m:oMathPara>
              </a14:m>
              <a:endParaRPr lang="ru-RU" sz="2400">
                <a:effectLst/>
              </a:endParaRPr>
            </a:p>
          </xdr:txBody>
        </xdr:sp>
      </mc:Choice>
      <mc:Fallback xmlns="">
        <xdr:sp macro="" textlink="">
          <xdr:nvSpPr>
            <xdr:cNvPr id="9" name="TextBox 8">
              <a:extLst>
                <a:ext uri="{FF2B5EF4-FFF2-40B4-BE49-F238E27FC236}">
                  <a16:creationId xmlns:a16="http://schemas.microsoft.com/office/drawing/2014/main" id="{A5E8CEAB-2F65-41DC-A025-ED3F5A8F40D7}"/>
                </a:ext>
              </a:extLst>
            </xdr:cNvPr>
            <xdr:cNvSpPr txBox="1"/>
          </xdr:nvSpPr>
          <xdr:spPr>
            <a:xfrm>
              <a:off x="6294665" y="29323393"/>
              <a:ext cx="9686926" cy="848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i="0">
                  <a:solidFill>
                    <a:schemeClr val="tx1"/>
                  </a:solidFill>
                  <a:effectLst/>
                  <a:latin typeface="Cambria Math"/>
                  <a:ea typeface="+mn-ea"/>
                  <a:cs typeface="+mn-cs"/>
                </a:rPr>
                <a:t>𝐼𝑛𝑣𝑒𝑛𝑡𝑜𝑟𝑦 𝑐𝑜𝑛𝑣𝑒𝑟𝑠𝑖𝑜𝑛 𝑝𝑒𝑟𝑜𝑑=𝐼𝑛𝑣𝑒𝑛𝑡𝑜𝑟𝑦</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𝐶𝑜𝑠𝑡 𝑜𝑓 𝑔𝑜𝑜𝑑𝑠 𝑠𝑜𝑙𝑑 𝑝𝑒𝑟 𝑑𝑎𝑦</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7</xdr:col>
      <xdr:colOff>372836</xdr:colOff>
      <xdr:row>124</xdr:row>
      <xdr:rowOff>24493</xdr:rowOff>
    </xdr:from>
    <xdr:ext cx="7839075" cy="843116"/>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74E1F838-1E81-46AE-B086-7D62ED573D7F}"/>
                </a:ext>
              </a:extLst>
            </xdr:cNvPr>
            <xdr:cNvSpPr txBox="1"/>
          </xdr:nvSpPr>
          <xdr:spPr>
            <a:xfrm>
              <a:off x="6849836" y="30395636"/>
              <a:ext cx="7839075" cy="84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𝐴𝑣𝑒𝑟𝑎𝑔𝑒</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𝑐𝑜𝑙𝑙𝑒𝑐𝑡𝑖𝑜𝑛</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𝑝𝑒𝑟𝑖𝑜𝑑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𝑅𝑒𝑐𝑒𝑖𝑣𝑎𝑏𝑙𝑒𝑠</m:t>
                        </m:r>
                      </m:num>
                      <m:den>
                        <m:f>
                          <m:fPr>
                            <m:type m:val="lin"/>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𝑆𝑎𝑙𝑒𝑠</m:t>
                            </m:r>
                          </m:num>
                          <m:den>
                            <m:r>
                              <a:rPr lang="en-US" sz="2400" i="1">
                                <a:solidFill>
                                  <a:schemeClr val="tx1"/>
                                </a:solidFill>
                                <a:effectLst/>
                                <a:latin typeface="Cambria Math"/>
                                <a:ea typeface="+mn-ea"/>
                                <a:cs typeface="+mn-cs"/>
                              </a:rPr>
                              <m:t>365</m:t>
                            </m:r>
                          </m:den>
                        </m:f>
                      </m:den>
                    </m:f>
                  </m:oMath>
                </m:oMathPara>
              </a14:m>
              <a:endParaRPr lang="ru-RU" sz="2400">
                <a:effectLst/>
              </a:endParaRPr>
            </a:p>
          </xdr:txBody>
        </xdr:sp>
      </mc:Choice>
      <mc:Fallback xmlns="">
        <xdr:sp macro="" textlink="">
          <xdr:nvSpPr>
            <xdr:cNvPr id="10" name="TextBox 9">
              <a:extLst>
                <a:ext uri="{FF2B5EF4-FFF2-40B4-BE49-F238E27FC236}">
                  <a16:creationId xmlns:a16="http://schemas.microsoft.com/office/drawing/2014/main" id="{74E1F838-1E81-46AE-B086-7D62ED573D7F}"/>
                </a:ext>
              </a:extLst>
            </xdr:cNvPr>
            <xdr:cNvSpPr txBox="1"/>
          </xdr:nvSpPr>
          <xdr:spPr>
            <a:xfrm>
              <a:off x="6849836" y="30395636"/>
              <a:ext cx="7839075" cy="84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i="0">
                  <a:solidFill>
                    <a:schemeClr val="tx1"/>
                  </a:solidFill>
                  <a:effectLst/>
                  <a:latin typeface="Cambria Math"/>
                  <a:ea typeface="+mn-ea"/>
                  <a:cs typeface="+mn-cs"/>
                </a:rPr>
                <a:t>𝐴𝑣𝑒𝑟𝑎𝑔𝑒 𝑐𝑜𝑙𝑙𝑒𝑐𝑡𝑖𝑜𝑛 𝑝𝑒𝑟𝑖𝑜𝑑=𝑅𝑒𝑐𝑒𝑖𝑣𝑎𝑏𝑙𝑒𝑠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𝑆𝑎𝑙𝑒𝑠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365</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8</xdr:col>
      <xdr:colOff>46265</xdr:colOff>
      <xdr:row>128</xdr:row>
      <xdr:rowOff>72118</xdr:rowOff>
    </xdr:from>
    <xdr:ext cx="9686926" cy="1622752"/>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200CEDA6-A2B4-411F-8551-A86A2DCB8106}"/>
                </a:ext>
              </a:extLst>
            </xdr:cNvPr>
            <xdr:cNvSpPr txBox="1"/>
          </xdr:nvSpPr>
          <xdr:spPr>
            <a:xfrm>
              <a:off x="7135586" y="31422975"/>
              <a:ext cx="9686926" cy="1622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𝑃𝑎𝑦𝑎𝑏𝑙𝑒𝑠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𝑑𝑒𝑓𝑒𝑟𝑟𝑎𝑙</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𝑃𝑎𝑦𝑎𝑏𝑙𝑒𝑠</m:t>
                        </m:r>
                      </m:num>
                      <m:den>
                        <m:r>
                          <a:rPr lang="en-US" sz="2400" i="1">
                            <a:solidFill>
                              <a:schemeClr val="tx1"/>
                            </a:solidFill>
                            <a:effectLst/>
                            <a:latin typeface="Cambria Math"/>
                            <a:ea typeface="+mn-ea"/>
                            <a:cs typeface="+mn-cs"/>
                          </a:rPr>
                          <m:t>𝑃𝑢𝑟𝑐h𝑎𝑠𝑒𝑠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𝑑𝑎𝑦</m:t>
                        </m:r>
                      </m:den>
                    </m:f>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𝑃𝑎𝑦𝑎𝑏𝑙𝑒𝑠</m:t>
                        </m:r>
                      </m:num>
                      <m:den>
                        <m:f>
                          <m:fPr>
                            <m:type m:val="lin"/>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𝐶𝑜𝑠𝑡</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𝑜𝑓</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𝑔𝑜𝑜𝑑𝑠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𝑠𝑜𝑙𝑑</m:t>
                            </m:r>
                          </m:num>
                          <m:den>
                            <m:r>
                              <a:rPr lang="en-US" sz="2400" i="1">
                                <a:solidFill>
                                  <a:schemeClr val="tx1"/>
                                </a:solidFill>
                                <a:effectLst/>
                                <a:latin typeface="Cambria Math"/>
                                <a:ea typeface="+mn-ea"/>
                                <a:cs typeface="+mn-cs"/>
                              </a:rPr>
                              <m:t>365</m:t>
                            </m:r>
                          </m:den>
                        </m:f>
                      </m:den>
                    </m:f>
                  </m:oMath>
                </m:oMathPara>
              </a14:m>
              <a:endParaRPr lang="ru-RU" sz="2400">
                <a:effectLst/>
              </a:endParaRPr>
            </a:p>
          </xdr:txBody>
        </xdr:sp>
      </mc:Choice>
      <mc:Fallback xmlns="">
        <xdr:sp macro="" textlink="">
          <xdr:nvSpPr>
            <xdr:cNvPr id="11" name="TextBox 10">
              <a:extLst>
                <a:ext uri="{FF2B5EF4-FFF2-40B4-BE49-F238E27FC236}">
                  <a16:creationId xmlns:a16="http://schemas.microsoft.com/office/drawing/2014/main" id="{200CEDA6-A2B4-411F-8551-A86A2DCB8106}"/>
                </a:ext>
              </a:extLst>
            </xdr:cNvPr>
            <xdr:cNvSpPr txBox="1"/>
          </xdr:nvSpPr>
          <xdr:spPr>
            <a:xfrm>
              <a:off x="7135586" y="31422975"/>
              <a:ext cx="9686926" cy="1622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en-US" sz="2400" i="0">
                  <a:solidFill>
                    <a:schemeClr val="tx1"/>
                  </a:solidFill>
                  <a:effectLst/>
                  <a:latin typeface="Cambria Math"/>
                  <a:ea typeface="+mn-ea"/>
                  <a:cs typeface="+mn-cs"/>
                </a:rPr>
                <a:t>𝑃𝑎𝑦𝑎𝑏𝑙𝑒𝑠 𝑑𝑒𝑓𝑒𝑟𝑟𝑎𝑙 𝑝𝑒𝑟𝑜𝑑=𝑃𝑎𝑦𝑎𝑏𝑙𝑒𝑠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𝑃𝑢𝑟𝑐ℎ𝑎𝑠𝑒𝑠 𝑝𝑒𝑟 𝑑𝑎𝑦</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=𝑃𝑎𝑦𝑎𝑏𝑙𝑒𝑠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𝐶𝑜𝑠𝑡 𝑜𝑓 𝑔𝑜𝑜𝑑𝑠 𝑠𝑜𝑙𝑑</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365</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6</xdr:col>
      <xdr:colOff>95250</xdr:colOff>
      <xdr:row>164</xdr:row>
      <xdr:rowOff>240846</xdr:rowOff>
    </xdr:from>
    <xdr:ext cx="6229350" cy="66684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DFF48EFA-42EE-4EF0-9352-0BCB17236C41}"/>
                </a:ext>
              </a:extLst>
            </xdr:cNvPr>
            <xdr:cNvSpPr txBox="1"/>
          </xdr:nvSpPr>
          <xdr:spPr>
            <a:xfrm>
              <a:off x="5959929" y="40409132"/>
              <a:ext cx="6229350" cy="6668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m:rPr>
                        <m:sty m:val="p"/>
                      </m:rPr>
                      <a:rPr lang="en-US" sz="1800" b="0" i="0">
                        <a:latin typeface="Cambria Math"/>
                        <a:ea typeface="Cambria Math" pitchFamily="18" charset="0"/>
                      </a:rPr>
                      <m:t>DSO</m:t>
                    </m:r>
                    <m:r>
                      <a:rPr lang="en-US" sz="1800" b="0" i="0">
                        <a:latin typeface="Cambria Math" pitchFamily="18" charset="0"/>
                        <a:ea typeface="Cambria Math" pitchFamily="18" charset="0"/>
                      </a:rPr>
                      <m:t>= </m:t>
                    </m:r>
                    <m:f>
                      <m:fPr>
                        <m:ctrlPr>
                          <a:rPr lang="en-US" sz="1800" b="0" i="1">
                            <a:latin typeface="Cambria Math" panose="02040503050406030204" pitchFamily="18" charset="0"/>
                            <a:ea typeface="Cambria Math" pitchFamily="18" charset="0"/>
                          </a:rPr>
                        </m:ctrlPr>
                      </m:fPr>
                      <m:num>
                        <m:r>
                          <a:rPr lang="en-US" sz="1800" b="0" i="1">
                            <a:latin typeface="Cambria Math"/>
                            <a:ea typeface="Cambria Math" pitchFamily="18" charset="0"/>
                          </a:rPr>
                          <m:t>𝑅𝑒𝑐𝑒𝑖𝑣𝑎𝑏𝑙𝑒𝑠</m:t>
                        </m:r>
                      </m:num>
                      <m:den>
                        <m:r>
                          <a:rPr lang="en-US" sz="1800" b="0" i="1">
                            <a:latin typeface="Cambria Math"/>
                            <a:ea typeface="Cambria Math" pitchFamily="18" charset="0"/>
                          </a:rPr>
                          <m:t>𝐴𝑣𝑒𝑟𝑎𝑔𝑒</m:t>
                        </m:r>
                        <m:r>
                          <a:rPr lang="en-US" sz="1800" b="0" i="1">
                            <a:latin typeface="Cambria Math"/>
                            <a:ea typeface="Cambria Math" pitchFamily="18" charset="0"/>
                          </a:rPr>
                          <m:t> </m:t>
                        </m:r>
                        <m:r>
                          <a:rPr lang="en-US" sz="1800" b="0" i="1">
                            <a:latin typeface="Cambria Math"/>
                            <a:ea typeface="Cambria Math" pitchFamily="18" charset="0"/>
                          </a:rPr>
                          <m:t>𝑠𝑎𝑙𝑒𝑠</m:t>
                        </m:r>
                        <m:r>
                          <a:rPr lang="en-US" sz="1800" b="0" i="1">
                            <a:latin typeface="Cambria Math"/>
                            <a:ea typeface="Cambria Math" pitchFamily="18" charset="0"/>
                          </a:rPr>
                          <m:t> </m:t>
                        </m:r>
                        <m:r>
                          <a:rPr lang="en-US" sz="1800" b="0" i="1">
                            <a:latin typeface="Cambria Math"/>
                            <a:ea typeface="Cambria Math" pitchFamily="18" charset="0"/>
                          </a:rPr>
                          <m:t>𝑝𝑒𝑟</m:t>
                        </m:r>
                        <m:r>
                          <a:rPr lang="en-US" sz="1800" b="0" i="1">
                            <a:latin typeface="Cambria Math"/>
                            <a:ea typeface="Cambria Math" pitchFamily="18" charset="0"/>
                          </a:rPr>
                          <m:t> </m:t>
                        </m:r>
                        <m:r>
                          <a:rPr lang="en-US" sz="1800" b="0" i="1">
                            <a:latin typeface="Cambria Math"/>
                            <a:ea typeface="Cambria Math" pitchFamily="18" charset="0"/>
                          </a:rPr>
                          <m:t>𝑑𝑎𝑦</m:t>
                        </m:r>
                      </m:den>
                    </m:f>
                    <m:r>
                      <a:rPr lang="en-US" sz="1800" b="0" i="1">
                        <a:latin typeface="Cambria Math"/>
                        <a:ea typeface="Cambria Math" pitchFamily="18" charset="0"/>
                      </a:rPr>
                      <m:t>=</m:t>
                    </m:r>
                    <m:f>
                      <m:fPr>
                        <m:ctrlPr>
                          <a:rPr lang="en-US" sz="1800" b="0" i="1">
                            <a:solidFill>
                              <a:schemeClr val="tx1"/>
                            </a:solidFill>
                            <a:effectLst/>
                            <a:latin typeface="Cambria Math" panose="02040503050406030204" pitchFamily="18" charset="0"/>
                            <a:ea typeface="+mn-ea"/>
                            <a:cs typeface="+mn-cs"/>
                          </a:rPr>
                        </m:ctrlPr>
                      </m:fPr>
                      <m:num>
                        <m:r>
                          <a:rPr lang="en-US" sz="1800" b="0" i="1">
                            <a:solidFill>
                              <a:schemeClr val="tx1"/>
                            </a:solidFill>
                            <a:effectLst/>
                            <a:latin typeface="Cambria Math" panose="02040503050406030204" pitchFamily="18" charset="0"/>
                            <a:ea typeface="+mn-ea"/>
                            <a:cs typeface="+mn-cs"/>
                          </a:rPr>
                          <m:t>𝑅𝑒𝑐𝑒𝑖𝑣𝑎𝑏𝑙𝑒𝑠</m:t>
                        </m:r>
                      </m:num>
                      <m:den>
                        <m:f>
                          <m:fPr>
                            <m:type m:val="lin"/>
                            <m:ctrlPr>
                              <a:rPr lang="en-US" sz="1800" b="0" i="1">
                                <a:solidFill>
                                  <a:schemeClr val="tx1"/>
                                </a:solidFill>
                                <a:effectLst/>
                                <a:latin typeface="Cambria Math" panose="02040503050406030204" pitchFamily="18" charset="0"/>
                                <a:ea typeface="+mn-ea"/>
                                <a:cs typeface="+mn-cs"/>
                              </a:rPr>
                            </m:ctrlPr>
                          </m:fPr>
                          <m:num>
                            <m:r>
                              <a:rPr lang="en-US" sz="1800" b="0" i="1">
                                <a:solidFill>
                                  <a:schemeClr val="tx1"/>
                                </a:solidFill>
                                <a:effectLst/>
                                <a:latin typeface="Cambria Math"/>
                                <a:ea typeface="+mn-ea"/>
                                <a:cs typeface="+mn-cs"/>
                              </a:rPr>
                              <m:t>𝐴𝑛𝑛𝑢𝑎𝑙</m:t>
                            </m:r>
                            <m:r>
                              <a:rPr lang="en-US" sz="1800" b="0" i="1">
                                <a:solidFill>
                                  <a:schemeClr val="tx1"/>
                                </a:solidFill>
                                <a:effectLst/>
                                <a:latin typeface="Cambria Math"/>
                                <a:ea typeface="+mn-ea"/>
                                <a:cs typeface="+mn-cs"/>
                              </a:rPr>
                              <m:t> </m:t>
                            </m:r>
                            <m:r>
                              <a:rPr lang="en-US" sz="1800" b="0" i="1">
                                <a:solidFill>
                                  <a:schemeClr val="tx1"/>
                                </a:solidFill>
                                <a:effectLst/>
                                <a:latin typeface="Cambria Math"/>
                                <a:ea typeface="+mn-ea"/>
                                <a:cs typeface="+mn-cs"/>
                              </a:rPr>
                              <m:t>𝑠𝑎𝑙𝑒𝑠</m:t>
                            </m:r>
                          </m:num>
                          <m:den>
                            <m:r>
                              <a:rPr lang="en-US" sz="1800" b="0" i="1">
                                <a:solidFill>
                                  <a:schemeClr val="tx1"/>
                                </a:solidFill>
                                <a:effectLst/>
                                <a:latin typeface="Cambria Math"/>
                                <a:ea typeface="+mn-ea"/>
                                <a:cs typeface="+mn-cs"/>
                              </a:rPr>
                              <m:t>365</m:t>
                            </m:r>
                          </m:den>
                        </m:f>
                      </m:den>
                    </m:f>
                  </m:oMath>
                </m:oMathPara>
              </a14:m>
              <a:endParaRPr lang="ru-RU" sz="1800" i="0">
                <a:latin typeface="Cambria Math" pitchFamily="18" charset="0"/>
                <a:ea typeface="Cambria Math" pitchFamily="18" charset="0"/>
              </a:endParaRPr>
            </a:p>
          </xdr:txBody>
        </xdr:sp>
      </mc:Choice>
      <mc:Fallback xmlns="">
        <xdr:sp macro="" textlink="">
          <xdr:nvSpPr>
            <xdr:cNvPr id="12" name="TextBox 11">
              <a:extLst>
                <a:ext uri="{FF2B5EF4-FFF2-40B4-BE49-F238E27FC236}">
                  <a16:creationId xmlns:a16="http://schemas.microsoft.com/office/drawing/2014/main" id="{DFF48EFA-42EE-4EF0-9352-0BCB17236C41}"/>
                </a:ext>
              </a:extLst>
            </xdr:cNvPr>
            <xdr:cNvSpPr txBox="1"/>
          </xdr:nvSpPr>
          <xdr:spPr>
            <a:xfrm>
              <a:off x="5959929" y="40409132"/>
              <a:ext cx="6229350" cy="6668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800" b="0" i="0">
                  <a:latin typeface="Cambria Math"/>
                  <a:ea typeface="Cambria Math" pitchFamily="18" charset="0"/>
                </a:rPr>
                <a:t>DSO</a:t>
              </a:r>
              <a:r>
                <a:rPr lang="en-US" sz="1800" b="0" i="0">
                  <a:latin typeface="Cambria Math" pitchFamily="18" charset="0"/>
                  <a:ea typeface="Cambria Math" pitchFamily="18" charset="0"/>
                </a:rPr>
                <a:t>= </a:t>
              </a:r>
              <a:r>
                <a:rPr lang="en-US" sz="1800" b="0" i="0">
                  <a:latin typeface="Cambria Math"/>
                  <a:ea typeface="Cambria Math" pitchFamily="18" charset="0"/>
                </a:rPr>
                <a:t> 𝑅𝑒𝑐𝑒𝑖𝑣𝑎𝑏𝑙𝑒𝑠</a:t>
              </a:r>
              <a:r>
                <a:rPr lang="en-US" sz="1800" b="0" i="0">
                  <a:latin typeface="Cambria Math" panose="02040503050406030204" pitchFamily="18" charset="0"/>
                  <a:ea typeface="Cambria Math" pitchFamily="18" charset="0"/>
                </a:rPr>
                <a:t>/(</a:t>
              </a:r>
              <a:r>
                <a:rPr lang="en-US" sz="1800" b="0" i="0">
                  <a:latin typeface="Cambria Math"/>
                  <a:ea typeface="Cambria Math" pitchFamily="18" charset="0"/>
                </a:rPr>
                <a:t>𝐴𝑣𝑒𝑟𝑎𝑔𝑒 𝑠𝑎𝑙𝑒𝑠 𝑝𝑒𝑟 𝑑𝑎𝑦</a:t>
              </a:r>
              <a:r>
                <a:rPr lang="en-US" sz="1800" b="0" i="0">
                  <a:latin typeface="Cambria Math" panose="02040503050406030204" pitchFamily="18" charset="0"/>
                  <a:ea typeface="Cambria Math" pitchFamily="18" charset="0"/>
                </a:rPr>
                <a:t>)</a:t>
              </a:r>
              <a:r>
                <a:rPr lang="en-US" sz="1800" b="0" i="0">
                  <a:latin typeface="Cambria Math"/>
                  <a:ea typeface="Cambria Math" pitchFamily="18" charset="0"/>
                </a:rPr>
                <a:t>=</a:t>
              </a:r>
              <a:r>
                <a:rPr lang="en-US" sz="1800" b="0" i="0">
                  <a:solidFill>
                    <a:schemeClr val="tx1"/>
                  </a:solidFill>
                  <a:effectLst/>
                  <a:latin typeface="Cambria Math" panose="02040503050406030204" pitchFamily="18" charset="0"/>
                  <a:ea typeface="+mn-ea"/>
                  <a:cs typeface="+mn-cs"/>
                </a:rPr>
                <a:t>𝑅𝑒𝑐𝑒𝑖𝑣𝑎𝑏𝑙𝑒𝑠/(〖</a:t>
              </a:r>
              <a:r>
                <a:rPr lang="en-US" sz="1800" b="0" i="0">
                  <a:solidFill>
                    <a:schemeClr val="tx1"/>
                  </a:solidFill>
                  <a:effectLst/>
                  <a:latin typeface="Cambria Math"/>
                  <a:ea typeface="+mn-ea"/>
                  <a:cs typeface="+mn-cs"/>
                </a:rPr>
                <a:t>𝐴𝑛𝑛𝑢𝑎𝑙 𝑠𝑎𝑙𝑒𝑠</a:t>
              </a:r>
              <a:r>
                <a:rPr lang="en-US" sz="1800" b="0" i="0">
                  <a:solidFill>
                    <a:schemeClr val="tx1"/>
                  </a:solidFill>
                  <a:effectLst/>
                  <a:latin typeface="Cambria Math" panose="02040503050406030204" pitchFamily="18" charset="0"/>
                  <a:ea typeface="+mn-ea"/>
                  <a:cs typeface="+mn-cs"/>
                </a:rPr>
                <a:t>〗∕</a:t>
              </a:r>
              <a:r>
                <a:rPr lang="en-US" sz="1800" b="0" i="0">
                  <a:solidFill>
                    <a:schemeClr val="tx1"/>
                  </a:solidFill>
                  <a:effectLst/>
                  <a:latin typeface="Cambria Math"/>
                  <a:ea typeface="+mn-ea"/>
                  <a:cs typeface="+mn-cs"/>
                </a:rPr>
                <a:t>365</a:t>
              </a:r>
              <a:r>
                <a:rPr lang="en-US" sz="1800" b="0" i="0">
                  <a:solidFill>
                    <a:schemeClr val="tx1"/>
                  </a:solidFill>
                  <a:effectLst/>
                  <a:latin typeface="Cambria Math" panose="02040503050406030204" pitchFamily="18" charset="0"/>
                  <a:ea typeface="+mn-ea"/>
                  <a:cs typeface="+mn-cs"/>
                </a:rPr>
                <a:t>)</a:t>
              </a:r>
              <a:endParaRPr lang="ru-RU" sz="1800" i="0">
                <a:latin typeface="Cambria Math" pitchFamily="18" charset="0"/>
                <a:ea typeface="Cambria Math" pitchFamily="18" charset="0"/>
              </a:endParaRPr>
            </a:p>
          </xdr:txBody>
        </xdr:sp>
      </mc:Fallback>
    </mc:AlternateContent>
    <xdr:clientData/>
  </xdr:oneCellAnchor>
</xdr:wsDr>
</file>

<file path=xl/drawings/drawing11.xml><?xml version="1.0" encoding="utf-8"?>
<xdr:wsDr xmlns:xdr="http://schemas.openxmlformats.org/drawingml/2006/spreadsheetDrawing" xmlns:a="http://schemas.openxmlformats.org/drawingml/2006/main">
  <xdr:oneCellAnchor>
    <xdr:from>
      <xdr:col>4</xdr:col>
      <xdr:colOff>342900</xdr:colOff>
      <xdr:row>9</xdr:row>
      <xdr:rowOff>114300</xdr:rowOff>
    </xdr:from>
    <xdr:ext cx="5562600" cy="65594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75CCF73-7197-40EE-BF11-B1E0AB2A8A34}"/>
                </a:ext>
              </a:extLst>
            </xdr:cNvPr>
            <xdr:cNvSpPr txBox="1"/>
          </xdr:nvSpPr>
          <xdr:spPr>
            <a:xfrm>
              <a:off x="2781300" y="1828800"/>
              <a:ext cx="5562600"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m:rPr>
                      <m:sty m:val="p"/>
                    </m:rPr>
                    <a:rPr lang="en-US" sz="1800" b="0" i="0">
                      <a:latin typeface="Cambria Math" pitchFamily="18" charset="0"/>
                      <a:ea typeface="Cambria Math" pitchFamily="18" charset="0"/>
                    </a:rPr>
                    <m:t>Accounts</m:t>
                  </m:r>
                  <m:r>
                    <a:rPr lang="en-US" sz="1800" b="0" i="0">
                      <a:latin typeface="Cambria Math" pitchFamily="18" charset="0"/>
                      <a:ea typeface="Cambria Math" pitchFamily="18" charset="0"/>
                    </a:rPr>
                    <m:t> </m:t>
                  </m:r>
                  <m:r>
                    <m:rPr>
                      <m:sty m:val="p"/>
                    </m:rPr>
                    <a:rPr lang="en-US" sz="1800" b="0" i="0">
                      <a:latin typeface="Cambria Math" pitchFamily="18" charset="0"/>
                      <a:ea typeface="Cambria Math" pitchFamily="18" charset="0"/>
                    </a:rPr>
                    <m:t>Receivables</m:t>
                  </m:r>
                  <m:r>
                    <a:rPr lang="en-US" sz="1800" b="0" i="0">
                      <a:latin typeface="Cambria Math" pitchFamily="18" charset="0"/>
                      <a:ea typeface="Cambria Math" pitchFamily="18" charset="0"/>
                    </a:rPr>
                    <m:t>= </m:t>
                  </m:r>
                </m:oMath>
              </a14:m>
              <a:r>
                <a:rPr lang="en-US" sz="1800" i="0">
                  <a:latin typeface="Cambria Math" pitchFamily="18" charset="0"/>
                  <a:ea typeface="Cambria Math" pitchFamily="18" charset="0"/>
                </a:rPr>
                <a:t>Sales per day * Length of collection period</a:t>
              </a:r>
              <a:endParaRPr lang="ru-RU" sz="1800" i="0">
                <a:latin typeface="Cambria Math" pitchFamily="18" charset="0"/>
                <a:ea typeface="Cambria Math" pitchFamily="18" charset="0"/>
              </a:endParaRPr>
            </a:p>
          </xdr:txBody>
        </xdr:sp>
      </mc:Choice>
      <mc:Fallback xmlns="">
        <xdr:sp macro="" textlink="">
          <xdr:nvSpPr>
            <xdr:cNvPr id="2" name="TextBox 1">
              <a:extLst>
                <a:ext uri="{FF2B5EF4-FFF2-40B4-BE49-F238E27FC236}">
                  <a16:creationId xmlns:a16="http://schemas.microsoft.com/office/drawing/2014/main" id="{875CCF73-7197-40EE-BF11-B1E0AB2A8A34}"/>
                </a:ext>
              </a:extLst>
            </xdr:cNvPr>
            <xdr:cNvSpPr txBox="1"/>
          </xdr:nvSpPr>
          <xdr:spPr>
            <a:xfrm>
              <a:off x="2781300" y="1828800"/>
              <a:ext cx="5562600"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0" i="0">
                  <a:latin typeface="Cambria Math" pitchFamily="18" charset="0"/>
                  <a:ea typeface="Cambria Math" pitchFamily="18" charset="0"/>
                </a:rPr>
                <a:t>Accounts Receivables= </a:t>
              </a:r>
              <a:r>
                <a:rPr lang="en-US" sz="1800" i="0">
                  <a:latin typeface="Cambria Math" pitchFamily="18" charset="0"/>
                  <a:ea typeface="Cambria Math" pitchFamily="18" charset="0"/>
                </a:rPr>
                <a:t>Sales per day * Length of collection period</a:t>
              </a:r>
              <a:endParaRPr lang="ru-RU" sz="1800" i="0">
                <a:latin typeface="Cambria Math" pitchFamily="18" charset="0"/>
                <a:ea typeface="Cambria Math" pitchFamily="18" charset="0"/>
              </a:endParaRPr>
            </a:p>
          </xdr:txBody>
        </xdr:sp>
      </mc:Fallback>
    </mc:AlternateContent>
    <xdr:clientData/>
  </xdr:oneCellAnchor>
  <xdr:oneCellAnchor>
    <xdr:from>
      <xdr:col>3</xdr:col>
      <xdr:colOff>333375</xdr:colOff>
      <xdr:row>23</xdr:row>
      <xdr:rowOff>47625</xdr:rowOff>
    </xdr:from>
    <xdr:ext cx="6229350" cy="66684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FF48EFA-42EE-4EF0-9352-0BCB17236C41}"/>
                </a:ext>
              </a:extLst>
            </xdr:cNvPr>
            <xdr:cNvSpPr txBox="1"/>
          </xdr:nvSpPr>
          <xdr:spPr>
            <a:xfrm>
              <a:off x="2162175" y="4429125"/>
              <a:ext cx="6229350" cy="6668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m:rPr>
                        <m:sty m:val="p"/>
                      </m:rPr>
                      <a:rPr lang="en-US" sz="1800" b="0" i="0">
                        <a:latin typeface="Cambria Math"/>
                        <a:ea typeface="Cambria Math" pitchFamily="18" charset="0"/>
                      </a:rPr>
                      <m:t>DSO</m:t>
                    </m:r>
                    <m:r>
                      <a:rPr lang="en-US" sz="1800" b="0" i="0">
                        <a:latin typeface="Cambria Math" pitchFamily="18" charset="0"/>
                        <a:ea typeface="Cambria Math" pitchFamily="18" charset="0"/>
                      </a:rPr>
                      <m:t>= </m:t>
                    </m:r>
                    <m:f>
                      <m:fPr>
                        <m:ctrlPr>
                          <a:rPr lang="en-US" sz="1800" b="0" i="1">
                            <a:latin typeface="Cambria Math" panose="02040503050406030204" pitchFamily="18" charset="0"/>
                            <a:ea typeface="Cambria Math" pitchFamily="18" charset="0"/>
                          </a:rPr>
                        </m:ctrlPr>
                      </m:fPr>
                      <m:num>
                        <m:r>
                          <a:rPr lang="en-US" sz="1800" b="0" i="1">
                            <a:latin typeface="Cambria Math"/>
                            <a:ea typeface="Cambria Math" pitchFamily="18" charset="0"/>
                          </a:rPr>
                          <m:t>𝑅𝑒𝑐𝑒𝑖𝑣𝑎𝑏𝑙𝑒𝑠</m:t>
                        </m:r>
                      </m:num>
                      <m:den>
                        <m:r>
                          <a:rPr lang="en-US" sz="1800" b="0" i="1">
                            <a:latin typeface="Cambria Math"/>
                            <a:ea typeface="Cambria Math" pitchFamily="18" charset="0"/>
                          </a:rPr>
                          <m:t>𝐴𝑣𝑒𝑟𝑎𝑔𝑒</m:t>
                        </m:r>
                        <m:r>
                          <a:rPr lang="en-US" sz="1800" b="0" i="1">
                            <a:latin typeface="Cambria Math"/>
                            <a:ea typeface="Cambria Math" pitchFamily="18" charset="0"/>
                          </a:rPr>
                          <m:t> </m:t>
                        </m:r>
                        <m:r>
                          <a:rPr lang="en-US" sz="1800" b="0" i="1">
                            <a:latin typeface="Cambria Math"/>
                            <a:ea typeface="Cambria Math" pitchFamily="18" charset="0"/>
                          </a:rPr>
                          <m:t>𝑠𝑎𝑙𝑒𝑠</m:t>
                        </m:r>
                        <m:r>
                          <a:rPr lang="en-US" sz="1800" b="0" i="1">
                            <a:latin typeface="Cambria Math"/>
                            <a:ea typeface="Cambria Math" pitchFamily="18" charset="0"/>
                          </a:rPr>
                          <m:t> </m:t>
                        </m:r>
                        <m:r>
                          <a:rPr lang="en-US" sz="1800" b="0" i="1">
                            <a:latin typeface="Cambria Math"/>
                            <a:ea typeface="Cambria Math" pitchFamily="18" charset="0"/>
                          </a:rPr>
                          <m:t>𝑝𝑒𝑟</m:t>
                        </m:r>
                        <m:r>
                          <a:rPr lang="en-US" sz="1800" b="0" i="1">
                            <a:latin typeface="Cambria Math"/>
                            <a:ea typeface="Cambria Math" pitchFamily="18" charset="0"/>
                          </a:rPr>
                          <m:t> </m:t>
                        </m:r>
                        <m:r>
                          <a:rPr lang="en-US" sz="1800" b="0" i="1">
                            <a:latin typeface="Cambria Math"/>
                            <a:ea typeface="Cambria Math" pitchFamily="18" charset="0"/>
                          </a:rPr>
                          <m:t>𝑑𝑎𝑦</m:t>
                        </m:r>
                      </m:den>
                    </m:f>
                    <m:r>
                      <a:rPr lang="en-US" sz="1800" b="0" i="1">
                        <a:latin typeface="Cambria Math"/>
                        <a:ea typeface="Cambria Math" pitchFamily="18" charset="0"/>
                      </a:rPr>
                      <m:t>=</m:t>
                    </m:r>
                    <m:f>
                      <m:fPr>
                        <m:ctrlPr>
                          <a:rPr lang="en-US" sz="1800" b="0" i="1">
                            <a:solidFill>
                              <a:schemeClr val="tx1"/>
                            </a:solidFill>
                            <a:effectLst/>
                            <a:latin typeface="Cambria Math" panose="02040503050406030204" pitchFamily="18" charset="0"/>
                            <a:ea typeface="+mn-ea"/>
                            <a:cs typeface="+mn-cs"/>
                          </a:rPr>
                        </m:ctrlPr>
                      </m:fPr>
                      <m:num>
                        <m:r>
                          <a:rPr lang="en-US" sz="1800" b="0" i="1">
                            <a:solidFill>
                              <a:schemeClr val="tx1"/>
                            </a:solidFill>
                            <a:effectLst/>
                            <a:latin typeface="Cambria Math" panose="02040503050406030204" pitchFamily="18" charset="0"/>
                            <a:ea typeface="+mn-ea"/>
                            <a:cs typeface="+mn-cs"/>
                          </a:rPr>
                          <m:t>𝑅𝑒𝑐𝑒𝑖𝑣𝑎𝑏𝑙𝑒𝑠</m:t>
                        </m:r>
                      </m:num>
                      <m:den>
                        <m:f>
                          <m:fPr>
                            <m:type m:val="lin"/>
                            <m:ctrlPr>
                              <a:rPr lang="en-US" sz="1800" b="0" i="1">
                                <a:solidFill>
                                  <a:schemeClr val="tx1"/>
                                </a:solidFill>
                                <a:effectLst/>
                                <a:latin typeface="Cambria Math" panose="02040503050406030204" pitchFamily="18" charset="0"/>
                                <a:ea typeface="+mn-ea"/>
                                <a:cs typeface="+mn-cs"/>
                              </a:rPr>
                            </m:ctrlPr>
                          </m:fPr>
                          <m:num>
                            <m:r>
                              <a:rPr lang="en-US" sz="1800" b="0" i="1">
                                <a:solidFill>
                                  <a:schemeClr val="tx1"/>
                                </a:solidFill>
                                <a:effectLst/>
                                <a:latin typeface="Cambria Math"/>
                                <a:ea typeface="+mn-ea"/>
                                <a:cs typeface="+mn-cs"/>
                              </a:rPr>
                              <m:t>𝐴𝑛𝑛𝑢𝑎𝑙</m:t>
                            </m:r>
                            <m:r>
                              <a:rPr lang="en-US" sz="1800" b="0" i="1">
                                <a:solidFill>
                                  <a:schemeClr val="tx1"/>
                                </a:solidFill>
                                <a:effectLst/>
                                <a:latin typeface="Cambria Math"/>
                                <a:ea typeface="+mn-ea"/>
                                <a:cs typeface="+mn-cs"/>
                              </a:rPr>
                              <m:t> </m:t>
                            </m:r>
                            <m:r>
                              <a:rPr lang="en-US" sz="1800" b="0" i="1">
                                <a:solidFill>
                                  <a:schemeClr val="tx1"/>
                                </a:solidFill>
                                <a:effectLst/>
                                <a:latin typeface="Cambria Math"/>
                                <a:ea typeface="+mn-ea"/>
                                <a:cs typeface="+mn-cs"/>
                              </a:rPr>
                              <m:t>𝑠𝑎𝑙𝑒𝑠</m:t>
                            </m:r>
                          </m:num>
                          <m:den>
                            <m:r>
                              <a:rPr lang="en-US" sz="1800" b="0" i="1">
                                <a:solidFill>
                                  <a:schemeClr val="tx1"/>
                                </a:solidFill>
                                <a:effectLst/>
                                <a:latin typeface="Cambria Math"/>
                                <a:ea typeface="+mn-ea"/>
                                <a:cs typeface="+mn-cs"/>
                              </a:rPr>
                              <m:t>365</m:t>
                            </m:r>
                          </m:den>
                        </m:f>
                      </m:den>
                    </m:f>
                  </m:oMath>
                </m:oMathPara>
              </a14:m>
              <a:endParaRPr lang="ru-RU" sz="1800" i="0">
                <a:latin typeface="Cambria Math" pitchFamily="18" charset="0"/>
                <a:ea typeface="Cambria Math" pitchFamily="18" charset="0"/>
              </a:endParaRPr>
            </a:p>
          </xdr:txBody>
        </xdr:sp>
      </mc:Choice>
      <mc:Fallback xmlns="">
        <xdr:sp macro="" textlink="">
          <xdr:nvSpPr>
            <xdr:cNvPr id="3" name="TextBox 2">
              <a:extLst>
                <a:ext uri="{FF2B5EF4-FFF2-40B4-BE49-F238E27FC236}">
                  <a16:creationId xmlns:a16="http://schemas.microsoft.com/office/drawing/2014/main" id="{DFF48EFA-42EE-4EF0-9352-0BCB17236C41}"/>
                </a:ext>
              </a:extLst>
            </xdr:cNvPr>
            <xdr:cNvSpPr txBox="1"/>
          </xdr:nvSpPr>
          <xdr:spPr>
            <a:xfrm>
              <a:off x="2162175" y="4429125"/>
              <a:ext cx="6229350" cy="6668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800" b="0" i="0">
                  <a:latin typeface="Cambria Math"/>
                  <a:ea typeface="Cambria Math" pitchFamily="18" charset="0"/>
                </a:rPr>
                <a:t>DSO</a:t>
              </a:r>
              <a:r>
                <a:rPr lang="en-US" sz="1800" b="0" i="0">
                  <a:latin typeface="Cambria Math" pitchFamily="18" charset="0"/>
                  <a:ea typeface="Cambria Math" pitchFamily="18" charset="0"/>
                </a:rPr>
                <a:t>= </a:t>
              </a:r>
              <a:r>
                <a:rPr lang="en-US" sz="1800" b="0" i="0">
                  <a:latin typeface="Cambria Math"/>
                  <a:ea typeface="Cambria Math" pitchFamily="18" charset="0"/>
                </a:rPr>
                <a:t> 𝑅𝑒𝑐𝑒𝑖𝑣𝑎𝑏𝑙𝑒𝑠</a:t>
              </a:r>
              <a:r>
                <a:rPr lang="en-US" sz="1800" b="0" i="0">
                  <a:latin typeface="Cambria Math" panose="02040503050406030204" pitchFamily="18" charset="0"/>
                  <a:ea typeface="Cambria Math" pitchFamily="18" charset="0"/>
                </a:rPr>
                <a:t>/(</a:t>
              </a:r>
              <a:r>
                <a:rPr lang="en-US" sz="1800" b="0" i="0">
                  <a:latin typeface="Cambria Math"/>
                  <a:ea typeface="Cambria Math" pitchFamily="18" charset="0"/>
                </a:rPr>
                <a:t>𝐴𝑣𝑒𝑟𝑎𝑔𝑒 𝑠𝑎𝑙𝑒𝑠 𝑝𝑒𝑟 𝑑𝑎𝑦</a:t>
              </a:r>
              <a:r>
                <a:rPr lang="en-US" sz="1800" b="0" i="0">
                  <a:latin typeface="Cambria Math" panose="02040503050406030204" pitchFamily="18" charset="0"/>
                  <a:ea typeface="Cambria Math" pitchFamily="18" charset="0"/>
                </a:rPr>
                <a:t>)</a:t>
              </a:r>
              <a:r>
                <a:rPr lang="en-US" sz="1800" b="0" i="0">
                  <a:latin typeface="Cambria Math"/>
                  <a:ea typeface="Cambria Math" pitchFamily="18" charset="0"/>
                </a:rPr>
                <a:t>=</a:t>
              </a:r>
              <a:r>
                <a:rPr lang="en-US" sz="1800" b="0" i="0">
                  <a:solidFill>
                    <a:schemeClr val="tx1"/>
                  </a:solidFill>
                  <a:effectLst/>
                  <a:latin typeface="Cambria Math" panose="02040503050406030204" pitchFamily="18" charset="0"/>
                  <a:ea typeface="+mn-ea"/>
                  <a:cs typeface="+mn-cs"/>
                </a:rPr>
                <a:t>𝑅𝑒𝑐𝑒𝑖𝑣𝑎𝑏𝑙𝑒𝑠/(〖</a:t>
              </a:r>
              <a:r>
                <a:rPr lang="en-US" sz="1800" b="0" i="0">
                  <a:solidFill>
                    <a:schemeClr val="tx1"/>
                  </a:solidFill>
                  <a:effectLst/>
                  <a:latin typeface="Cambria Math"/>
                  <a:ea typeface="+mn-ea"/>
                  <a:cs typeface="+mn-cs"/>
                </a:rPr>
                <a:t>𝐴𝑛𝑛𝑢𝑎𝑙 𝑠𝑎𝑙𝑒𝑠</a:t>
              </a:r>
              <a:r>
                <a:rPr lang="en-US" sz="1800" b="0" i="0">
                  <a:solidFill>
                    <a:schemeClr val="tx1"/>
                  </a:solidFill>
                  <a:effectLst/>
                  <a:latin typeface="Cambria Math" panose="02040503050406030204" pitchFamily="18" charset="0"/>
                  <a:ea typeface="+mn-ea"/>
                  <a:cs typeface="+mn-cs"/>
                </a:rPr>
                <a:t>〗∕</a:t>
              </a:r>
              <a:r>
                <a:rPr lang="en-US" sz="1800" b="0" i="0">
                  <a:solidFill>
                    <a:schemeClr val="tx1"/>
                  </a:solidFill>
                  <a:effectLst/>
                  <a:latin typeface="Cambria Math"/>
                  <a:ea typeface="+mn-ea"/>
                  <a:cs typeface="+mn-cs"/>
                </a:rPr>
                <a:t>365</a:t>
              </a:r>
              <a:r>
                <a:rPr lang="en-US" sz="1800" b="0" i="0">
                  <a:solidFill>
                    <a:schemeClr val="tx1"/>
                  </a:solidFill>
                  <a:effectLst/>
                  <a:latin typeface="Cambria Math" panose="02040503050406030204" pitchFamily="18" charset="0"/>
                  <a:ea typeface="+mn-ea"/>
                  <a:cs typeface="+mn-cs"/>
                </a:rPr>
                <a:t>)</a:t>
              </a:r>
              <a:endParaRPr lang="ru-RU" sz="1800" i="0">
                <a:latin typeface="Cambria Math" pitchFamily="18" charset="0"/>
                <a:ea typeface="Cambria Math" pitchFamily="18" charset="0"/>
              </a:endParaRPr>
            </a:p>
          </xdr:txBody>
        </xdr:sp>
      </mc:Fallback>
    </mc:AlternateContent>
    <xdr:clientData/>
  </xdr:oneCellAnchor>
  <xdr:oneCellAnchor>
    <xdr:from>
      <xdr:col>4</xdr:col>
      <xdr:colOff>161925</xdr:colOff>
      <xdr:row>42</xdr:row>
      <xdr:rowOff>190500</xdr:rowOff>
    </xdr:from>
    <xdr:ext cx="6229350" cy="362984"/>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095531D-6CD7-4623-AF9F-4C93DC398CA1}"/>
                </a:ext>
              </a:extLst>
            </xdr:cNvPr>
            <xdr:cNvSpPr txBox="1"/>
          </xdr:nvSpPr>
          <xdr:spPr>
            <a:xfrm>
              <a:off x="2600325" y="8191500"/>
              <a:ext cx="6229350" cy="362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m:rPr>
                        <m:sty m:val="p"/>
                      </m:rPr>
                      <a:rPr lang="en-US" sz="1800" b="0" i="0">
                        <a:latin typeface="Cambria Math"/>
                        <a:ea typeface="Cambria Math" pitchFamily="18" charset="0"/>
                      </a:rPr>
                      <m:t>Receivables</m:t>
                    </m:r>
                    <m:r>
                      <a:rPr lang="en-US" sz="1800" b="0" i="0">
                        <a:latin typeface="Cambria Math" pitchFamily="18" charset="0"/>
                        <a:ea typeface="Cambria Math" pitchFamily="18" charset="0"/>
                      </a:rPr>
                      <m:t>= </m:t>
                    </m:r>
                    <m:d>
                      <m:dPr>
                        <m:ctrlPr>
                          <a:rPr lang="en-US" sz="1800" b="0" i="1">
                            <a:latin typeface="Cambria Math" panose="02040503050406030204" pitchFamily="18" charset="0"/>
                            <a:ea typeface="Cambria Math" pitchFamily="18" charset="0"/>
                          </a:rPr>
                        </m:ctrlPr>
                      </m:dPr>
                      <m:e>
                        <m:r>
                          <a:rPr lang="en-US" sz="1800" b="0" i="1">
                            <a:latin typeface="Cambria Math"/>
                            <a:ea typeface="Cambria Math" pitchFamily="18" charset="0"/>
                          </a:rPr>
                          <m:t>𝐴𝐷𝑆</m:t>
                        </m:r>
                      </m:e>
                    </m:d>
                    <m:d>
                      <m:dPr>
                        <m:ctrlPr>
                          <a:rPr lang="en-US" sz="1800" b="0" i="1">
                            <a:latin typeface="Cambria Math" panose="02040503050406030204" pitchFamily="18" charset="0"/>
                            <a:ea typeface="Cambria Math" pitchFamily="18" charset="0"/>
                          </a:rPr>
                        </m:ctrlPr>
                      </m:dPr>
                      <m:e>
                        <m:r>
                          <m:rPr>
                            <m:sty m:val="p"/>
                          </m:rPr>
                          <a:rPr lang="en-US" sz="1800" b="0" i="0">
                            <a:solidFill>
                              <a:schemeClr val="tx1"/>
                            </a:solidFill>
                            <a:effectLst/>
                            <a:latin typeface="Cambria Math" panose="02040503050406030204" pitchFamily="18" charset="0"/>
                            <a:ea typeface="+mn-ea"/>
                            <a:cs typeface="+mn-cs"/>
                          </a:rPr>
                          <m:t>DSO</m:t>
                        </m:r>
                        <m:r>
                          <m:rPr>
                            <m:nor/>
                          </m:rPr>
                          <a:rPr lang="ru-RU" sz="1800">
                            <a:effectLst/>
                          </a:rPr>
                          <m:t> </m:t>
                        </m:r>
                      </m:e>
                    </m:d>
                  </m:oMath>
                </m:oMathPara>
              </a14:m>
              <a:endParaRPr lang="ru-RU" sz="1800" i="0">
                <a:latin typeface="Cambria Math" pitchFamily="18" charset="0"/>
                <a:ea typeface="Cambria Math" pitchFamily="18" charset="0"/>
              </a:endParaRPr>
            </a:p>
          </xdr:txBody>
        </xdr:sp>
      </mc:Choice>
      <mc:Fallback xmlns="">
        <xdr:sp macro="" textlink="">
          <xdr:nvSpPr>
            <xdr:cNvPr id="4" name="TextBox 3">
              <a:extLst>
                <a:ext uri="{FF2B5EF4-FFF2-40B4-BE49-F238E27FC236}">
                  <a16:creationId xmlns:a16="http://schemas.microsoft.com/office/drawing/2014/main" id="{8095531D-6CD7-4623-AF9F-4C93DC398CA1}"/>
                </a:ext>
              </a:extLst>
            </xdr:cNvPr>
            <xdr:cNvSpPr txBox="1"/>
          </xdr:nvSpPr>
          <xdr:spPr>
            <a:xfrm>
              <a:off x="2600325" y="8191500"/>
              <a:ext cx="6229350" cy="362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800" b="0" i="0">
                  <a:latin typeface="Cambria Math"/>
                  <a:ea typeface="Cambria Math" pitchFamily="18" charset="0"/>
                </a:rPr>
                <a:t>Receivables</a:t>
              </a:r>
              <a:r>
                <a:rPr lang="en-US" sz="1800" b="0" i="0">
                  <a:latin typeface="Cambria Math" pitchFamily="18" charset="0"/>
                  <a:ea typeface="Cambria Math" pitchFamily="18" charset="0"/>
                </a:rPr>
                <a:t>= (</a:t>
              </a:r>
              <a:r>
                <a:rPr lang="en-US" sz="1800" b="0" i="0">
                  <a:latin typeface="Cambria Math"/>
                  <a:ea typeface="Cambria Math" pitchFamily="18" charset="0"/>
                </a:rPr>
                <a:t>𝐴𝐷𝑆</a:t>
              </a:r>
              <a:r>
                <a:rPr lang="en-US" sz="1800" b="0" i="0">
                  <a:latin typeface="Cambria Math" panose="02040503050406030204" pitchFamily="18" charset="0"/>
                  <a:ea typeface="Cambria Math" pitchFamily="18" charset="0"/>
                </a:rPr>
                <a:t>)(</a:t>
              </a:r>
              <a:r>
                <a:rPr lang="en-US" sz="1800" b="0" i="0">
                  <a:solidFill>
                    <a:schemeClr val="tx1"/>
                  </a:solidFill>
                  <a:effectLst/>
                  <a:latin typeface="Cambria Math" panose="02040503050406030204" pitchFamily="18" charset="0"/>
                  <a:ea typeface="+mn-ea"/>
                  <a:cs typeface="+mn-cs"/>
                </a:rPr>
                <a:t>DSO</a:t>
              </a:r>
              <a:r>
                <a:rPr lang="ru-RU" sz="1800" b="0" i="0">
                  <a:solidFill>
                    <a:schemeClr val="tx1"/>
                  </a:solidFill>
                  <a:effectLst/>
                  <a:latin typeface="Cambria Math" panose="02040503050406030204" pitchFamily="18" charset="0"/>
                  <a:ea typeface="+mn-ea"/>
                  <a:cs typeface="+mn-cs"/>
                </a:rPr>
                <a:t>"</a:t>
              </a:r>
              <a:r>
                <a:rPr lang="ru-RU" sz="1800" i="0">
                  <a:effectLst/>
                </a:rPr>
                <a:t> </a:t>
              </a:r>
              <a:r>
                <a:rPr lang="ru-RU" sz="1800" i="0">
                  <a:effectLst/>
                  <a:latin typeface="Cambria Math" panose="02040503050406030204" pitchFamily="18" charset="0"/>
                </a:rPr>
                <a:t>" )</a:t>
              </a:r>
              <a:endParaRPr lang="ru-RU" sz="1800" i="0">
                <a:latin typeface="Cambria Math" pitchFamily="18" charset="0"/>
                <a:ea typeface="Cambria Math" pitchFamily="18" charset="0"/>
              </a:endParaRPr>
            </a:p>
          </xdr:txBody>
        </xdr:sp>
      </mc:Fallback>
    </mc:AlternateContent>
    <xdr:clientData/>
  </xdr:oneCellAnchor>
  <xdr:oneCellAnchor>
    <xdr:from>
      <xdr:col>2</xdr:col>
      <xdr:colOff>95250</xdr:colOff>
      <xdr:row>63</xdr:row>
      <xdr:rowOff>57150</xdr:rowOff>
    </xdr:from>
    <xdr:ext cx="7200900" cy="36227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3B3E1F1-B510-49FF-A3A7-94FF787F76BC}"/>
                </a:ext>
              </a:extLst>
            </xdr:cNvPr>
            <xdr:cNvSpPr txBox="1"/>
          </xdr:nvSpPr>
          <xdr:spPr>
            <a:xfrm>
              <a:off x="3105150" y="16887825"/>
              <a:ext cx="7200900" cy="362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b="0" i="1">
                            <a:latin typeface="Cambria Math" panose="02040503050406030204" pitchFamily="18" charset="0"/>
                            <a:ea typeface="Cambria Math" pitchFamily="18" charset="0"/>
                          </a:rPr>
                        </m:ctrlPr>
                      </m:sSubPr>
                      <m:e>
                        <m:r>
                          <a:rPr lang="en-US" sz="1600" b="0" i="1">
                            <a:latin typeface="Cambria Math"/>
                            <a:ea typeface="Cambria Math" pitchFamily="18" charset="0"/>
                          </a:rPr>
                          <m:t>𝐴𝑐𝑐𝑜𝑢𝑛𝑡𝑠</m:t>
                        </m:r>
                        <m:r>
                          <a:rPr lang="en-US" sz="1600" b="0" i="1">
                            <a:latin typeface="Cambria Math"/>
                            <a:ea typeface="Cambria Math" pitchFamily="18" charset="0"/>
                          </a:rPr>
                          <m:t> </m:t>
                        </m:r>
                        <m:r>
                          <a:rPr lang="en-US" sz="1600" b="0" i="1">
                            <a:latin typeface="Cambria Math"/>
                            <a:ea typeface="Cambria Math" pitchFamily="18" charset="0"/>
                          </a:rPr>
                          <m:t>𝑝𝑎𝑦𝑎𝑏𝑙𝑒𝑠</m:t>
                        </m:r>
                      </m:e>
                      <m:sub>
                        <m:r>
                          <a:rPr lang="en-US" sz="1600" b="0" i="1">
                            <a:latin typeface="Cambria Math"/>
                            <a:ea typeface="Cambria Math" pitchFamily="18" charset="0"/>
                          </a:rPr>
                          <m:t>(</m:t>
                        </m:r>
                        <m:r>
                          <a:rPr lang="en-US" sz="1600" b="0" i="1">
                            <a:latin typeface="Cambria Math"/>
                            <a:ea typeface="Cambria Math" pitchFamily="18" charset="0"/>
                          </a:rPr>
                          <m:t>𝑇𝑎𝑘𝑒</m:t>
                        </m:r>
                        <m:r>
                          <a:rPr lang="en-US" sz="1600" b="0" i="1">
                            <a:latin typeface="Cambria Math"/>
                            <a:ea typeface="Cambria Math" pitchFamily="18" charset="0"/>
                          </a:rPr>
                          <m:t> </m:t>
                        </m:r>
                        <m:r>
                          <a:rPr lang="en-US" sz="1600" b="0" i="1">
                            <a:latin typeface="Cambria Math"/>
                            <a:ea typeface="Cambria Math" pitchFamily="18" charset="0"/>
                          </a:rPr>
                          <m:t>𝑑𝑖𝑠𝑐𝑜𝑢𝑛𝑡𝑠</m:t>
                        </m:r>
                        <m:r>
                          <a:rPr lang="en-US" sz="1600" b="0" i="1">
                            <a:latin typeface="Cambria Math"/>
                            <a:ea typeface="Cambria Math" pitchFamily="18" charset="0"/>
                          </a:rPr>
                          <m:t>)</m:t>
                        </m:r>
                      </m:sub>
                    </m:sSub>
                    <m:r>
                      <a:rPr lang="en-US" sz="1600" b="0" i="0">
                        <a:latin typeface="Cambria Math" pitchFamily="18" charset="0"/>
                        <a:ea typeface="Cambria Math" pitchFamily="18" charset="0"/>
                      </a:rPr>
                      <m:t>= </m:t>
                    </m:r>
                    <m:d>
                      <m:dPr>
                        <m:ctrlPr>
                          <a:rPr lang="en-US" sz="1600" b="0" i="1">
                            <a:latin typeface="Cambria Math" panose="02040503050406030204" pitchFamily="18" charset="0"/>
                            <a:ea typeface="Cambria Math" pitchFamily="18" charset="0"/>
                          </a:rPr>
                        </m:ctrlPr>
                      </m:dPr>
                      <m:e>
                        <m:r>
                          <a:rPr lang="en-US" sz="1600" b="0" i="1">
                            <a:latin typeface="Cambria Math"/>
                            <a:ea typeface="Cambria Math" pitchFamily="18" charset="0"/>
                          </a:rPr>
                          <m:t>10 </m:t>
                        </m:r>
                        <m:r>
                          <a:rPr lang="en-US" sz="1600" b="0" i="1">
                            <a:latin typeface="Cambria Math"/>
                            <a:ea typeface="Cambria Math" pitchFamily="18" charset="0"/>
                          </a:rPr>
                          <m:t>𝑑𝑎𝑦𝑠</m:t>
                        </m:r>
                      </m:e>
                    </m:d>
                    <m:d>
                      <m:dPr>
                        <m:ctrlPr>
                          <a:rPr lang="en-US" sz="1600" b="0" i="1">
                            <a:latin typeface="Cambria Math" panose="02040503050406030204" pitchFamily="18" charset="0"/>
                            <a:ea typeface="Cambria Math" pitchFamily="18" charset="0"/>
                          </a:rPr>
                        </m:ctrlPr>
                      </m:dPr>
                      <m:e>
                        <m:r>
                          <m:rPr>
                            <m:nor/>
                          </m:rPr>
                          <a:rPr lang="en-US" sz="1600" b="0" i="0">
                            <a:latin typeface="Cambria Math"/>
                            <a:ea typeface="Cambria Math" pitchFamily="18" charset="0"/>
                          </a:rPr>
                          <m:t>20 </m:t>
                        </m:r>
                        <m:r>
                          <m:rPr>
                            <m:nor/>
                          </m:rPr>
                          <a:rPr lang="en-US" sz="1600" b="0" i="0">
                            <a:latin typeface="Cambria Math"/>
                            <a:ea typeface="Cambria Math" pitchFamily="18" charset="0"/>
                          </a:rPr>
                          <m:t>chips</m:t>
                        </m:r>
                        <m:r>
                          <m:rPr>
                            <m:nor/>
                          </m:rPr>
                          <a:rPr lang="ru-RU" sz="1600">
                            <a:effectLst/>
                          </a:rPr>
                          <m:t> </m:t>
                        </m:r>
                      </m:e>
                    </m:d>
                    <m:d>
                      <m:dPr>
                        <m:ctrlPr>
                          <a:rPr lang="en-US" sz="1600" b="0" i="1">
                            <a:solidFill>
                              <a:schemeClr val="tx1"/>
                            </a:solidFill>
                            <a:effectLst/>
                            <a:latin typeface="Cambria Math" panose="02040503050406030204" pitchFamily="18" charset="0"/>
                            <a:ea typeface="+mn-ea"/>
                            <a:cs typeface="+mn-cs"/>
                          </a:rPr>
                        </m:ctrlPr>
                      </m:dPr>
                      <m:e>
                        <m:r>
                          <a:rPr lang="en-US" sz="1600" b="0" i="1">
                            <a:solidFill>
                              <a:schemeClr val="tx1"/>
                            </a:solidFill>
                            <a:effectLst/>
                            <a:latin typeface="Cambria Math"/>
                            <a:ea typeface="+mn-ea"/>
                            <a:cs typeface="+mn-cs"/>
                          </a:rPr>
                          <m:t>$98</m:t>
                        </m:r>
                        <m:r>
                          <a:rPr lang="en-US" sz="1600" b="0" i="1">
                            <a:solidFill>
                              <a:schemeClr val="tx1"/>
                            </a:solidFill>
                            <a:effectLst/>
                            <a:latin typeface="Cambria Math" panose="02040503050406030204" pitchFamily="18" charset="0"/>
                            <a:ea typeface="+mn-ea"/>
                            <a:cs typeface="+mn-cs"/>
                          </a:rPr>
                          <m:t> </m:t>
                        </m:r>
                        <m:r>
                          <a:rPr lang="en-US" sz="1600" b="0" i="1">
                            <a:solidFill>
                              <a:schemeClr val="tx1"/>
                            </a:solidFill>
                            <a:effectLst/>
                            <a:latin typeface="Cambria Math"/>
                            <a:ea typeface="+mn-ea"/>
                            <a:cs typeface="+mn-cs"/>
                          </a:rPr>
                          <m:t>𝑝𝑒𝑟</m:t>
                        </m:r>
                        <m:r>
                          <a:rPr lang="en-US" sz="1600" b="0" i="1">
                            <a:solidFill>
                              <a:schemeClr val="tx1"/>
                            </a:solidFill>
                            <a:effectLst/>
                            <a:latin typeface="Cambria Math"/>
                            <a:ea typeface="+mn-ea"/>
                            <a:cs typeface="+mn-cs"/>
                          </a:rPr>
                          <m:t> </m:t>
                        </m:r>
                        <m:r>
                          <a:rPr lang="en-US" sz="1600" b="0" i="1">
                            <a:solidFill>
                              <a:schemeClr val="tx1"/>
                            </a:solidFill>
                            <a:effectLst/>
                            <a:latin typeface="Cambria Math"/>
                            <a:ea typeface="+mn-ea"/>
                            <a:cs typeface="+mn-cs"/>
                          </a:rPr>
                          <m:t>𝑐h𝑖𝑝</m:t>
                        </m:r>
                      </m:e>
                    </m:d>
                  </m:oMath>
                </m:oMathPara>
              </a14:m>
              <a:endParaRPr lang="ru-RU" sz="1600" i="0">
                <a:latin typeface="Cambria Math" pitchFamily="18" charset="0"/>
                <a:ea typeface="Cambria Math" pitchFamily="18" charset="0"/>
              </a:endParaRPr>
            </a:p>
          </xdr:txBody>
        </xdr:sp>
      </mc:Choice>
      <mc:Fallback xmlns="">
        <xdr:sp macro="" textlink="">
          <xdr:nvSpPr>
            <xdr:cNvPr id="5" name="TextBox 4">
              <a:extLst>
                <a:ext uri="{FF2B5EF4-FFF2-40B4-BE49-F238E27FC236}">
                  <a16:creationId xmlns:a16="http://schemas.microsoft.com/office/drawing/2014/main" id="{93B3E1F1-B510-49FF-A3A7-94FF787F76BC}"/>
                </a:ext>
              </a:extLst>
            </xdr:cNvPr>
            <xdr:cNvSpPr txBox="1"/>
          </xdr:nvSpPr>
          <xdr:spPr>
            <a:xfrm>
              <a:off x="3105150" y="16887825"/>
              <a:ext cx="7200900" cy="362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600" b="0" i="0">
                  <a:latin typeface="Cambria Math" panose="02040503050406030204" pitchFamily="18" charset="0"/>
                  <a:ea typeface="Cambria Math" pitchFamily="18" charset="0"/>
                </a:rPr>
                <a:t>〖</a:t>
              </a:r>
              <a:r>
                <a:rPr lang="en-US" sz="1600" b="0" i="0">
                  <a:latin typeface="Cambria Math"/>
                  <a:ea typeface="Cambria Math" pitchFamily="18" charset="0"/>
                </a:rPr>
                <a:t>𝐴𝑐𝑐𝑜𝑢𝑛𝑡𝑠 𝑝𝑎𝑦𝑎𝑏𝑙𝑒𝑠</a:t>
              </a:r>
              <a:r>
                <a:rPr lang="en-US" sz="1600" b="0" i="0">
                  <a:latin typeface="Cambria Math" panose="02040503050406030204" pitchFamily="18" charset="0"/>
                  <a:ea typeface="Cambria Math" pitchFamily="18" charset="0"/>
                </a:rPr>
                <a:t>〗_(</a:t>
              </a:r>
              <a:r>
                <a:rPr lang="en-US" sz="1600" b="0" i="0">
                  <a:latin typeface="Cambria Math"/>
                  <a:ea typeface="Cambria Math" pitchFamily="18" charset="0"/>
                </a:rPr>
                <a:t>(𝑇𝑎𝑘𝑒 𝑑𝑖𝑠𝑐𝑜𝑢𝑛𝑡𝑠)</a:t>
              </a:r>
              <a:r>
                <a:rPr lang="en-US" sz="1600" b="0" i="0">
                  <a:latin typeface="Cambria Math" panose="02040503050406030204" pitchFamily="18" charset="0"/>
                  <a:ea typeface="Cambria Math" pitchFamily="18" charset="0"/>
                </a:rPr>
                <a:t>)= (</a:t>
              </a:r>
              <a:r>
                <a:rPr lang="en-US" sz="1600" b="0" i="0">
                  <a:latin typeface="Cambria Math"/>
                  <a:ea typeface="Cambria Math" pitchFamily="18" charset="0"/>
                </a:rPr>
                <a:t>10 𝑑𝑎𝑦𝑠</a:t>
              </a:r>
              <a:r>
                <a:rPr lang="en-US" sz="1600" b="0" i="0">
                  <a:latin typeface="Cambria Math" panose="02040503050406030204" pitchFamily="18" charset="0"/>
                  <a:ea typeface="Cambria Math" pitchFamily="18" charset="0"/>
                </a:rPr>
                <a:t>)(</a:t>
              </a:r>
              <a:r>
                <a:rPr lang="en-US" sz="1600" b="0" i="0">
                  <a:latin typeface="Cambria Math"/>
                  <a:ea typeface="Cambria Math" pitchFamily="18" charset="0"/>
                </a:rPr>
                <a:t>"20 chips</a:t>
              </a:r>
              <a:r>
                <a:rPr lang="ru-RU" sz="1600" i="0">
                  <a:effectLst/>
                </a:rPr>
                <a:t> </a:t>
              </a:r>
              <a:r>
                <a:rPr lang="ru-RU" sz="1600" i="0">
                  <a:effectLst/>
                  <a:latin typeface="Cambria Math" panose="02040503050406030204" pitchFamily="18" charset="0"/>
                </a:rPr>
                <a:t>" )</a:t>
              </a:r>
              <a:r>
                <a:rPr lang="en-US" sz="1600" b="0" i="0">
                  <a:solidFill>
                    <a:schemeClr val="tx1"/>
                  </a:solidFill>
                  <a:effectLst/>
                  <a:latin typeface="Cambria Math" panose="02040503050406030204" pitchFamily="18" charset="0"/>
                  <a:ea typeface="+mn-ea"/>
                  <a:cs typeface="+mn-cs"/>
                </a:rPr>
                <a:t>(</a:t>
              </a:r>
              <a:r>
                <a:rPr lang="en-US" sz="1600" b="0" i="0">
                  <a:solidFill>
                    <a:schemeClr val="tx1"/>
                  </a:solidFill>
                  <a:effectLst/>
                  <a:latin typeface="Cambria Math"/>
                  <a:ea typeface="+mn-ea"/>
                  <a:cs typeface="+mn-cs"/>
                </a:rPr>
                <a:t>$98</a:t>
              </a:r>
              <a:r>
                <a:rPr lang="en-US" sz="1600" b="0" i="0">
                  <a:solidFill>
                    <a:schemeClr val="tx1"/>
                  </a:solidFill>
                  <a:effectLst/>
                  <a:latin typeface="Cambria Math" panose="02040503050406030204" pitchFamily="18" charset="0"/>
                  <a:ea typeface="+mn-ea"/>
                  <a:cs typeface="+mn-cs"/>
                </a:rPr>
                <a:t> </a:t>
              </a:r>
              <a:r>
                <a:rPr lang="en-US" sz="1600" b="0" i="0">
                  <a:solidFill>
                    <a:schemeClr val="tx1"/>
                  </a:solidFill>
                  <a:effectLst/>
                  <a:latin typeface="Cambria Math"/>
                  <a:ea typeface="+mn-ea"/>
                  <a:cs typeface="+mn-cs"/>
                </a:rPr>
                <a:t>𝑝𝑒𝑟 𝑐ℎ𝑖𝑝</a:t>
              </a:r>
              <a:r>
                <a:rPr lang="en-US" sz="1600" b="0" i="0">
                  <a:solidFill>
                    <a:schemeClr val="tx1"/>
                  </a:solidFill>
                  <a:effectLst/>
                  <a:latin typeface="Cambria Math" panose="02040503050406030204" pitchFamily="18" charset="0"/>
                  <a:ea typeface="+mn-ea"/>
                  <a:cs typeface="+mn-cs"/>
                </a:rPr>
                <a:t>)</a:t>
              </a:r>
              <a:endParaRPr lang="ru-RU" sz="1600" i="0">
                <a:latin typeface="Cambria Math" pitchFamily="18" charset="0"/>
                <a:ea typeface="Cambria Math" pitchFamily="18" charset="0"/>
              </a:endParaRPr>
            </a:p>
          </xdr:txBody>
        </xdr:sp>
      </mc:Fallback>
    </mc:AlternateContent>
    <xdr:clientData/>
  </xdr:oneCellAnchor>
  <xdr:oneCellAnchor>
    <xdr:from>
      <xdr:col>2</xdr:col>
      <xdr:colOff>1257300</xdr:colOff>
      <xdr:row>83</xdr:row>
      <xdr:rowOff>209550</xdr:rowOff>
    </xdr:from>
    <xdr:ext cx="6229350" cy="60285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0CF3D11-34DB-46AF-A1B1-FFEEC99AFE02}"/>
                </a:ext>
              </a:extLst>
            </xdr:cNvPr>
            <xdr:cNvSpPr txBox="1"/>
          </xdr:nvSpPr>
          <xdr:spPr>
            <a:xfrm>
              <a:off x="1828800" y="16002000"/>
              <a:ext cx="6229350" cy="6028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b="0" i="1">
                            <a:latin typeface="Cambria Math" panose="02040503050406030204" pitchFamily="18" charset="0"/>
                            <a:ea typeface="Cambria Math" pitchFamily="18" charset="0"/>
                          </a:rPr>
                        </m:ctrlPr>
                      </m:sSubPr>
                      <m:e>
                        <m:r>
                          <a:rPr lang="en-US" sz="1600" b="0" i="1">
                            <a:latin typeface="Cambria Math"/>
                            <a:ea typeface="Cambria Math" pitchFamily="18" charset="0"/>
                          </a:rPr>
                          <m:t>𝐴𝑐𝑐𝑜𝑢𝑛𝑡𝑠</m:t>
                        </m:r>
                        <m:r>
                          <a:rPr lang="en-US" sz="1600" b="0" i="1">
                            <a:latin typeface="Cambria Math"/>
                            <a:ea typeface="Cambria Math" pitchFamily="18" charset="0"/>
                          </a:rPr>
                          <m:t> </m:t>
                        </m:r>
                        <m:r>
                          <a:rPr lang="en-US" sz="1600" b="0" i="1">
                            <a:latin typeface="Cambria Math"/>
                            <a:ea typeface="Cambria Math" pitchFamily="18" charset="0"/>
                          </a:rPr>
                          <m:t>𝑝𝑎𝑦𝑎𝑏𝑙𝑒𝑠</m:t>
                        </m:r>
                      </m:e>
                      <m:sub>
                        <m:r>
                          <a:rPr lang="en-US" sz="1600" b="0" i="1">
                            <a:latin typeface="Cambria Math"/>
                            <a:ea typeface="Cambria Math" pitchFamily="18" charset="0"/>
                          </a:rPr>
                          <m:t>(</m:t>
                        </m:r>
                        <m:r>
                          <a:rPr lang="en-US" sz="1600" b="0" i="1">
                            <a:latin typeface="Cambria Math"/>
                            <a:ea typeface="Cambria Math" pitchFamily="18" charset="0"/>
                          </a:rPr>
                          <m:t>𝑛𝑜</m:t>
                        </m:r>
                        <m:r>
                          <a:rPr lang="en-US" sz="1600" b="0" i="1">
                            <a:latin typeface="Cambria Math"/>
                            <a:ea typeface="Cambria Math" pitchFamily="18" charset="0"/>
                          </a:rPr>
                          <m:t> </m:t>
                        </m:r>
                        <m:r>
                          <a:rPr lang="en-US" sz="1600" b="0" i="1">
                            <a:latin typeface="Cambria Math"/>
                            <a:ea typeface="Cambria Math" pitchFamily="18" charset="0"/>
                          </a:rPr>
                          <m:t>𝑑𝑖𝑠𝑐𝑜𝑢𝑛𝑡</m:t>
                        </m:r>
                        <m:r>
                          <a:rPr lang="en-US" sz="1600" b="0" i="1">
                            <a:latin typeface="Cambria Math"/>
                            <a:ea typeface="Cambria Math" pitchFamily="18" charset="0"/>
                          </a:rPr>
                          <m:t>)</m:t>
                        </m:r>
                      </m:sub>
                    </m:sSub>
                    <m:r>
                      <a:rPr lang="en-US" sz="1600" b="0" i="0">
                        <a:latin typeface="Cambria Math" pitchFamily="18" charset="0"/>
                        <a:ea typeface="Cambria Math" pitchFamily="18" charset="0"/>
                      </a:rPr>
                      <m:t>= </m:t>
                    </m:r>
                    <m:d>
                      <m:dPr>
                        <m:ctrlPr>
                          <a:rPr lang="en-US" sz="1600" b="0" i="1">
                            <a:latin typeface="Cambria Math" panose="02040503050406030204" pitchFamily="18" charset="0"/>
                            <a:ea typeface="Cambria Math" pitchFamily="18" charset="0"/>
                          </a:rPr>
                        </m:ctrlPr>
                      </m:dPr>
                      <m:e>
                        <m:r>
                          <a:rPr lang="en-US" sz="1600" b="0" i="1">
                            <a:latin typeface="Cambria Math"/>
                            <a:ea typeface="Cambria Math" pitchFamily="18" charset="0"/>
                          </a:rPr>
                          <m:t>30 </m:t>
                        </m:r>
                        <m:r>
                          <a:rPr lang="en-US" sz="1600" b="0" i="1">
                            <a:latin typeface="Cambria Math"/>
                            <a:ea typeface="Cambria Math" pitchFamily="18" charset="0"/>
                          </a:rPr>
                          <m:t>𝑑𝑎𝑦𝑠</m:t>
                        </m:r>
                      </m:e>
                    </m:d>
                    <m:d>
                      <m:dPr>
                        <m:ctrlPr>
                          <a:rPr lang="en-US" sz="1600" b="0" i="1">
                            <a:latin typeface="Cambria Math" panose="02040503050406030204" pitchFamily="18" charset="0"/>
                            <a:ea typeface="Cambria Math" pitchFamily="18" charset="0"/>
                          </a:rPr>
                        </m:ctrlPr>
                      </m:dPr>
                      <m:e>
                        <m:r>
                          <m:rPr>
                            <m:nor/>
                          </m:rPr>
                          <a:rPr lang="en-US" sz="1600" b="0" i="0">
                            <a:latin typeface="Cambria Math"/>
                            <a:ea typeface="Cambria Math" pitchFamily="18" charset="0"/>
                          </a:rPr>
                          <m:t>20 </m:t>
                        </m:r>
                        <m:r>
                          <m:rPr>
                            <m:nor/>
                          </m:rPr>
                          <a:rPr lang="en-US" sz="1600" b="0" i="0">
                            <a:latin typeface="Cambria Math"/>
                            <a:ea typeface="Cambria Math" pitchFamily="18" charset="0"/>
                          </a:rPr>
                          <m:t>chips</m:t>
                        </m:r>
                        <m:r>
                          <m:rPr>
                            <m:nor/>
                          </m:rPr>
                          <a:rPr lang="ru-RU" sz="1600">
                            <a:effectLst/>
                          </a:rPr>
                          <m:t> </m:t>
                        </m:r>
                      </m:e>
                    </m:d>
                    <m:d>
                      <m:dPr>
                        <m:ctrlPr>
                          <a:rPr lang="en-US" sz="1600" b="0" i="1">
                            <a:solidFill>
                              <a:schemeClr val="tx1"/>
                            </a:solidFill>
                            <a:effectLst/>
                            <a:latin typeface="Cambria Math" panose="02040503050406030204" pitchFamily="18" charset="0"/>
                            <a:ea typeface="+mn-ea"/>
                            <a:cs typeface="+mn-cs"/>
                          </a:rPr>
                        </m:ctrlPr>
                      </m:dPr>
                      <m:e>
                        <m:r>
                          <a:rPr lang="en-US" sz="1600" b="0" i="1">
                            <a:solidFill>
                              <a:schemeClr val="tx1"/>
                            </a:solidFill>
                            <a:effectLst/>
                            <a:latin typeface="Cambria Math"/>
                            <a:ea typeface="+mn-ea"/>
                            <a:cs typeface="+mn-cs"/>
                          </a:rPr>
                          <m:t>$100</m:t>
                        </m:r>
                        <m:r>
                          <a:rPr lang="en-US" sz="1600" b="0" i="1">
                            <a:solidFill>
                              <a:schemeClr val="tx1"/>
                            </a:solidFill>
                            <a:effectLst/>
                            <a:latin typeface="Cambria Math" panose="02040503050406030204" pitchFamily="18" charset="0"/>
                            <a:ea typeface="+mn-ea"/>
                            <a:cs typeface="+mn-cs"/>
                          </a:rPr>
                          <m:t> </m:t>
                        </m:r>
                        <m:r>
                          <a:rPr lang="en-US" sz="1600" b="0" i="1">
                            <a:solidFill>
                              <a:schemeClr val="tx1"/>
                            </a:solidFill>
                            <a:effectLst/>
                            <a:latin typeface="Cambria Math"/>
                            <a:ea typeface="+mn-ea"/>
                            <a:cs typeface="+mn-cs"/>
                          </a:rPr>
                          <m:t>𝑝𝑒𝑟</m:t>
                        </m:r>
                        <m:r>
                          <a:rPr lang="en-US" sz="1600" b="0" i="1">
                            <a:solidFill>
                              <a:schemeClr val="tx1"/>
                            </a:solidFill>
                            <a:effectLst/>
                            <a:latin typeface="Cambria Math"/>
                            <a:ea typeface="+mn-ea"/>
                            <a:cs typeface="+mn-cs"/>
                          </a:rPr>
                          <m:t> </m:t>
                        </m:r>
                        <m:r>
                          <a:rPr lang="en-US" sz="1600" b="0" i="1">
                            <a:solidFill>
                              <a:schemeClr val="tx1"/>
                            </a:solidFill>
                            <a:effectLst/>
                            <a:latin typeface="Cambria Math"/>
                            <a:ea typeface="+mn-ea"/>
                            <a:cs typeface="+mn-cs"/>
                          </a:rPr>
                          <m:t>𝑐h𝑖𝑝</m:t>
                        </m:r>
                      </m:e>
                    </m:d>
                  </m:oMath>
                </m:oMathPara>
              </a14:m>
              <a:endParaRPr lang="ru-RU" sz="1600" i="0">
                <a:latin typeface="Cambria Math" pitchFamily="18" charset="0"/>
                <a:ea typeface="Cambria Math" pitchFamily="18" charset="0"/>
              </a:endParaRPr>
            </a:p>
          </xdr:txBody>
        </xdr:sp>
      </mc:Choice>
      <mc:Fallback xmlns="">
        <xdr:sp macro="" textlink="">
          <xdr:nvSpPr>
            <xdr:cNvPr id="6" name="TextBox 5">
              <a:extLst>
                <a:ext uri="{FF2B5EF4-FFF2-40B4-BE49-F238E27FC236}">
                  <a16:creationId xmlns:a16="http://schemas.microsoft.com/office/drawing/2014/main" id="{C0CF3D11-34DB-46AF-A1B1-FFEEC99AFE02}"/>
                </a:ext>
              </a:extLst>
            </xdr:cNvPr>
            <xdr:cNvSpPr txBox="1"/>
          </xdr:nvSpPr>
          <xdr:spPr>
            <a:xfrm>
              <a:off x="1828800" y="16002000"/>
              <a:ext cx="6229350" cy="6028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600" b="0" i="0">
                  <a:latin typeface="Cambria Math" panose="02040503050406030204" pitchFamily="18" charset="0"/>
                  <a:ea typeface="Cambria Math" pitchFamily="18" charset="0"/>
                </a:rPr>
                <a:t>〖</a:t>
              </a:r>
              <a:r>
                <a:rPr lang="en-US" sz="1600" b="0" i="0">
                  <a:latin typeface="Cambria Math"/>
                  <a:ea typeface="Cambria Math" pitchFamily="18" charset="0"/>
                </a:rPr>
                <a:t>𝐴𝑐𝑐𝑜𝑢𝑛𝑡𝑠 𝑝𝑎𝑦𝑎𝑏𝑙𝑒𝑠</a:t>
              </a:r>
              <a:r>
                <a:rPr lang="en-US" sz="1600" b="0" i="0">
                  <a:latin typeface="Cambria Math" panose="02040503050406030204" pitchFamily="18" charset="0"/>
                  <a:ea typeface="Cambria Math" pitchFamily="18" charset="0"/>
                </a:rPr>
                <a:t>〗_(</a:t>
              </a:r>
              <a:r>
                <a:rPr lang="en-US" sz="1600" b="0" i="0">
                  <a:latin typeface="Cambria Math"/>
                  <a:ea typeface="Cambria Math" pitchFamily="18" charset="0"/>
                </a:rPr>
                <a:t>(𝑛𝑜 𝑑𝑖𝑠𝑐𝑜𝑢𝑛𝑡)</a:t>
              </a:r>
              <a:r>
                <a:rPr lang="en-US" sz="1600" b="0" i="0">
                  <a:latin typeface="Cambria Math" panose="02040503050406030204" pitchFamily="18" charset="0"/>
                  <a:ea typeface="Cambria Math" pitchFamily="18" charset="0"/>
                </a:rPr>
                <a:t>)= (</a:t>
              </a:r>
              <a:r>
                <a:rPr lang="en-US" sz="1600" b="0" i="0">
                  <a:latin typeface="Cambria Math"/>
                  <a:ea typeface="Cambria Math" pitchFamily="18" charset="0"/>
                </a:rPr>
                <a:t>30 𝑑𝑎𝑦𝑠</a:t>
              </a:r>
              <a:r>
                <a:rPr lang="en-US" sz="1600" b="0" i="0">
                  <a:latin typeface="Cambria Math" panose="02040503050406030204" pitchFamily="18" charset="0"/>
                  <a:ea typeface="Cambria Math" pitchFamily="18" charset="0"/>
                </a:rPr>
                <a:t>)(</a:t>
              </a:r>
              <a:r>
                <a:rPr lang="en-US" sz="1600" b="0" i="0">
                  <a:latin typeface="Cambria Math"/>
                  <a:ea typeface="Cambria Math" pitchFamily="18" charset="0"/>
                </a:rPr>
                <a:t>"20 chips</a:t>
              </a:r>
              <a:r>
                <a:rPr lang="ru-RU" sz="1600" i="0">
                  <a:effectLst/>
                </a:rPr>
                <a:t> </a:t>
              </a:r>
              <a:r>
                <a:rPr lang="ru-RU" sz="1600" i="0">
                  <a:effectLst/>
                  <a:latin typeface="Cambria Math" panose="02040503050406030204" pitchFamily="18" charset="0"/>
                </a:rPr>
                <a:t>" )</a:t>
              </a:r>
              <a:r>
                <a:rPr lang="en-US" sz="1600" b="0" i="0">
                  <a:solidFill>
                    <a:schemeClr val="tx1"/>
                  </a:solidFill>
                  <a:effectLst/>
                  <a:latin typeface="Cambria Math" panose="02040503050406030204" pitchFamily="18" charset="0"/>
                  <a:ea typeface="+mn-ea"/>
                  <a:cs typeface="+mn-cs"/>
                </a:rPr>
                <a:t>(</a:t>
              </a:r>
              <a:r>
                <a:rPr lang="en-US" sz="1600" b="0" i="0">
                  <a:solidFill>
                    <a:schemeClr val="tx1"/>
                  </a:solidFill>
                  <a:effectLst/>
                  <a:latin typeface="Cambria Math"/>
                  <a:ea typeface="+mn-ea"/>
                  <a:cs typeface="+mn-cs"/>
                </a:rPr>
                <a:t>$100</a:t>
              </a:r>
              <a:r>
                <a:rPr lang="en-US" sz="1600" b="0" i="0">
                  <a:solidFill>
                    <a:schemeClr val="tx1"/>
                  </a:solidFill>
                  <a:effectLst/>
                  <a:latin typeface="Cambria Math" panose="02040503050406030204" pitchFamily="18" charset="0"/>
                  <a:ea typeface="+mn-ea"/>
                  <a:cs typeface="+mn-cs"/>
                </a:rPr>
                <a:t> </a:t>
              </a:r>
              <a:r>
                <a:rPr lang="en-US" sz="1600" b="0" i="0">
                  <a:solidFill>
                    <a:schemeClr val="tx1"/>
                  </a:solidFill>
                  <a:effectLst/>
                  <a:latin typeface="Cambria Math"/>
                  <a:ea typeface="+mn-ea"/>
                  <a:cs typeface="+mn-cs"/>
                </a:rPr>
                <a:t>𝑝𝑒𝑟 𝑐ℎ𝑖𝑝</a:t>
              </a:r>
              <a:r>
                <a:rPr lang="en-US" sz="1600" b="0" i="0">
                  <a:solidFill>
                    <a:schemeClr val="tx1"/>
                  </a:solidFill>
                  <a:effectLst/>
                  <a:latin typeface="Cambria Math" panose="02040503050406030204" pitchFamily="18" charset="0"/>
                  <a:ea typeface="+mn-ea"/>
                  <a:cs typeface="+mn-cs"/>
                </a:rPr>
                <a:t>)</a:t>
              </a:r>
              <a:endParaRPr lang="ru-RU" sz="1600" i="0">
                <a:latin typeface="Cambria Math" pitchFamily="18" charset="0"/>
                <a:ea typeface="Cambria Math" pitchFamily="18" charset="0"/>
              </a:endParaRPr>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oneCellAnchor>
    <xdr:from>
      <xdr:col>4</xdr:col>
      <xdr:colOff>171449</xdr:colOff>
      <xdr:row>24</xdr:row>
      <xdr:rowOff>142875</xdr:rowOff>
    </xdr:from>
    <xdr:ext cx="9686926" cy="84856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609849" y="4714875"/>
              <a:ext cx="9686926" cy="848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𝐼𝑛𝑣𝑒𝑛𝑡𝑜𝑟𝑦</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𝑐𝑜𝑛𝑣𝑒𝑟𝑠𝑖𝑜𝑛</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𝐼𝑛𝑣𝑒𝑛𝑡𝑜𝑟𝑦</m:t>
                        </m:r>
                      </m:num>
                      <m:den>
                        <m:r>
                          <a:rPr lang="en-US" sz="2400" i="1">
                            <a:solidFill>
                              <a:schemeClr val="tx1"/>
                            </a:solidFill>
                            <a:effectLst/>
                            <a:latin typeface="Cambria Math"/>
                            <a:ea typeface="+mn-ea"/>
                            <a:cs typeface="+mn-cs"/>
                          </a:rPr>
                          <m:t>𝐶𝑜𝑠𝑡</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𝑜𝑓</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𝑔𝑜𝑜𝑑𝑠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𝑠𝑜𝑙𝑑</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𝑑𝑎𝑦</m:t>
                        </m:r>
                      </m:den>
                    </m:f>
                  </m:oMath>
                </m:oMathPara>
              </a14:m>
              <a:endParaRPr lang="ru-RU" sz="2400">
                <a:effectLst/>
              </a:endParaRPr>
            </a:p>
          </xdr:txBody>
        </xdr:sp>
      </mc:Choice>
      <mc:Fallback xmlns="">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609849" y="4714875"/>
              <a:ext cx="9686926" cy="848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i="0">
                  <a:solidFill>
                    <a:schemeClr val="tx1"/>
                  </a:solidFill>
                  <a:effectLst/>
                  <a:latin typeface="Cambria Math"/>
                  <a:ea typeface="+mn-ea"/>
                  <a:cs typeface="+mn-cs"/>
                </a:rPr>
                <a:t>𝐼𝑛𝑣𝑒𝑛𝑡𝑜𝑟𝑦 𝑐𝑜𝑛𝑣𝑒𝑟𝑠𝑖𝑜𝑛 𝑝𝑒𝑟𝑜𝑑=𝐼𝑛𝑣𝑒𝑛𝑡𝑜𝑟𝑦</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𝐶𝑜𝑠𝑡 𝑜𝑓 𝑔𝑜𝑜𝑑𝑠 𝑠𝑜𝑙𝑑 𝑝𝑒𝑟 𝑑𝑎𝑦</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4</xdr:col>
      <xdr:colOff>361949</xdr:colOff>
      <xdr:row>30</xdr:row>
      <xdr:rowOff>219075</xdr:rowOff>
    </xdr:from>
    <xdr:ext cx="7839075" cy="84311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00349" y="5905500"/>
              <a:ext cx="7839075" cy="84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𝐴𝑣𝑒𝑟𝑎𝑔𝑒</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𝑐𝑜𝑙𝑙𝑒𝑐𝑡𝑖𝑜𝑛</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𝑝𝑒𝑟𝑖𝑜𝑑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𝑅𝑒𝑐𝑒𝑖𝑣𝑎𝑏𝑙𝑒𝑠</m:t>
                        </m:r>
                      </m:num>
                      <m:den>
                        <m:f>
                          <m:fPr>
                            <m:type m:val="lin"/>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𝑆𝑎𝑙𝑒𝑠</m:t>
                            </m:r>
                          </m:num>
                          <m:den>
                            <m:r>
                              <a:rPr lang="en-US" sz="2400" i="1">
                                <a:solidFill>
                                  <a:schemeClr val="tx1"/>
                                </a:solidFill>
                                <a:effectLst/>
                                <a:latin typeface="Cambria Math"/>
                                <a:ea typeface="+mn-ea"/>
                                <a:cs typeface="+mn-cs"/>
                              </a:rPr>
                              <m:t>365</m:t>
                            </m:r>
                          </m:den>
                        </m:f>
                      </m:den>
                    </m:f>
                  </m:oMath>
                </m:oMathPara>
              </a14:m>
              <a:endParaRPr lang="ru-RU" sz="2400">
                <a:effectLst/>
              </a:endParaRPr>
            </a:p>
          </xdr:txBody>
        </xdr:sp>
      </mc:Choice>
      <mc:Fallback xmlns="">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00349" y="5905500"/>
              <a:ext cx="7839075" cy="84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i="0">
                  <a:solidFill>
                    <a:schemeClr val="tx1"/>
                  </a:solidFill>
                  <a:effectLst/>
                  <a:latin typeface="Cambria Math"/>
                  <a:ea typeface="+mn-ea"/>
                  <a:cs typeface="+mn-cs"/>
                </a:rPr>
                <a:t>𝐴𝑣𝑒𝑟𝑎𝑔𝑒 𝑐𝑜𝑙𝑙𝑒𝑐𝑡𝑖𝑜𝑛 𝑝𝑒𝑟𝑖𝑜𝑑=𝑅𝑒𝑐𝑒𝑖𝑣𝑎𝑏𝑙𝑒𝑠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𝑆𝑎𝑙𝑒𝑠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365</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4</xdr:col>
      <xdr:colOff>38099</xdr:colOff>
      <xdr:row>35</xdr:row>
      <xdr:rowOff>228600</xdr:rowOff>
    </xdr:from>
    <xdr:ext cx="9686926" cy="162275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76499" y="6858000"/>
              <a:ext cx="9686926" cy="1622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𝑃𝑎𝑦𝑎𝑏𝑙𝑒𝑠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𝑑𝑒𝑓𝑒𝑟𝑟𝑎𝑙</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𝑃𝑎𝑦𝑎𝑏𝑙𝑒𝑠</m:t>
                        </m:r>
                      </m:num>
                      <m:den>
                        <m:r>
                          <a:rPr lang="en-US" sz="2400" i="1">
                            <a:solidFill>
                              <a:schemeClr val="tx1"/>
                            </a:solidFill>
                            <a:effectLst/>
                            <a:latin typeface="Cambria Math"/>
                            <a:ea typeface="+mn-ea"/>
                            <a:cs typeface="+mn-cs"/>
                          </a:rPr>
                          <m:t>𝑃𝑢𝑟𝑐h𝑎𝑠𝑒𝑠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𝑑𝑎𝑦</m:t>
                        </m:r>
                      </m:den>
                    </m:f>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𝑃𝑎𝑦𝑎𝑏𝑙𝑒𝑠</m:t>
                        </m:r>
                      </m:num>
                      <m:den>
                        <m:f>
                          <m:fPr>
                            <m:type m:val="lin"/>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𝐶𝑜𝑠𝑡</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𝑜𝑓</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𝑔𝑜𝑜𝑑𝑠</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𝑠𝑜𝑙𝑑</m:t>
                            </m:r>
                          </m:num>
                          <m:den>
                            <m:r>
                              <a:rPr lang="en-US" sz="2400" i="1">
                                <a:solidFill>
                                  <a:schemeClr val="tx1"/>
                                </a:solidFill>
                                <a:effectLst/>
                                <a:latin typeface="Cambria Math"/>
                                <a:ea typeface="+mn-ea"/>
                                <a:cs typeface="+mn-cs"/>
                              </a:rPr>
                              <m:t>365</m:t>
                            </m:r>
                          </m:den>
                        </m:f>
                      </m:den>
                    </m:f>
                  </m:oMath>
                </m:oMathPara>
              </a14:m>
              <a:endParaRPr lang="ru-RU" sz="2400">
                <a:effectLst/>
              </a:endParaRPr>
            </a:p>
          </xdr:txBody>
        </xdr:sp>
      </mc:Choice>
      <mc:Fallback xmlns="">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76499" y="6858000"/>
              <a:ext cx="9686926" cy="1622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en-US" sz="2400" i="0">
                  <a:solidFill>
                    <a:schemeClr val="tx1"/>
                  </a:solidFill>
                  <a:effectLst/>
                  <a:latin typeface="Cambria Math"/>
                  <a:ea typeface="+mn-ea"/>
                  <a:cs typeface="+mn-cs"/>
                </a:rPr>
                <a:t>𝑃𝑎𝑦𝑎𝑏𝑙𝑒𝑠 𝑑𝑒𝑓𝑒𝑟𝑟𝑎𝑙 𝑝𝑒𝑟𝑜𝑑=𝑃𝑎𝑦𝑎𝑏𝑙𝑒𝑠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𝑃𝑢𝑟𝑐ℎ𝑎𝑠𝑒𝑠 𝑝𝑒𝑟 𝑑𝑎𝑦</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=𝑃𝑎𝑦𝑎𝑏𝑙𝑒𝑠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𝐶𝑜𝑠𝑡 𝑜𝑓 𝑔𝑜𝑜𝑑𝑠 𝑠𝑜𝑙𝑑</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365</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4</xdr:col>
      <xdr:colOff>85724</xdr:colOff>
      <xdr:row>44</xdr:row>
      <xdr:rowOff>142875</xdr:rowOff>
    </xdr:from>
    <xdr:ext cx="9686926" cy="82881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524124" y="8524875"/>
              <a:ext cx="9686926" cy="8288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b="0" i="1">
                        <a:solidFill>
                          <a:schemeClr val="tx1"/>
                        </a:solidFill>
                        <a:effectLst/>
                        <a:latin typeface="Cambria Math"/>
                        <a:ea typeface="+mn-ea"/>
                        <a:cs typeface="+mn-cs"/>
                      </a:rPr>
                      <m:t>𝐼𝑛𝑣𝑒𝑛𝑡𝑜𝑟𝑦</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𝑐𝑜𝑛𝑣𝑒𝑟𝑠𝑖𝑜𝑛</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𝑝𝑒𝑟𝑖𝑜𝑑</m:t>
                    </m:r>
                    <m:r>
                      <a:rPr lang="en-US" sz="2400" b="0" i="1">
                        <a:solidFill>
                          <a:schemeClr val="tx1"/>
                        </a:solidFill>
                        <a:effectLst/>
                        <a:latin typeface="Cambria Math"/>
                        <a:ea typeface="+mn-ea"/>
                        <a:cs typeface="+mn-cs"/>
                      </a:rPr>
                      <m:t>+</m:t>
                    </m:r>
                    <m:r>
                      <a:rPr lang="en-US" sz="2400" b="0" i="1">
                        <a:solidFill>
                          <a:schemeClr val="tx1"/>
                        </a:solidFill>
                        <a:effectLst/>
                        <a:latin typeface="Cambria Math"/>
                        <a:ea typeface="+mn-ea"/>
                        <a:cs typeface="+mn-cs"/>
                      </a:rPr>
                      <m:t>𝐴𝑣𝑒𝑟𝑎𝑔𝑒</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𝑐𝑜𝑙𝑙𝑒𝑐𝑡𝑖𝑜𝑛</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𝑝𝑒𝑟𝑖𝑜𝑑</m:t>
                    </m:r>
                    <m:r>
                      <a:rPr lang="en-US" sz="2400" b="0" i="1">
                        <a:solidFill>
                          <a:schemeClr val="tx1"/>
                        </a:solidFill>
                        <a:effectLst/>
                        <a:latin typeface="Cambria Math"/>
                        <a:ea typeface="+mn-ea"/>
                        <a:cs typeface="+mn-cs"/>
                      </a:rPr>
                      <m:t>−</m:t>
                    </m:r>
                    <m:r>
                      <a:rPr lang="en-US" sz="2400" b="0" i="1">
                        <a:solidFill>
                          <a:schemeClr val="tx1"/>
                        </a:solidFill>
                        <a:effectLst/>
                        <a:latin typeface="Cambria Math"/>
                        <a:ea typeface="+mn-ea"/>
                        <a:cs typeface="+mn-cs"/>
                      </a:rPr>
                      <m:t>𝑃𝑎𝑦𝑎𝑏𝑙𝑒𝑠</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𝑑𝑒𝑓𝑒𝑟𝑟𝑎𝑙</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𝑝𝑒𝑟𝑖𝑜𝑑</m:t>
                    </m:r>
                    <m:r>
                      <a:rPr lang="en-US" sz="2400" b="0" i="1">
                        <a:solidFill>
                          <a:schemeClr val="tx1"/>
                        </a:solidFill>
                        <a:effectLst/>
                        <a:latin typeface="Cambria Math"/>
                        <a:ea typeface="+mn-ea"/>
                        <a:cs typeface="+mn-cs"/>
                      </a:rPr>
                      <m:t>=</m:t>
                    </m:r>
                    <m:r>
                      <a:rPr lang="en-US" sz="2400" b="0" i="1">
                        <a:solidFill>
                          <a:schemeClr val="tx1"/>
                        </a:solidFill>
                        <a:effectLst/>
                        <a:latin typeface="Cambria Math"/>
                        <a:ea typeface="+mn-ea"/>
                        <a:cs typeface="+mn-cs"/>
                      </a:rPr>
                      <m:t>𝐶𝑎𝑠h</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𝐶𝑜𝑛𝑣𝑒𝑟𝑠𝑎𝑡𝑖𝑜𝑛</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𝐶𝑦𝑐𝑙𝑒</m:t>
                    </m:r>
                  </m:oMath>
                </m:oMathPara>
              </a14:m>
              <a:endParaRPr lang="ru-RU" sz="2400">
                <a:effectLst/>
              </a:endParaRPr>
            </a:p>
          </xdr:txBody>
        </xdr:sp>
      </mc:Choice>
      <mc:Fallback xmlns="">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524124" y="8524875"/>
              <a:ext cx="9686926" cy="8288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b="0" i="0">
                  <a:solidFill>
                    <a:schemeClr val="tx1"/>
                  </a:solidFill>
                  <a:effectLst/>
                  <a:latin typeface="Cambria Math"/>
                  <a:ea typeface="+mn-ea"/>
                  <a:cs typeface="+mn-cs"/>
                </a:rPr>
                <a:t>𝐼𝑛𝑣𝑒𝑛𝑡𝑜𝑟𝑦 𝑐𝑜𝑛𝑣𝑒𝑟𝑠𝑖𝑜𝑛 𝑝𝑒𝑟𝑖𝑜𝑑+𝐴𝑣𝑒𝑟𝑎𝑔𝑒 𝑐𝑜𝑙𝑙𝑒𝑐𝑡𝑖𝑜𝑛 𝑝𝑒𝑟𝑖𝑜𝑑−𝑃𝑎𝑦𝑎𝑏𝑙𝑒𝑠 𝑑𝑒𝑓𝑒𝑟𝑟𝑎𝑙 𝑝𝑒𝑟𝑖𝑜𝑑=𝐶𝑎𝑠ℎ 𝐶𝑜𝑛𝑣𝑒𝑟𝑠𝑎𝑡𝑖𝑜𝑛 𝐶𝑦𝑐𝑙𝑒</a:t>
              </a:r>
              <a:endParaRPr lang="ru-RU" sz="2400">
                <a:effectLst/>
              </a:endParaRPr>
            </a:p>
          </xdr:txBody>
        </xdr:sp>
      </mc:Fallback>
    </mc:AlternateContent>
    <xdr:clientData/>
  </xdr:oneCellAnchor>
  <xdr:oneCellAnchor>
    <xdr:from>
      <xdr:col>4</xdr:col>
      <xdr:colOff>142874</xdr:colOff>
      <xdr:row>50</xdr:row>
      <xdr:rowOff>29766</xdr:rowOff>
    </xdr:from>
    <xdr:ext cx="7824788" cy="865043"/>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581274" y="9554766"/>
              <a:ext cx="7824788" cy="865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b="0" i="1">
                        <a:solidFill>
                          <a:schemeClr val="tx1"/>
                        </a:solidFill>
                        <a:effectLst/>
                        <a:latin typeface="Cambria Math"/>
                        <a:ea typeface="+mn-ea"/>
                        <a:cs typeface="+mn-cs"/>
                      </a:rPr>
                      <m:t>𝐼𝑛𝑣𝑒𝑛𝑡𝑜𝑟𝑦</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𝑡𝑢𝑟𝑛𝑜𝑣𝑒𝑟</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𝑟𝑎𝑡𝑒</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𝑆𝑎𝑙𝑒𝑠</m:t>
                        </m:r>
                      </m:num>
                      <m:den>
                        <m:r>
                          <a:rPr lang="en-US" sz="2400" b="0" i="1">
                            <a:solidFill>
                              <a:schemeClr val="tx1"/>
                            </a:solidFill>
                            <a:effectLst/>
                            <a:latin typeface="Cambria Math"/>
                            <a:ea typeface="+mn-ea"/>
                            <a:cs typeface="+mn-cs"/>
                          </a:rPr>
                          <m:t>𝐼𝑛𝑣𝑒𝑛𝑡𝑜𝑟𝑦</m:t>
                        </m:r>
                      </m:den>
                    </m:f>
                  </m:oMath>
                </m:oMathPara>
              </a14:m>
              <a:endParaRPr lang="ru-RU" sz="2400">
                <a:effectLst/>
              </a:endParaRPr>
            </a:p>
          </xdr:txBody>
        </xdr:sp>
      </mc:Choice>
      <mc:Fallback xmlns="">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581274" y="9554766"/>
              <a:ext cx="7824788" cy="865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b="0" i="0">
                  <a:solidFill>
                    <a:schemeClr val="tx1"/>
                  </a:solidFill>
                  <a:effectLst/>
                  <a:latin typeface="Cambria Math"/>
                  <a:ea typeface="+mn-ea"/>
                  <a:cs typeface="+mn-cs"/>
                </a:rPr>
                <a:t>𝐼𝑛𝑣𝑒𝑛𝑡𝑜𝑟𝑦 𝑡𝑢𝑟𝑛𝑜𝑣𝑒𝑟 𝑟𝑎𝑡𝑒</a:t>
              </a:r>
              <a:r>
                <a:rPr lang="en-US" sz="2400" i="0">
                  <a:solidFill>
                    <a:schemeClr val="tx1"/>
                  </a:solidFill>
                  <a:effectLst/>
                  <a:latin typeface="Cambria Math"/>
                  <a:ea typeface="+mn-ea"/>
                  <a:cs typeface="+mn-cs"/>
                </a:rPr>
                <a:t>=</a:t>
              </a:r>
              <a:r>
                <a:rPr lang="en-US" sz="2400" b="0" i="0">
                  <a:solidFill>
                    <a:schemeClr val="tx1"/>
                  </a:solidFill>
                  <a:effectLst/>
                  <a:latin typeface="Cambria Math"/>
                  <a:ea typeface="+mn-ea"/>
                  <a:cs typeface="+mn-cs"/>
                </a:rPr>
                <a:t>𝑆𝑎𝑙𝑒𝑠</a:t>
              </a:r>
              <a:r>
                <a:rPr lang="ru-RU"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𝐼𝑛𝑣𝑒𝑛𝑡𝑜𝑟𝑦</a:t>
              </a:r>
              <a:endParaRPr lang="ru-RU" sz="2400">
                <a:effectLst/>
              </a:endParaRPr>
            </a:p>
          </xdr:txBody>
        </xdr:sp>
      </mc:Fallback>
    </mc:AlternateContent>
    <xdr:clientData/>
  </xdr:oneCellAnchor>
  <xdr:oneCellAnchor>
    <xdr:from>
      <xdr:col>2</xdr:col>
      <xdr:colOff>357023</xdr:colOff>
      <xdr:row>9</xdr:row>
      <xdr:rowOff>28575</xdr:rowOff>
    </xdr:from>
    <xdr:ext cx="9686926" cy="843116"/>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744097CF-2409-4FEA-9F61-2AE7820D47F8}"/>
                </a:ext>
              </a:extLst>
            </xdr:cNvPr>
            <xdr:cNvSpPr txBox="1"/>
          </xdr:nvSpPr>
          <xdr:spPr>
            <a:xfrm>
              <a:off x="1576223" y="1743075"/>
              <a:ext cx="9686926" cy="84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14:m>
                <m:oMathPara xmlns:m="http://schemas.openxmlformats.org/officeDocument/2006/math">
                  <m:oMathParaPr>
                    <m:jc m:val="centerGroup"/>
                  </m:oMathParaPr>
                  <m:oMath xmlns:m="http://schemas.openxmlformats.org/officeDocument/2006/math">
                    <m:r>
                      <a:rPr lang="en-US" sz="2400" i="1">
                        <a:solidFill>
                          <a:schemeClr val="tx1"/>
                        </a:solidFill>
                        <a:effectLst/>
                        <a:latin typeface="Cambria Math"/>
                        <a:ea typeface="+mn-ea"/>
                        <a:cs typeface="+mn-cs"/>
                      </a:rPr>
                      <m:t>𝐴𝑣𝑒𝑟𝑎𝑔𝑒</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𝑐𝑜𝑙𝑙𝑒𝑐𝑡𝑖𝑜𝑛</m:t>
                    </m:r>
                    <m:r>
                      <a:rPr lang="en-US" sz="2400" i="1">
                        <a:solidFill>
                          <a:schemeClr val="tx1"/>
                        </a:solidFill>
                        <a:effectLst/>
                        <a:latin typeface="Cambria Math"/>
                        <a:ea typeface="+mn-ea"/>
                        <a:cs typeface="+mn-cs"/>
                      </a:rPr>
                      <m:t> </m:t>
                    </m:r>
                    <m:r>
                      <a:rPr lang="en-US" sz="2400" i="1">
                        <a:solidFill>
                          <a:schemeClr val="tx1"/>
                        </a:solidFill>
                        <a:effectLst/>
                        <a:latin typeface="Cambria Math"/>
                        <a:ea typeface="+mn-ea"/>
                        <a:cs typeface="+mn-cs"/>
                      </a:rPr>
                      <m:t>𝑝𝑒𝑟𝑖𝑜𝑑</m:t>
                    </m:r>
                    <m:r>
                      <a:rPr lang="en-US" sz="2400" i="1">
                        <a:solidFill>
                          <a:schemeClr val="tx1"/>
                        </a:solidFill>
                        <a:effectLst/>
                        <a:latin typeface="Cambria Math"/>
                        <a:ea typeface="+mn-ea"/>
                        <a:cs typeface="+mn-cs"/>
                      </a:rPr>
                      <m:t>=</m:t>
                    </m:r>
                    <m:f>
                      <m:fPr>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𝑅𝑒𝑐𝑒𝑖𝑣𝑎𝑏𝑙𝑒𝑠</m:t>
                        </m:r>
                      </m:num>
                      <m:den>
                        <m:f>
                          <m:fPr>
                            <m:type m:val="lin"/>
                            <m:ctrlPr>
                              <a:rPr lang="ru-RU"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a:ea typeface="+mn-ea"/>
                                <a:cs typeface="+mn-cs"/>
                              </a:rPr>
                              <m:t>𝑆𝑎𝑙𝑒𝑠</m:t>
                            </m:r>
                          </m:num>
                          <m:den>
                            <m:r>
                              <a:rPr lang="en-US" sz="2400" i="1">
                                <a:solidFill>
                                  <a:schemeClr val="tx1"/>
                                </a:solidFill>
                                <a:effectLst/>
                                <a:latin typeface="Cambria Math"/>
                                <a:ea typeface="+mn-ea"/>
                                <a:cs typeface="+mn-cs"/>
                              </a:rPr>
                              <m:t>365</m:t>
                            </m:r>
                          </m:den>
                        </m:f>
                      </m:den>
                    </m:f>
                  </m:oMath>
                </m:oMathPara>
              </a14:m>
              <a:endParaRPr lang="ru-RU" sz="2400">
                <a:effectLst/>
              </a:endParaRPr>
            </a:p>
          </xdr:txBody>
        </xdr:sp>
      </mc:Choice>
      <mc:Fallback xmlns="">
        <xdr:sp macro="" textlink="">
          <xdr:nvSpPr>
            <xdr:cNvPr id="7" name="TextBox 6">
              <a:extLst>
                <a:ext uri="{FF2B5EF4-FFF2-40B4-BE49-F238E27FC236}">
                  <a16:creationId xmlns:a16="http://schemas.microsoft.com/office/drawing/2014/main" id="{744097CF-2409-4FEA-9F61-2AE7820D47F8}"/>
                </a:ext>
              </a:extLst>
            </xdr:cNvPr>
            <xdr:cNvSpPr txBox="1"/>
          </xdr:nvSpPr>
          <xdr:spPr>
            <a:xfrm>
              <a:off x="1576223" y="1743075"/>
              <a:ext cx="9686926" cy="84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eaLnBrk="1" latinLnBrk="0" hangingPunct="1"/>
              <a:r>
                <a:rPr lang="en-US" sz="2400" i="0">
                  <a:solidFill>
                    <a:schemeClr val="tx1"/>
                  </a:solidFill>
                  <a:effectLst/>
                  <a:latin typeface="Cambria Math"/>
                  <a:ea typeface="+mn-ea"/>
                  <a:cs typeface="+mn-cs"/>
                </a:rPr>
                <a:t>𝐴𝑣𝑒𝑟𝑎𝑔𝑒 𝑐𝑜𝑙𝑙𝑒𝑐𝑡𝑖𝑜𝑛 𝑝𝑒𝑟𝑖𝑜𝑑=𝑅𝑒𝑐𝑒𝑖𝑣𝑎𝑏𝑙𝑒𝑠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𝑆𝑎𝑙𝑒𝑠</a:t>
              </a:r>
              <a:r>
                <a:rPr lang="ru-RU" sz="2400" i="0">
                  <a:solidFill>
                    <a:schemeClr val="tx1"/>
                  </a:solidFill>
                  <a:effectLst/>
                  <a:latin typeface="Cambria Math" panose="02040503050406030204" pitchFamily="18" charset="0"/>
                  <a:ea typeface="+mn-ea"/>
                  <a:cs typeface="+mn-cs"/>
                </a:rPr>
                <a:t>∕</a:t>
              </a:r>
              <a:r>
                <a:rPr lang="en-US" sz="2400" i="0">
                  <a:solidFill>
                    <a:schemeClr val="tx1"/>
                  </a:solidFill>
                  <a:effectLst/>
                  <a:latin typeface="Cambria Math"/>
                  <a:ea typeface="+mn-ea"/>
                  <a:cs typeface="+mn-cs"/>
                </a:rPr>
                <a:t>365</a:t>
              </a:r>
              <a:r>
                <a:rPr lang="ru-RU" sz="2400" i="0">
                  <a:solidFill>
                    <a:schemeClr val="tx1"/>
                  </a:solidFill>
                  <a:effectLst/>
                  <a:latin typeface="Cambria Math" panose="02040503050406030204" pitchFamily="18" charset="0"/>
                  <a:ea typeface="+mn-ea"/>
                  <a:cs typeface="+mn-cs"/>
                </a:rPr>
                <a:t>)</a:t>
              </a:r>
              <a:endParaRPr lang="ru-RU" sz="2400">
                <a:effectLst/>
              </a:endParaRPr>
            </a:p>
          </xdr:txBody>
        </xdr:sp>
      </mc:Fallback>
    </mc:AlternateContent>
    <xdr:clientData/>
  </xdr:oneCellAnchor>
  <xdr:oneCellAnchor>
    <xdr:from>
      <xdr:col>4</xdr:col>
      <xdr:colOff>143002</xdr:colOff>
      <xdr:row>81</xdr:row>
      <xdr:rowOff>95435</xdr:rowOff>
    </xdr:from>
    <xdr:ext cx="7985965" cy="3230275"/>
    <xdr:pic>
      <xdr:nvPicPr>
        <xdr:cNvPr id="8" name="Picture 2">
          <a:extLst>
            <a:ext uri="{FF2B5EF4-FFF2-40B4-BE49-F238E27FC236}">
              <a16:creationId xmlns:a16="http://schemas.microsoft.com/office/drawing/2014/main" id="{88F1707F-4B87-4381-98E1-F1EA1DA64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81402" y="15525935"/>
          <a:ext cx="7985965" cy="323027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oneCellAnchor>
  <xdr:oneCellAnchor>
    <xdr:from>
      <xdr:col>3</xdr:col>
      <xdr:colOff>1008821</xdr:colOff>
      <xdr:row>151</xdr:row>
      <xdr:rowOff>180561</xdr:rowOff>
    </xdr:from>
    <xdr:ext cx="2318263" cy="818173"/>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CDA15BAE-9710-48AB-BA91-FD3A36E7C2F7}"/>
                </a:ext>
              </a:extLst>
            </xdr:cNvPr>
            <xdr:cNvSpPr txBox="1"/>
          </xdr:nvSpPr>
          <xdr:spPr>
            <a:xfrm>
              <a:off x="2437571" y="28946061"/>
              <a:ext cx="2318263" cy="8181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2800" i="1">
                            <a:latin typeface="Cambria Math" panose="02040503050406030204" pitchFamily="18" charset="0"/>
                          </a:rPr>
                        </m:ctrlPr>
                      </m:fPr>
                      <m:num>
                        <m:r>
                          <a:rPr lang="en-US" sz="2800" b="0" i="1">
                            <a:latin typeface="Cambria Math" panose="02040503050406030204" pitchFamily="18" charset="0"/>
                          </a:rPr>
                          <m:t>𝐷𝑒𝑏𝑡</m:t>
                        </m:r>
                      </m:num>
                      <m:den>
                        <m:r>
                          <a:rPr lang="en-US" sz="2800" b="0" i="1">
                            <a:latin typeface="Cambria Math" panose="02040503050406030204" pitchFamily="18" charset="0"/>
                          </a:rPr>
                          <m:t>𝐴𝑠𝑠𝑒𝑡𝑠</m:t>
                        </m:r>
                      </m:den>
                    </m:f>
                    <m:r>
                      <a:rPr lang="en-US" sz="2800" b="0" i="1">
                        <a:latin typeface="Cambria Math" panose="02040503050406030204" pitchFamily="18" charset="0"/>
                      </a:rPr>
                      <m:t>=60%</m:t>
                    </m:r>
                  </m:oMath>
                </m:oMathPara>
              </a14:m>
              <a:endParaRPr lang="ru-RU" sz="2800"/>
            </a:p>
          </xdr:txBody>
        </xdr:sp>
      </mc:Choice>
      <mc:Fallback xmlns="">
        <xdr:sp macro="" textlink="">
          <xdr:nvSpPr>
            <xdr:cNvPr id="9" name="TextBox 8">
              <a:extLst>
                <a:ext uri="{FF2B5EF4-FFF2-40B4-BE49-F238E27FC236}">
                  <a16:creationId xmlns:a16="http://schemas.microsoft.com/office/drawing/2014/main" id="{CDA15BAE-9710-48AB-BA91-FD3A36E7C2F7}"/>
                </a:ext>
              </a:extLst>
            </xdr:cNvPr>
            <xdr:cNvSpPr txBox="1"/>
          </xdr:nvSpPr>
          <xdr:spPr>
            <a:xfrm>
              <a:off x="2437571" y="28946061"/>
              <a:ext cx="2318263" cy="8181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800" b="0" i="0">
                  <a:latin typeface="Cambria Math" panose="02040503050406030204" pitchFamily="18" charset="0"/>
                </a:rPr>
                <a:t>𝐷𝑒𝑏𝑡</a:t>
              </a:r>
              <a:r>
                <a:rPr lang="ru-RU" sz="2800" b="0" i="0">
                  <a:latin typeface="Cambria Math" panose="02040503050406030204" pitchFamily="18" charset="0"/>
                </a:rPr>
                <a:t>/</a:t>
              </a:r>
              <a:r>
                <a:rPr lang="en-US" sz="2800" b="0" i="0">
                  <a:latin typeface="Cambria Math" panose="02040503050406030204" pitchFamily="18" charset="0"/>
                </a:rPr>
                <a:t>𝐴𝑠𝑠𝑒𝑡𝑠=60%</a:t>
              </a:r>
              <a:endParaRPr lang="ru-RU" sz="2800"/>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twoCellAnchor>
    <xdr:from>
      <xdr:col>3</xdr:col>
      <xdr:colOff>427658</xdr:colOff>
      <xdr:row>36</xdr:row>
      <xdr:rowOff>236087</xdr:rowOff>
    </xdr:from>
    <xdr:to>
      <xdr:col>8</xdr:col>
      <xdr:colOff>530966</xdr:colOff>
      <xdr:row>39</xdr:row>
      <xdr:rowOff>31732</xdr:rowOff>
    </xdr:to>
    <xdr:pic>
      <xdr:nvPicPr>
        <xdr:cNvPr id="2" name="Рисунок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56458" y="7046462"/>
          <a:ext cx="3151308" cy="414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159439</xdr:colOff>
      <xdr:row>48</xdr:row>
      <xdr:rowOff>42868</xdr:rowOff>
    </xdr:from>
    <xdr:to>
      <xdr:col>10</xdr:col>
      <xdr:colOff>2699</xdr:colOff>
      <xdr:row>49</xdr:row>
      <xdr:rowOff>222723</xdr:rowOff>
    </xdr:to>
    <xdr:pic>
      <xdr:nvPicPr>
        <xdr:cNvPr id="3" name="Рисунок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97839" y="9186868"/>
          <a:ext cx="3500860" cy="34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944349</xdr:colOff>
      <xdr:row>43</xdr:row>
      <xdr:rowOff>103909</xdr:rowOff>
    </xdr:from>
    <xdr:ext cx="8601076" cy="79598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200-000003000000}"/>
                </a:ext>
              </a:extLst>
            </xdr:cNvPr>
            <xdr:cNvSpPr txBox="1"/>
          </xdr:nvSpPr>
          <xdr:spPr>
            <a:xfrm>
              <a:off x="1220574" y="8295409"/>
              <a:ext cx="8601076" cy="795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𝐵𝐸𝑃</m:t>
                    </m:r>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𝐹𝑖𝑥𝑒𝑑</m:t>
                        </m:r>
                        <m:r>
                          <a:rPr lang="en-US" sz="2400" b="0" i="1">
                            <a:latin typeface="Cambria Math"/>
                          </a:rPr>
                          <m:t> </m:t>
                        </m:r>
                        <m:r>
                          <a:rPr lang="en-US" sz="2400" b="0" i="1">
                            <a:latin typeface="Cambria Math"/>
                          </a:rPr>
                          <m:t>𝑐𝑜𝑠𝑡𝑠</m:t>
                        </m:r>
                        <m:r>
                          <a:rPr lang="en-US" sz="2400" b="0" i="1">
                            <a:latin typeface="Cambria Math"/>
                          </a:rPr>
                          <m:t>+</m:t>
                        </m:r>
                        <m:r>
                          <a:rPr lang="en-US" sz="2400" b="0" i="1">
                            <a:latin typeface="Cambria Math"/>
                          </a:rPr>
                          <m:t>𝑂𝑝𝑒𝑟𝑎𝑡𝑖𝑛𝑔</m:t>
                        </m:r>
                        <m:r>
                          <a:rPr lang="en-US" sz="2400" b="0" i="1">
                            <a:latin typeface="Cambria Math"/>
                          </a:rPr>
                          <m:t> </m:t>
                        </m:r>
                        <m:r>
                          <a:rPr lang="en-US" sz="2400" b="0" i="1">
                            <a:latin typeface="Cambria Math"/>
                          </a:rPr>
                          <m:t>𝑖𝑛𝑐𝑜𝑚𝑒</m:t>
                        </m:r>
                        <m:r>
                          <a:rPr lang="en-US" sz="2400" b="0" i="1">
                            <a:latin typeface="Cambria Math" panose="02040503050406030204" pitchFamily="18" charset="0"/>
                          </a:rPr>
                          <m:t> (</m:t>
                        </m:r>
                        <m:r>
                          <a:rPr lang="en-US" sz="2400" b="0" i="1">
                            <a:solidFill>
                              <a:srgbClr val="FF0000"/>
                            </a:solidFill>
                            <a:latin typeface="Cambria Math" panose="02040503050406030204" pitchFamily="18" charset="0"/>
                          </a:rPr>
                          <m:t>𝑚𝑢𝑠𝑡</m:t>
                        </m:r>
                        <m:r>
                          <a:rPr lang="en-US" sz="2400" b="0" i="1">
                            <a:solidFill>
                              <a:srgbClr val="FF0000"/>
                            </a:solidFill>
                            <a:latin typeface="Cambria Math" panose="02040503050406030204" pitchFamily="18" charset="0"/>
                          </a:rPr>
                          <m:t> </m:t>
                        </m:r>
                        <m:r>
                          <a:rPr lang="en-US" sz="2400" b="0" i="1">
                            <a:solidFill>
                              <a:srgbClr val="FF0000"/>
                            </a:solidFill>
                            <a:latin typeface="Cambria Math" panose="02040503050406030204" pitchFamily="18" charset="0"/>
                          </a:rPr>
                          <m:t>𝑏𝑒</m:t>
                        </m:r>
                        <m:r>
                          <a:rPr lang="en-US" sz="2400" b="0" i="1">
                            <a:solidFill>
                              <a:srgbClr val="FF0000"/>
                            </a:solidFill>
                            <a:latin typeface="Cambria Math" panose="02040503050406030204" pitchFamily="18" charset="0"/>
                          </a:rPr>
                          <m:t> 0)</m:t>
                        </m:r>
                      </m:num>
                      <m:den>
                        <m:r>
                          <a:rPr lang="en-US" sz="2400" b="0" i="1">
                            <a:latin typeface="Cambria Math"/>
                          </a:rPr>
                          <m:t>𝐶𝑀</m:t>
                        </m:r>
                        <m:r>
                          <a:rPr lang="en-US" sz="2400" b="0" i="1">
                            <a:latin typeface="Cambria Math"/>
                          </a:rPr>
                          <m:t> </m:t>
                        </m:r>
                        <m:r>
                          <a:rPr lang="en-US" sz="2400" b="0" i="1">
                            <a:latin typeface="Cambria Math"/>
                          </a:rPr>
                          <m:t>𝑟𝑎𝑡𝑖𝑜</m:t>
                        </m:r>
                      </m:den>
                    </m:f>
                  </m:oMath>
                </m:oMathPara>
              </a14:m>
              <a:endParaRPr lang="ru-RU" sz="2400">
                <a:latin typeface="+mn-lt"/>
              </a:endParaRPr>
            </a:p>
          </xdr:txBody>
        </xdr:sp>
      </mc:Choice>
      <mc:Fallback xmlns="">
        <xdr:sp macro="" textlink="">
          <xdr:nvSpPr>
            <xdr:cNvPr id="4" name="TextBox 3">
              <a:extLst>
                <a:ext uri="{FF2B5EF4-FFF2-40B4-BE49-F238E27FC236}">
                  <a16:creationId xmlns:a16="http://schemas.microsoft.com/office/drawing/2014/main" id="{00000000-0008-0000-0200-000003000000}"/>
                </a:ext>
              </a:extLst>
            </xdr:cNvPr>
            <xdr:cNvSpPr txBox="1"/>
          </xdr:nvSpPr>
          <xdr:spPr>
            <a:xfrm>
              <a:off x="1220574" y="8295409"/>
              <a:ext cx="8601076" cy="795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𝐵𝐸𝑃=</a:t>
              </a:r>
              <a:r>
                <a:rPr lang="en-US" sz="2400" b="0" i="0">
                  <a:latin typeface="Cambria Math" panose="02040503050406030204" pitchFamily="18" charset="0"/>
                </a:rPr>
                <a:t>(</a:t>
              </a:r>
              <a:r>
                <a:rPr lang="en-US" sz="2400" b="0" i="0">
                  <a:latin typeface="Cambria Math"/>
                </a:rPr>
                <a:t>𝐹𝑖𝑥𝑒𝑑 𝑐𝑜𝑠𝑡𝑠+𝑂𝑝𝑒𝑟𝑎𝑡𝑖𝑛𝑔 𝑖𝑛𝑐𝑜𝑚𝑒</a:t>
              </a:r>
              <a:r>
                <a:rPr lang="en-US" sz="2400" b="0" i="0">
                  <a:latin typeface="Cambria Math" panose="02040503050406030204" pitchFamily="18" charset="0"/>
                </a:rPr>
                <a:t> (</a:t>
              </a:r>
              <a:r>
                <a:rPr lang="en-US" sz="2400" b="0" i="0">
                  <a:solidFill>
                    <a:srgbClr val="FF0000"/>
                  </a:solidFill>
                  <a:latin typeface="Cambria Math" panose="02040503050406030204" pitchFamily="18" charset="0"/>
                </a:rPr>
                <a:t>𝑚𝑢𝑠𝑡 𝑏𝑒 0))/(</a:t>
              </a:r>
              <a:r>
                <a:rPr lang="en-US" sz="2400" b="0" i="0">
                  <a:latin typeface="Cambria Math"/>
                </a:rPr>
                <a:t>𝐶𝑀 𝑟𝑎𝑡𝑖𝑜</a:t>
              </a:r>
              <a:r>
                <a:rPr lang="en-US" sz="2400" b="0" i="0">
                  <a:latin typeface="Cambria Math" panose="02040503050406030204" pitchFamily="18" charset="0"/>
                </a:rPr>
                <a:t>)</a:t>
              </a:r>
              <a:endParaRPr lang="ru-RU" sz="2400">
                <a:latin typeface="+mn-lt"/>
              </a:endParaRPr>
            </a:p>
          </xdr:txBody>
        </xdr:sp>
      </mc:Fallback>
    </mc:AlternateContent>
    <xdr:clientData/>
  </xdr:oneCellAnchor>
  <xdr:oneCellAnchor>
    <xdr:from>
      <xdr:col>3</xdr:col>
      <xdr:colOff>93314</xdr:colOff>
      <xdr:row>40</xdr:row>
      <xdr:rowOff>8560</xdr:rowOff>
    </xdr:from>
    <xdr:ext cx="4943476" cy="793743"/>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200-000002000000}"/>
                </a:ext>
              </a:extLst>
            </xdr:cNvPr>
            <xdr:cNvSpPr txBox="1"/>
          </xdr:nvSpPr>
          <xdr:spPr>
            <a:xfrm>
              <a:off x="1922114" y="7628560"/>
              <a:ext cx="4943476" cy="79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𝐶𝑀</m:t>
                    </m:r>
                    <m:r>
                      <a:rPr lang="en-US" sz="2400" b="0" i="1">
                        <a:latin typeface="Cambria Math"/>
                      </a:rPr>
                      <m:t> </m:t>
                    </m:r>
                    <m:r>
                      <a:rPr lang="en-US" sz="2400" b="0" i="1">
                        <a:latin typeface="Cambria Math"/>
                      </a:rPr>
                      <m:t>𝑟𝑎𝑡𝑖𝑜</m:t>
                    </m:r>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𝑆𝑎𝑙𝑒𝑠</m:t>
                        </m:r>
                        <m:r>
                          <a:rPr lang="en-US" sz="2400" b="0" i="1">
                            <a:latin typeface="Cambria Math"/>
                          </a:rPr>
                          <m:t> −</m:t>
                        </m:r>
                        <m:r>
                          <a:rPr lang="en-US" sz="2400" b="0" i="1">
                            <a:latin typeface="Cambria Math"/>
                          </a:rPr>
                          <m:t>𝑉𝑎𝑟𝑖𝑎𝑏𝑙𝑒</m:t>
                        </m:r>
                        <m:r>
                          <a:rPr lang="en-US" sz="2400" b="0" i="1">
                            <a:latin typeface="Cambria Math"/>
                          </a:rPr>
                          <m:t> </m:t>
                        </m:r>
                        <m:r>
                          <a:rPr lang="en-US" sz="2400" b="0" i="1">
                            <a:latin typeface="Cambria Math"/>
                          </a:rPr>
                          <m:t>𝑐𝑜𝑠𝑡𝑠</m:t>
                        </m:r>
                      </m:num>
                      <m:den>
                        <m:r>
                          <a:rPr lang="en-US" sz="2400" b="0" i="1">
                            <a:latin typeface="Cambria Math"/>
                          </a:rPr>
                          <m:t>𝑆𝑎𝑙𝑒𝑠</m:t>
                        </m:r>
                      </m:den>
                    </m:f>
                  </m:oMath>
                </m:oMathPara>
              </a14:m>
              <a:endParaRPr lang="ru-RU" sz="2400">
                <a:latin typeface="+mn-lt"/>
              </a:endParaRPr>
            </a:p>
          </xdr:txBody>
        </xdr:sp>
      </mc:Choice>
      <mc:Fallback xmlns="">
        <xdr:sp macro="" textlink="">
          <xdr:nvSpPr>
            <xdr:cNvPr id="5" name="TextBox 4">
              <a:extLst>
                <a:ext uri="{FF2B5EF4-FFF2-40B4-BE49-F238E27FC236}">
                  <a16:creationId xmlns:a16="http://schemas.microsoft.com/office/drawing/2014/main" id="{00000000-0008-0000-0200-000002000000}"/>
                </a:ext>
              </a:extLst>
            </xdr:cNvPr>
            <xdr:cNvSpPr txBox="1"/>
          </xdr:nvSpPr>
          <xdr:spPr>
            <a:xfrm>
              <a:off x="1922114" y="7628560"/>
              <a:ext cx="4943476" cy="79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𝐶𝑀 𝑟𝑎𝑡𝑖𝑜=</a:t>
              </a:r>
              <a:r>
                <a:rPr lang="en-US" sz="2400" b="0" i="0">
                  <a:latin typeface="Cambria Math" panose="02040503050406030204" pitchFamily="18" charset="0"/>
                </a:rPr>
                <a:t>(</a:t>
              </a:r>
              <a:r>
                <a:rPr lang="en-US" sz="2400" b="0" i="0">
                  <a:latin typeface="Cambria Math"/>
                </a:rPr>
                <a:t>𝑆𝑎𝑙𝑒𝑠 −𝑉𝑎𝑟𝑖𝑎𝑏𝑙𝑒 𝑐𝑜𝑠𝑡𝑠</a:t>
              </a:r>
              <a:r>
                <a:rPr lang="en-US" sz="2400" b="0" i="0">
                  <a:latin typeface="Cambria Math" panose="02040503050406030204" pitchFamily="18" charset="0"/>
                </a:rPr>
                <a:t>)/</a:t>
              </a:r>
              <a:r>
                <a:rPr lang="en-US" sz="2400" b="0" i="0">
                  <a:latin typeface="Cambria Math"/>
                </a:rPr>
                <a:t>𝑆𝑎𝑙𝑒𝑠</a:t>
              </a:r>
              <a:endParaRPr lang="ru-RU" sz="2400">
                <a:latin typeface="+mn-lt"/>
              </a:endParaRPr>
            </a:p>
          </xdr:txBody>
        </xdr:sp>
      </mc:Fallback>
    </mc:AlternateContent>
    <xdr:clientData/>
  </xdr:oneCellAnchor>
  <xdr:oneCellAnchor>
    <xdr:from>
      <xdr:col>3</xdr:col>
      <xdr:colOff>329047</xdr:colOff>
      <xdr:row>51</xdr:row>
      <xdr:rowOff>161975</xdr:rowOff>
    </xdr:from>
    <xdr:ext cx="5451000" cy="618311"/>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7A9E0BC8-D903-494F-AD88-77E938DCC08D}"/>
                </a:ext>
              </a:extLst>
            </xdr:cNvPr>
            <xdr:cNvSpPr txBox="1"/>
          </xdr:nvSpPr>
          <xdr:spPr>
            <a:xfrm>
              <a:off x="2157847" y="9877475"/>
              <a:ext cx="5451000" cy="618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𝐷𝑂𝐿</m:t>
                    </m:r>
                    <m:r>
                      <a:rPr lang="en-US" sz="1800" b="0" i="1">
                        <a:latin typeface="Cambria Math"/>
                      </a:rPr>
                      <m:t>=</m:t>
                    </m:r>
                    <m:f>
                      <m:fPr>
                        <m:ctrlPr>
                          <a:rPr lang="en-US" sz="1800" b="0" i="1">
                            <a:latin typeface="Cambria Math" panose="02040503050406030204" pitchFamily="18" charset="0"/>
                          </a:rPr>
                        </m:ctrlPr>
                      </m:fPr>
                      <m:num>
                        <m:r>
                          <a:rPr lang="en-US" sz="1800" b="0" i="1">
                            <a:latin typeface="Cambria Math" panose="02040503050406030204" pitchFamily="18" charset="0"/>
                          </a:rPr>
                          <m:t>𝑆𝑎𝑙𝑒𝑠</m:t>
                        </m:r>
                        <m:r>
                          <a:rPr lang="en-US" sz="1800" b="0" i="1">
                            <a:latin typeface="Cambria Math" panose="02040503050406030204" pitchFamily="18" charset="0"/>
                          </a:rPr>
                          <m:t> −</m:t>
                        </m:r>
                        <m:r>
                          <a:rPr lang="en-US" sz="1800" b="0" i="1">
                            <a:latin typeface="Cambria Math" panose="02040503050406030204" pitchFamily="18" charset="0"/>
                          </a:rPr>
                          <m:t>𝑉𝑎𝑟𝑖𝑎𝑏𝑙𝑒</m:t>
                        </m:r>
                        <m:r>
                          <a:rPr lang="en-US" sz="1800" b="0" i="1">
                            <a:latin typeface="Cambria Math" panose="02040503050406030204" pitchFamily="18" charset="0"/>
                          </a:rPr>
                          <m:t> </m:t>
                        </m:r>
                        <m:r>
                          <a:rPr lang="en-US" sz="1800" b="0" i="1">
                            <a:latin typeface="Cambria Math" panose="02040503050406030204" pitchFamily="18" charset="0"/>
                          </a:rPr>
                          <m:t>𝑐𝑜𝑠𝑡𝑠</m:t>
                        </m:r>
                      </m:num>
                      <m:den>
                        <m:r>
                          <a:rPr lang="en-US" sz="1800" b="0" i="1">
                            <a:solidFill>
                              <a:schemeClr val="tx1"/>
                            </a:solidFill>
                            <a:effectLst/>
                            <a:latin typeface="Cambria Math" panose="02040503050406030204" pitchFamily="18" charset="0"/>
                            <a:ea typeface="+mn-ea"/>
                            <a:cs typeface="+mn-cs"/>
                          </a:rPr>
                          <m:t>𝑆𝑎𝑙𝑒𝑠</m:t>
                        </m:r>
                        <m:r>
                          <a:rPr lang="en-US" sz="1800" b="0" i="1">
                            <a:solidFill>
                              <a:schemeClr val="tx1"/>
                            </a:solidFill>
                            <a:effectLst/>
                            <a:latin typeface="Cambria Math" panose="02040503050406030204" pitchFamily="18" charset="0"/>
                            <a:ea typeface="+mn-ea"/>
                            <a:cs typeface="+mn-cs"/>
                          </a:rPr>
                          <m:t> −</m:t>
                        </m:r>
                        <m:r>
                          <a:rPr lang="en-US" sz="1800" b="0" i="1">
                            <a:solidFill>
                              <a:schemeClr val="tx1"/>
                            </a:solidFill>
                            <a:effectLst/>
                            <a:latin typeface="Cambria Math" panose="02040503050406030204" pitchFamily="18" charset="0"/>
                            <a:ea typeface="+mn-ea"/>
                            <a:cs typeface="+mn-cs"/>
                          </a:rPr>
                          <m:t>𝑉𝑎𝑟𝑖𝑎𝑏𝑙𝑒</m:t>
                        </m:r>
                        <m:r>
                          <a:rPr lang="en-US" sz="1800" b="0" i="1">
                            <a:solidFill>
                              <a:schemeClr val="tx1"/>
                            </a:solidFill>
                            <a:effectLst/>
                            <a:latin typeface="Cambria Math" panose="02040503050406030204" pitchFamily="18" charset="0"/>
                            <a:ea typeface="+mn-ea"/>
                            <a:cs typeface="+mn-cs"/>
                          </a:rPr>
                          <m:t> </m:t>
                        </m:r>
                        <m:r>
                          <a:rPr lang="en-US" sz="1800" b="0" i="1">
                            <a:solidFill>
                              <a:schemeClr val="tx1"/>
                            </a:solidFill>
                            <a:effectLst/>
                            <a:latin typeface="Cambria Math" panose="02040503050406030204" pitchFamily="18" charset="0"/>
                            <a:ea typeface="+mn-ea"/>
                            <a:cs typeface="+mn-cs"/>
                          </a:rPr>
                          <m:t>𝑐𝑜𝑠𝑡𝑠</m:t>
                        </m:r>
                        <m:r>
                          <a:rPr lang="en-US" sz="1800" b="0" i="1">
                            <a:solidFill>
                              <a:schemeClr val="tx1"/>
                            </a:solidFill>
                            <a:effectLst/>
                            <a:latin typeface="Cambria Math" panose="02040503050406030204" pitchFamily="18" charset="0"/>
                            <a:ea typeface="+mn-ea"/>
                            <a:cs typeface="+mn-cs"/>
                          </a:rPr>
                          <m:t>−</m:t>
                        </m:r>
                        <m:r>
                          <a:rPr lang="en-US" sz="1800" b="0" i="1">
                            <a:solidFill>
                              <a:schemeClr val="tx1"/>
                            </a:solidFill>
                            <a:effectLst/>
                            <a:latin typeface="Cambria Math" panose="02040503050406030204" pitchFamily="18" charset="0"/>
                            <a:ea typeface="+mn-ea"/>
                            <a:cs typeface="+mn-cs"/>
                          </a:rPr>
                          <m:t>𝐹𝑖𝑥𝑒𝑑</m:t>
                        </m:r>
                        <m:r>
                          <a:rPr lang="en-US" sz="1800" b="0" i="1">
                            <a:solidFill>
                              <a:schemeClr val="tx1"/>
                            </a:solidFill>
                            <a:effectLst/>
                            <a:latin typeface="Cambria Math" panose="02040503050406030204" pitchFamily="18" charset="0"/>
                            <a:ea typeface="+mn-ea"/>
                            <a:cs typeface="+mn-cs"/>
                          </a:rPr>
                          <m:t> </m:t>
                        </m:r>
                        <m:r>
                          <a:rPr lang="en-US" sz="1800" b="0" i="1">
                            <a:solidFill>
                              <a:schemeClr val="tx1"/>
                            </a:solidFill>
                            <a:effectLst/>
                            <a:latin typeface="Cambria Math" panose="02040503050406030204" pitchFamily="18" charset="0"/>
                            <a:ea typeface="+mn-ea"/>
                            <a:cs typeface="+mn-cs"/>
                          </a:rPr>
                          <m:t>𝐶𝑜𝑠𝑡𝑠</m:t>
                        </m:r>
                      </m:den>
                    </m:f>
                  </m:oMath>
                </m:oMathPara>
              </a14:m>
              <a:endParaRPr lang="ru-RU" sz="1800">
                <a:latin typeface="+mn-lt"/>
              </a:endParaRPr>
            </a:p>
          </xdr:txBody>
        </xdr:sp>
      </mc:Choice>
      <mc:Fallback xmlns="">
        <xdr:sp macro="" textlink="">
          <xdr:nvSpPr>
            <xdr:cNvPr id="6" name="TextBox 5">
              <a:extLst>
                <a:ext uri="{FF2B5EF4-FFF2-40B4-BE49-F238E27FC236}">
                  <a16:creationId xmlns:a16="http://schemas.microsoft.com/office/drawing/2014/main" id="{7A9E0BC8-D903-494F-AD88-77E938DCC08D}"/>
                </a:ext>
              </a:extLst>
            </xdr:cNvPr>
            <xdr:cNvSpPr txBox="1"/>
          </xdr:nvSpPr>
          <xdr:spPr>
            <a:xfrm>
              <a:off x="2157847" y="9877475"/>
              <a:ext cx="5451000" cy="618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800" b="0" i="0">
                  <a:latin typeface="Cambria Math" panose="02040503050406030204" pitchFamily="18" charset="0"/>
                </a:rPr>
                <a:t>𝐷𝑂𝐿</a:t>
              </a:r>
              <a:r>
                <a:rPr lang="en-US" sz="1800" b="0" i="0">
                  <a:latin typeface="Cambria Math"/>
                </a:rPr>
                <a:t>=</a:t>
              </a:r>
              <a:r>
                <a:rPr lang="en-US" sz="1800" b="0" i="0">
                  <a:latin typeface="Cambria Math" panose="02040503050406030204" pitchFamily="18" charset="0"/>
                </a:rPr>
                <a:t>(𝑆𝑎𝑙𝑒𝑠 −𝑉𝑎𝑟𝑖𝑎𝑏𝑙𝑒 𝑐𝑜𝑠𝑡𝑠)/(</a:t>
              </a:r>
              <a:r>
                <a:rPr lang="en-US" sz="1800" b="0" i="0">
                  <a:solidFill>
                    <a:schemeClr val="tx1"/>
                  </a:solidFill>
                  <a:effectLst/>
                  <a:latin typeface="Cambria Math" panose="02040503050406030204" pitchFamily="18" charset="0"/>
                  <a:ea typeface="+mn-ea"/>
                  <a:cs typeface="+mn-cs"/>
                </a:rPr>
                <a:t>𝑆𝑎𝑙𝑒𝑠 −𝑉𝑎𝑟𝑖𝑎𝑏𝑙𝑒 𝑐𝑜𝑠𝑡𝑠−𝐹𝑖𝑥𝑒𝑑 𝐶𝑜𝑠𝑡𝑠)</a:t>
              </a:r>
              <a:endParaRPr lang="ru-RU" sz="1800">
                <a:latin typeface="+mn-lt"/>
              </a:endParaRPr>
            </a:p>
          </xdr:txBody>
        </xdr:sp>
      </mc:Fallback>
    </mc:AlternateContent>
    <xdr:clientData/>
  </xdr:oneCellAnchor>
  <xdr:oneCellAnchor>
    <xdr:from>
      <xdr:col>5</xdr:col>
      <xdr:colOff>66675</xdr:colOff>
      <xdr:row>20</xdr:row>
      <xdr:rowOff>9525</xdr:rowOff>
    </xdr:from>
    <xdr:ext cx="4943476" cy="523092"/>
    <mc:AlternateContent xmlns:mc="http://schemas.openxmlformats.org/markup-compatibility/2006" xmlns:a14="http://schemas.microsoft.com/office/drawing/2010/main">
      <mc:Choice Requires="a14">
        <xdr:sp macro="" textlink="">
          <xdr:nvSpPr>
            <xdr:cNvPr id="7" name="TextBox 6"/>
            <xdr:cNvSpPr txBox="1"/>
          </xdr:nvSpPr>
          <xdr:spPr>
            <a:xfrm>
              <a:off x="3114675" y="3819525"/>
              <a:ext cx="4943476" cy="523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400" b="0" i="1">
                            <a:latin typeface="Cambria Math" panose="02040503050406030204" pitchFamily="18" charset="0"/>
                          </a:rPr>
                        </m:ctrlPr>
                      </m:sSubPr>
                      <m:e>
                        <m:r>
                          <a:rPr lang="de-DE" sz="2400" b="0" i="1">
                            <a:latin typeface="Cambria Math"/>
                          </a:rPr>
                          <m:t>𝑘</m:t>
                        </m:r>
                      </m:e>
                      <m:sub>
                        <m:r>
                          <a:rPr lang="de-DE" sz="2400" b="0" i="1">
                            <a:latin typeface="Cambria Math"/>
                          </a:rPr>
                          <m:t>𝑒</m:t>
                        </m:r>
                      </m:sub>
                    </m:sSub>
                    <m:r>
                      <a:rPr lang="en-US" sz="2400" b="0" i="1">
                        <a:latin typeface="Cambria Math"/>
                      </a:rPr>
                      <m:t>=</m:t>
                    </m:r>
                    <m:sSub>
                      <m:sSubPr>
                        <m:ctrlPr>
                          <a:rPr lang="ru-RU" sz="240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𝑟</m:t>
                        </m:r>
                      </m:e>
                      <m:sub>
                        <m:r>
                          <a:rPr lang="de-DE" sz="2400" b="0" i="1">
                            <a:solidFill>
                              <a:schemeClr val="tx1"/>
                            </a:solidFill>
                            <a:effectLst/>
                            <a:latin typeface="Cambria Math"/>
                            <a:ea typeface="+mn-ea"/>
                            <a:cs typeface="+mn-cs"/>
                          </a:rPr>
                          <m:t>𝑓</m:t>
                        </m:r>
                      </m:sub>
                    </m:sSub>
                    <m:r>
                      <a:rPr lang="en-US" sz="2400" b="0" i="1">
                        <a:solidFill>
                          <a:schemeClr val="tx1"/>
                        </a:solidFill>
                        <a:effectLst/>
                        <a:latin typeface="Cambria Math"/>
                        <a:ea typeface="+mn-ea"/>
                        <a:cs typeface="+mn-cs"/>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Cambria Math"/>
                            <a:cs typeface="+mn-cs"/>
                          </a:rPr>
                          <m:t>𝛽</m:t>
                        </m:r>
                      </m:e>
                      <m:sub>
                        <m:r>
                          <a:rPr lang="de-DE" sz="2400" b="0" i="1">
                            <a:solidFill>
                              <a:schemeClr val="tx1"/>
                            </a:solidFill>
                            <a:effectLst/>
                            <a:latin typeface="Cambria Math"/>
                            <a:ea typeface="+mn-ea"/>
                            <a:cs typeface="+mn-cs"/>
                          </a:rPr>
                          <m:t>𝑢𝑙</m:t>
                        </m:r>
                      </m:sub>
                    </m:sSub>
                    <m:d>
                      <m:dPr>
                        <m:ctrlPr>
                          <a:rPr lang="en-US" sz="2400" b="0" i="1">
                            <a:solidFill>
                              <a:schemeClr val="tx1"/>
                            </a:solidFill>
                            <a:effectLst/>
                            <a:latin typeface="Cambria Math" panose="02040503050406030204" pitchFamily="18" charset="0"/>
                            <a:ea typeface="+mn-ea"/>
                            <a:cs typeface="+mn-cs"/>
                          </a:rPr>
                        </m:ctrlPr>
                      </m:dPr>
                      <m:e>
                        <m:sSub>
                          <m:sSubPr>
                            <m:ctrlPr>
                              <a:rPr lang="ru-RU" sz="240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𝑟</m:t>
                            </m:r>
                          </m:e>
                          <m:sub>
                            <m:r>
                              <a:rPr lang="de-DE" sz="2400" b="0" i="1">
                                <a:solidFill>
                                  <a:schemeClr val="tx1"/>
                                </a:solidFill>
                                <a:effectLst/>
                                <a:latin typeface="Cambria Math"/>
                                <a:ea typeface="+mn-ea"/>
                                <a:cs typeface="+mn-cs"/>
                              </a:rPr>
                              <m:t>𝑚</m:t>
                            </m:r>
                          </m:sub>
                        </m:sSub>
                        <m:r>
                          <a:rPr lang="en-US" sz="2400" b="0" i="1">
                            <a:solidFill>
                              <a:schemeClr val="tx1"/>
                            </a:solidFill>
                            <a:effectLst/>
                            <a:latin typeface="Cambria Math"/>
                            <a:ea typeface="+mn-ea"/>
                            <a:cs typeface="+mn-cs"/>
                          </a:rPr>
                          <m:t>−</m:t>
                        </m:r>
                        <m:sSub>
                          <m:sSubPr>
                            <m:ctrlPr>
                              <a:rPr lang="ru-RU" sz="240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𝑟</m:t>
                            </m:r>
                          </m:e>
                          <m:sub>
                            <m:r>
                              <a:rPr lang="de-DE" sz="2400" b="0" i="1">
                                <a:solidFill>
                                  <a:schemeClr val="tx1"/>
                                </a:solidFill>
                                <a:effectLst/>
                                <a:latin typeface="Cambria Math"/>
                                <a:ea typeface="+mn-ea"/>
                                <a:cs typeface="+mn-cs"/>
                              </a:rPr>
                              <m:t>𝑓</m:t>
                            </m:r>
                          </m:sub>
                        </m:sSub>
                      </m:e>
                    </m:d>
                  </m:oMath>
                </m:oMathPara>
              </a14:m>
              <a:endParaRPr lang="ru-RU" sz="2400">
                <a:latin typeface="+mn-lt"/>
              </a:endParaRPr>
            </a:p>
          </xdr:txBody>
        </xdr:sp>
      </mc:Choice>
      <mc:Fallback xmlns="">
        <xdr:sp macro="" textlink="">
          <xdr:nvSpPr>
            <xdr:cNvPr id="7" name="TextBox 6"/>
            <xdr:cNvSpPr txBox="1"/>
          </xdr:nvSpPr>
          <xdr:spPr>
            <a:xfrm>
              <a:off x="3114675" y="3819525"/>
              <a:ext cx="4943476" cy="523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de-DE" sz="2400" b="0" i="0">
                  <a:latin typeface="Cambria Math"/>
                </a:rPr>
                <a:t>𝑘</a:t>
              </a:r>
              <a:r>
                <a:rPr lang="en-US" sz="2400" b="0" i="0">
                  <a:latin typeface="Cambria Math" panose="02040503050406030204" pitchFamily="18" charset="0"/>
                </a:rPr>
                <a:t>_</a:t>
              </a:r>
              <a:r>
                <a:rPr lang="de-DE" sz="2400" b="0" i="0">
                  <a:latin typeface="Cambria Math"/>
                </a:rPr>
                <a:t>𝑒</a:t>
              </a:r>
              <a:r>
                <a:rPr lang="en-US" sz="2400" b="0" i="0">
                  <a:latin typeface="Cambria Math"/>
                </a:rPr>
                <a:t>=</a:t>
              </a:r>
              <a:r>
                <a:rPr lang="en-US" sz="2400" b="0" i="0">
                  <a:solidFill>
                    <a:schemeClr val="tx1"/>
                  </a:solidFill>
                  <a:effectLst/>
                  <a:latin typeface="Cambria Math"/>
                  <a:ea typeface="+mn-ea"/>
                  <a:cs typeface="+mn-cs"/>
                </a:rPr>
                <a:t>𝑟</a:t>
              </a:r>
              <a:r>
                <a:rPr lang="ru-RU" sz="2400" b="0" i="0">
                  <a:solidFill>
                    <a:schemeClr val="tx1"/>
                  </a:solidFill>
                  <a:effectLst/>
                  <a:latin typeface="Cambria Math" panose="02040503050406030204" pitchFamily="18" charset="0"/>
                  <a:ea typeface="+mn-ea"/>
                  <a:cs typeface="+mn-cs"/>
                </a:rPr>
                <a:t>_</a:t>
              </a:r>
              <a:r>
                <a:rPr lang="de-DE" sz="2400" b="0" i="0">
                  <a:solidFill>
                    <a:schemeClr val="tx1"/>
                  </a:solidFill>
                  <a:effectLst/>
                  <a:latin typeface="Cambria Math"/>
                  <a:ea typeface="+mn-ea"/>
                  <a:cs typeface="+mn-cs"/>
                </a:rPr>
                <a:t>𝑓</a:t>
              </a:r>
              <a:r>
                <a:rPr lang="en-US" sz="2400" b="0" i="0">
                  <a:solidFill>
                    <a:schemeClr val="tx1"/>
                  </a:solidFill>
                  <a:effectLst/>
                  <a:latin typeface="Cambria Math"/>
                  <a:ea typeface="+mn-ea"/>
                  <a:cs typeface="+mn-cs"/>
                </a:rPr>
                <a:t>+</a:t>
              </a:r>
              <a:r>
                <a:rPr lang="en-US" sz="2400" b="0" i="0">
                  <a:solidFill>
                    <a:schemeClr val="tx1"/>
                  </a:solidFill>
                  <a:effectLst/>
                  <a:latin typeface="Cambria Math"/>
                  <a:ea typeface="Cambria Math"/>
                  <a:cs typeface="+mn-cs"/>
                </a:rPr>
                <a:t>𝛽</a:t>
              </a:r>
              <a:r>
                <a:rPr lang="en-US" sz="2400" b="0" i="0">
                  <a:solidFill>
                    <a:schemeClr val="tx1"/>
                  </a:solidFill>
                  <a:effectLst/>
                  <a:latin typeface="Cambria Math" panose="02040503050406030204" pitchFamily="18" charset="0"/>
                  <a:ea typeface="+mn-ea"/>
                  <a:cs typeface="+mn-cs"/>
                </a:rPr>
                <a:t>_</a:t>
              </a:r>
              <a:r>
                <a:rPr lang="de-DE" sz="2400" b="0" i="0">
                  <a:solidFill>
                    <a:schemeClr val="tx1"/>
                  </a:solidFill>
                  <a:effectLst/>
                  <a:latin typeface="Cambria Math"/>
                  <a:ea typeface="+mn-ea"/>
                  <a:cs typeface="+mn-cs"/>
                </a:rPr>
                <a:t>𝑢𝑙</a:t>
              </a:r>
              <a:r>
                <a:rPr lang="en-US"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𝑟</a:t>
              </a:r>
              <a:r>
                <a:rPr lang="ru-RU" sz="2400" b="0" i="0">
                  <a:solidFill>
                    <a:schemeClr val="tx1"/>
                  </a:solidFill>
                  <a:effectLst/>
                  <a:latin typeface="Cambria Math" panose="02040503050406030204" pitchFamily="18" charset="0"/>
                  <a:ea typeface="+mn-ea"/>
                  <a:cs typeface="+mn-cs"/>
                </a:rPr>
                <a:t>_</a:t>
              </a:r>
              <a:r>
                <a:rPr lang="de-DE" sz="2400" b="0" i="0">
                  <a:solidFill>
                    <a:schemeClr val="tx1"/>
                  </a:solidFill>
                  <a:effectLst/>
                  <a:latin typeface="Cambria Math"/>
                  <a:ea typeface="+mn-ea"/>
                  <a:cs typeface="+mn-cs"/>
                </a:rPr>
                <a:t>𝑚</a:t>
              </a:r>
              <a:r>
                <a:rPr lang="en-US" sz="2400" b="0" i="0">
                  <a:solidFill>
                    <a:schemeClr val="tx1"/>
                  </a:solidFill>
                  <a:effectLst/>
                  <a:latin typeface="Cambria Math"/>
                  <a:ea typeface="+mn-ea"/>
                  <a:cs typeface="+mn-cs"/>
                </a:rPr>
                <a:t>−𝑟</a:t>
              </a:r>
              <a:r>
                <a:rPr lang="ru-RU" sz="2400" b="0" i="0">
                  <a:solidFill>
                    <a:schemeClr val="tx1"/>
                  </a:solidFill>
                  <a:effectLst/>
                  <a:latin typeface="Cambria Math" panose="02040503050406030204" pitchFamily="18" charset="0"/>
                  <a:ea typeface="+mn-ea"/>
                  <a:cs typeface="+mn-cs"/>
                </a:rPr>
                <a:t>_</a:t>
              </a:r>
              <a:r>
                <a:rPr lang="de-DE" sz="2400" b="0" i="0">
                  <a:solidFill>
                    <a:schemeClr val="tx1"/>
                  </a:solidFill>
                  <a:effectLst/>
                  <a:latin typeface="Cambria Math"/>
                  <a:ea typeface="+mn-ea"/>
                  <a:cs typeface="+mn-cs"/>
                </a:rPr>
                <a:t>𝑓</a:t>
              </a:r>
              <a:r>
                <a:rPr lang="de-DE" sz="2400" b="0" i="0">
                  <a:solidFill>
                    <a:schemeClr val="tx1"/>
                  </a:solidFill>
                  <a:effectLst/>
                  <a:latin typeface="Cambria Math" panose="02040503050406030204" pitchFamily="18" charset="0"/>
                  <a:ea typeface="+mn-ea"/>
                  <a:cs typeface="+mn-cs"/>
                </a:rPr>
                <a:t> )</a:t>
              </a:r>
              <a:endParaRPr lang="ru-RU" sz="2400">
                <a:latin typeface="+mn-lt"/>
              </a:endParaRPr>
            </a:p>
          </xdr:txBody>
        </xdr:sp>
      </mc:Fallback>
    </mc:AlternateContent>
    <xdr:clientData/>
  </xdr:oneCellAnchor>
  <xdr:oneCellAnchor>
    <xdr:from>
      <xdr:col>4</xdr:col>
      <xdr:colOff>285750</xdr:colOff>
      <xdr:row>22</xdr:row>
      <xdr:rowOff>104775</xdr:rowOff>
    </xdr:from>
    <xdr:ext cx="4943476" cy="468013"/>
    <mc:AlternateContent xmlns:mc="http://schemas.openxmlformats.org/markup-compatibility/2006" xmlns:a14="http://schemas.microsoft.com/office/drawing/2010/main">
      <mc:Choice Requires="a14">
        <xdr:sp macro="" textlink="">
          <xdr:nvSpPr>
            <xdr:cNvPr id="8" name="TextBox 7"/>
            <xdr:cNvSpPr txBox="1"/>
          </xdr:nvSpPr>
          <xdr:spPr>
            <a:xfrm>
              <a:off x="2724150" y="4295775"/>
              <a:ext cx="494347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400" b="0" i="1">
                            <a:latin typeface="Cambria Math" panose="02040503050406030204" pitchFamily="18" charset="0"/>
                          </a:rPr>
                        </m:ctrlPr>
                      </m:sSubPr>
                      <m:e>
                        <m:r>
                          <a:rPr lang="en-US" sz="2400" b="0" i="1">
                            <a:latin typeface="Cambria Math"/>
                          </a:rPr>
                          <m:t>𝑉</m:t>
                        </m:r>
                      </m:e>
                      <m:sub>
                        <m:r>
                          <a:rPr lang="en-US" sz="2400" b="0" i="1">
                            <a:latin typeface="Cambria Math"/>
                          </a:rPr>
                          <m:t>𝑙</m:t>
                        </m:r>
                        <m:r>
                          <a:rPr lang="de-DE" sz="2400" b="0" i="1">
                            <a:latin typeface="Cambria Math"/>
                          </a:rPr>
                          <m:t>𝑒</m:t>
                        </m:r>
                        <m:r>
                          <a:rPr lang="en-US" sz="2400" b="0" i="1">
                            <a:latin typeface="Cambria Math"/>
                          </a:rPr>
                          <m:t>𝑣</m:t>
                        </m:r>
                      </m:sub>
                    </m:sSub>
                    <m:r>
                      <a:rPr lang="en-US" sz="2400" b="0" i="1">
                        <a:latin typeface="Cambria Math"/>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𝑉</m:t>
                        </m:r>
                      </m:e>
                      <m:sub>
                        <m:r>
                          <a:rPr lang="en-US" sz="2400" b="0" i="1">
                            <a:solidFill>
                              <a:schemeClr val="tx1"/>
                            </a:solidFill>
                            <a:effectLst/>
                            <a:latin typeface="Cambria Math"/>
                            <a:ea typeface="+mn-ea"/>
                            <a:cs typeface="+mn-cs"/>
                          </a:rPr>
                          <m:t>𝑢𝑙</m:t>
                        </m:r>
                      </m:sub>
                    </m:sSub>
                    <m:r>
                      <a:rPr lang="en-US" sz="2400" b="0" i="1">
                        <a:solidFill>
                          <a:schemeClr val="tx1"/>
                        </a:solidFill>
                        <a:effectLst/>
                        <a:latin typeface="Cambria Math"/>
                        <a:ea typeface="+mn-ea"/>
                        <a:cs typeface="+mn-cs"/>
                      </a:rPr>
                      <m:t>+</m:t>
                    </m:r>
                    <m:r>
                      <a:rPr lang="en-US" sz="2400" b="0" i="1">
                        <a:solidFill>
                          <a:schemeClr val="tx1"/>
                        </a:solidFill>
                        <a:effectLst/>
                        <a:latin typeface="Cambria Math"/>
                        <a:ea typeface="+mn-ea"/>
                        <a:cs typeface="+mn-cs"/>
                      </a:rPr>
                      <m:t>𝐷</m:t>
                    </m:r>
                    <m:r>
                      <a:rPr lang="en-US" sz="2400" b="0" i="1">
                        <a:solidFill>
                          <a:schemeClr val="tx1"/>
                        </a:solidFill>
                        <a:effectLst/>
                        <a:latin typeface="Cambria Math"/>
                        <a:ea typeface="+mn-ea"/>
                        <a:cs typeface="+mn-cs"/>
                      </a:rPr>
                      <m:t>∗</m:t>
                    </m:r>
                    <m:r>
                      <a:rPr lang="en-US" sz="2400" b="0" i="1">
                        <a:solidFill>
                          <a:schemeClr val="tx1"/>
                        </a:solidFill>
                        <a:effectLst/>
                        <a:latin typeface="Cambria Math"/>
                        <a:ea typeface="+mn-ea"/>
                        <a:cs typeface="+mn-cs"/>
                      </a:rPr>
                      <m:t>𝑇𝑎𝑥</m:t>
                    </m:r>
                  </m:oMath>
                </m:oMathPara>
              </a14:m>
              <a:endParaRPr lang="ru-RU" sz="2400">
                <a:latin typeface="+mn-lt"/>
              </a:endParaRPr>
            </a:p>
          </xdr:txBody>
        </xdr:sp>
      </mc:Choice>
      <mc:Fallback xmlns="">
        <xdr:sp macro="" textlink="">
          <xdr:nvSpPr>
            <xdr:cNvPr id="8" name="TextBox 7"/>
            <xdr:cNvSpPr txBox="1"/>
          </xdr:nvSpPr>
          <xdr:spPr>
            <a:xfrm>
              <a:off x="2724150" y="4295775"/>
              <a:ext cx="494347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𝑉</a:t>
              </a:r>
              <a:r>
                <a:rPr lang="en-US" sz="2400" b="0" i="0">
                  <a:latin typeface="Cambria Math" panose="02040503050406030204" pitchFamily="18" charset="0"/>
                </a:rPr>
                <a:t>_</a:t>
              </a:r>
              <a:r>
                <a:rPr lang="en-US" sz="2400" b="0" i="0">
                  <a:latin typeface="Cambria Math"/>
                </a:rPr>
                <a:t>𝑙</a:t>
              </a:r>
              <a:r>
                <a:rPr lang="de-DE" sz="2400" b="0" i="0">
                  <a:latin typeface="Cambria Math"/>
                </a:rPr>
                <a:t>𝑒</a:t>
              </a:r>
              <a:r>
                <a:rPr lang="en-US" sz="2400" b="0" i="0">
                  <a:latin typeface="Cambria Math"/>
                </a:rPr>
                <a:t>𝑣=</a:t>
              </a:r>
              <a:r>
                <a:rPr lang="en-US" sz="2400" b="0" i="0">
                  <a:solidFill>
                    <a:schemeClr val="tx1"/>
                  </a:solidFill>
                  <a:effectLst/>
                  <a:latin typeface="Cambria Math"/>
                  <a:ea typeface="+mn-ea"/>
                  <a:cs typeface="+mn-cs"/>
                </a:rPr>
                <a:t>𝑉</a:t>
              </a:r>
              <a:r>
                <a:rPr lang="en-US" sz="2400" b="0" i="0">
                  <a:solidFill>
                    <a:schemeClr val="tx1"/>
                  </a:solidFill>
                  <a:effectLst/>
                  <a:latin typeface="Cambria Math" panose="02040503050406030204" pitchFamily="18" charset="0"/>
                  <a:ea typeface="+mn-ea"/>
                  <a:cs typeface="+mn-cs"/>
                </a:rPr>
                <a:t>_</a:t>
              </a:r>
              <a:r>
                <a:rPr lang="en-US" sz="2400" b="0" i="0">
                  <a:solidFill>
                    <a:schemeClr val="tx1"/>
                  </a:solidFill>
                  <a:effectLst/>
                  <a:latin typeface="Cambria Math"/>
                  <a:ea typeface="+mn-ea"/>
                  <a:cs typeface="+mn-cs"/>
                </a:rPr>
                <a:t>𝑢𝑙+𝐷∗𝑇𝑎𝑥</a:t>
              </a:r>
              <a:endParaRPr lang="ru-RU" sz="2400">
                <a:latin typeface="+mn-lt"/>
              </a:endParaRPr>
            </a:p>
          </xdr:txBody>
        </xdr:sp>
      </mc:Fallback>
    </mc:AlternateContent>
    <xdr:clientData/>
  </xdr:oneCellAnchor>
  <xdr:oneCellAnchor>
    <xdr:from>
      <xdr:col>5</xdr:col>
      <xdr:colOff>66675</xdr:colOff>
      <xdr:row>24</xdr:row>
      <xdr:rowOff>180975</xdr:rowOff>
    </xdr:from>
    <xdr:ext cx="4943476" cy="793679"/>
    <mc:AlternateContent xmlns:mc="http://schemas.openxmlformats.org/markup-compatibility/2006" xmlns:a14="http://schemas.microsoft.com/office/drawing/2010/main">
      <mc:Choice Requires="a14">
        <xdr:sp macro="" textlink="">
          <xdr:nvSpPr>
            <xdr:cNvPr id="9" name="TextBox 8"/>
            <xdr:cNvSpPr txBox="1"/>
          </xdr:nvSpPr>
          <xdr:spPr>
            <a:xfrm>
              <a:off x="3114675" y="4752975"/>
              <a:ext cx="4943476" cy="793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400" b="0" i="1">
                            <a:latin typeface="Cambria Math" panose="02040503050406030204" pitchFamily="18" charset="0"/>
                          </a:rPr>
                        </m:ctrlPr>
                      </m:sSubPr>
                      <m:e>
                        <m:r>
                          <a:rPr lang="en-US" sz="2400" b="0" i="1">
                            <a:latin typeface="Cambria Math"/>
                            <a:ea typeface="Cambria Math"/>
                          </a:rPr>
                          <m:t>𝛽</m:t>
                        </m:r>
                      </m:e>
                      <m:sub>
                        <m:r>
                          <a:rPr lang="en-US" sz="2400" b="0" i="1">
                            <a:latin typeface="Cambria Math"/>
                          </a:rPr>
                          <m:t>𝑙</m:t>
                        </m:r>
                        <m:r>
                          <a:rPr lang="de-DE" sz="2400" b="0" i="1">
                            <a:latin typeface="Cambria Math"/>
                          </a:rPr>
                          <m:t>𝑒</m:t>
                        </m:r>
                        <m:r>
                          <a:rPr lang="en-US" sz="2400" b="0" i="1">
                            <a:latin typeface="Cambria Math"/>
                          </a:rPr>
                          <m:t>𝑣</m:t>
                        </m:r>
                      </m:sub>
                    </m:sSub>
                    <m:r>
                      <a:rPr lang="en-US" sz="2400" b="0" i="1">
                        <a:latin typeface="Cambria Math"/>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𝛽</m:t>
                        </m:r>
                      </m:e>
                      <m:sub>
                        <m:r>
                          <a:rPr lang="de-DE" sz="2400" b="0" i="1">
                            <a:solidFill>
                              <a:schemeClr val="tx1"/>
                            </a:solidFill>
                            <a:effectLst/>
                            <a:latin typeface="Cambria Math"/>
                            <a:ea typeface="+mn-ea"/>
                            <a:cs typeface="+mn-cs"/>
                          </a:rPr>
                          <m:t>𝑢𝑙</m:t>
                        </m:r>
                      </m:sub>
                    </m:sSub>
                    <m:d>
                      <m:dPr>
                        <m:begChr m:val="["/>
                        <m:endChr m:val="]"/>
                        <m:ctrlPr>
                          <a:rPr lang="de-DE"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f>
                          <m:fPr>
                            <m:ctrlPr>
                              <a:rPr lang="en-US" sz="2400" b="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𝐷</m:t>
                            </m:r>
                          </m:num>
                          <m:den>
                            <m:r>
                              <a:rPr lang="en-US" sz="2400" b="0" i="1">
                                <a:solidFill>
                                  <a:schemeClr val="tx1"/>
                                </a:solidFill>
                                <a:effectLst/>
                                <a:latin typeface="Cambria Math"/>
                                <a:ea typeface="+mn-ea"/>
                                <a:cs typeface="+mn-cs"/>
                              </a:rPr>
                              <m:t>𝐸</m:t>
                            </m:r>
                          </m:den>
                        </m:f>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en-US" sz="2400" b="0" i="1">
                                <a:solidFill>
                                  <a:schemeClr val="tx1"/>
                                </a:solidFill>
                                <a:effectLst/>
                                <a:latin typeface="Cambria Math"/>
                                <a:ea typeface="+mn-ea"/>
                                <a:cs typeface="+mn-cs"/>
                              </a:rPr>
                              <m:t>𝑇</m:t>
                            </m:r>
                          </m:e>
                        </m:d>
                      </m:e>
                    </m:d>
                  </m:oMath>
                </m:oMathPara>
              </a14:m>
              <a:endParaRPr lang="ru-RU" sz="2400">
                <a:latin typeface="+mn-lt"/>
              </a:endParaRPr>
            </a:p>
          </xdr:txBody>
        </xdr:sp>
      </mc:Choice>
      <mc:Fallback xmlns="">
        <xdr:sp macro="" textlink="">
          <xdr:nvSpPr>
            <xdr:cNvPr id="9" name="TextBox 8"/>
            <xdr:cNvSpPr txBox="1"/>
          </xdr:nvSpPr>
          <xdr:spPr>
            <a:xfrm>
              <a:off x="3114675" y="4752975"/>
              <a:ext cx="4943476" cy="793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ea typeface="Cambria Math"/>
                </a:rPr>
                <a:t>𝛽</a:t>
              </a:r>
              <a:r>
                <a:rPr lang="en-US" sz="2400" b="0" i="0">
                  <a:latin typeface="Cambria Math" panose="02040503050406030204" pitchFamily="18" charset="0"/>
                  <a:ea typeface="Cambria Math"/>
                </a:rPr>
                <a:t>_</a:t>
              </a:r>
              <a:r>
                <a:rPr lang="en-US" sz="2400" b="0" i="0">
                  <a:latin typeface="Cambria Math"/>
                </a:rPr>
                <a:t>𝑙</a:t>
              </a:r>
              <a:r>
                <a:rPr lang="de-DE" sz="2400" b="0" i="0">
                  <a:latin typeface="Cambria Math"/>
                </a:rPr>
                <a:t>𝑒</a:t>
              </a:r>
              <a:r>
                <a:rPr lang="en-US" sz="2400" b="0" i="0">
                  <a:latin typeface="Cambria Math"/>
                </a:rPr>
                <a:t>𝑣=</a:t>
              </a:r>
              <a:r>
                <a:rPr lang="en-US" sz="2400" b="0" i="0">
                  <a:solidFill>
                    <a:schemeClr val="tx1"/>
                  </a:solidFill>
                  <a:effectLst/>
                  <a:latin typeface="Cambria Math"/>
                  <a:ea typeface="+mn-ea"/>
                  <a:cs typeface="+mn-cs"/>
                </a:rPr>
                <a:t>𝛽</a:t>
              </a:r>
              <a:r>
                <a:rPr lang="en-US" sz="2400" b="0" i="0">
                  <a:solidFill>
                    <a:schemeClr val="tx1"/>
                  </a:solidFill>
                  <a:effectLst/>
                  <a:latin typeface="Cambria Math" panose="02040503050406030204" pitchFamily="18" charset="0"/>
                  <a:ea typeface="+mn-ea"/>
                  <a:cs typeface="+mn-cs"/>
                </a:rPr>
                <a:t>_</a:t>
              </a:r>
              <a:r>
                <a:rPr lang="de-DE" sz="2400" b="0" i="0">
                  <a:solidFill>
                    <a:schemeClr val="tx1"/>
                  </a:solidFill>
                  <a:effectLst/>
                  <a:latin typeface="Cambria Math"/>
                  <a:ea typeface="+mn-ea"/>
                  <a:cs typeface="+mn-cs"/>
                </a:rPr>
                <a:t>𝑢𝑙</a:t>
              </a:r>
              <a:r>
                <a:rPr lang="de-DE"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1+𝐷</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𝐸</a:t>
              </a:r>
              <a:r>
                <a:rPr lang="en-US"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1−𝑇</a:t>
              </a:r>
              <a:r>
                <a:rPr lang="en-US" sz="2400" b="0" i="0">
                  <a:solidFill>
                    <a:schemeClr val="tx1"/>
                  </a:solidFill>
                  <a:effectLst/>
                  <a:latin typeface="Cambria Math" panose="02040503050406030204" pitchFamily="18" charset="0"/>
                  <a:ea typeface="+mn-ea"/>
                  <a:cs typeface="+mn-cs"/>
                </a:rPr>
                <a:t>)]</a:t>
              </a:r>
              <a:endParaRPr lang="ru-RU" sz="2400">
                <a:latin typeface="+mn-lt"/>
              </a:endParaRPr>
            </a:p>
          </xdr:txBody>
        </xdr:sp>
      </mc:Fallback>
    </mc:AlternateContent>
    <xdr:clientData/>
  </xdr:oneCellAnchor>
  <xdr:oneCellAnchor>
    <xdr:from>
      <xdr:col>2</xdr:col>
      <xdr:colOff>258536</xdr:colOff>
      <xdr:row>66</xdr:row>
      <xdr:rowOff>40821</xdr:rowOff>
    </xdr:from>
    <xdr:ext cx="6829425" cy="793743"/>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23DCC057-DF51-4030-BE5C-B9D11D19DF1C}"/>
                </a:ext>
              </a:extLst>
            </xdr:cNvPr>
            <xdr:cNvSpPr txBox="1"/>
          </xdr:nvSpPr>
          <xdr:spPr>
            <a:xfrm>
              <a:off x="1477736" y="12613821"/>
              <a:ext cx="6829425" cy="79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𝑆𝑎𝑓𝑒𝑡𝑦</m:t>
                    </m:r>
                    <m:r>
                      <a:rPr lang="en-US" sz="2400" b="0" i="1">
                        <a:latin typeface="Cambria Math"/>
                      </a:rPr>
                      <m:t> </m:t>
                    </m:r>
                    <m:r>
                      <a:rPr lang="en-US" sz="2400" b="0" i="1">
                        <a:latin typeface="Cambria Math"/>
                      </a:rPr>
                      <m:t>𝑚𝑎𝑟𝑔𝑖𝑛</m:t>
                    </m:r>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𝑆𝑎𝑙𝑒𝑠</m:t>
                        </m:r>
                        <m:r>
                          <a:rPr lang="en-US" sz="2400" b="0" i="1">
                            <a:latin typeface="Cambria Math"/>
                          </a:rPr>
                          <m:t> −</m:t>
                        </m:r>
                        <m:r>
                          <a:rPr lang="en-US" sz="2400" b="0" i="1">
                            <a:latin typeface="Cambria Math"/>
                          </a:rPr>
                          <m:t>𝐵𝐸𝑃</m:t>
                        </m:r>
                      </m:num>
                      <m:den>
                        <m:r>
                          <a:rPr lang="en-US" sz="2400" b="0" i="1">
                            <a:latin typeface="Cambria Math"/>
                          </a:rPr>
                          <m:t>𝑆𝑎𝑙𝑒𝑠</m:t>
                        </m:r>
                      </m:den>
                    </m:f>
                  </m:oMath>
                </m:oMathPara>
              </a14:m>
              <a:endParaRPr lang="ru-RU" sz="2400">
                <a:latin typeface="+mn-lt"/>
              </a:endParaRPr>
            </a:p>
          </xdr:txBody>
        </xdr:sp>
      </mc:Choice>
      <mc:Fallback xmlns="">
        <xdr:sp macro="" textlink="">
          <xdr:nvSpPr>
            <xdr:cNvPr id="10" name="TextBox 9">
              <a:extLst>
                <a:ext uri="{FF2B5EF4-FFF2-40B4-BE49-F238E27FC236}">
                  <a16:creationId xmlns:a16="http://schemas.microsoft.com/office/drawing/2014/main" id="{23DCC057-DF51-4030-BE5C-B9D11D19DF1C}"/>
                </a:ext>
              </a:extLst>
            </xdr:cNvPr>
            <xdr:cNvSpPr txBox="1"/>
          </xdr:nvSpPr>
          <xdr:spPr>
            <a:xfrm>
              <a:off x="1477736" y="12613821"/>
              <a:ext cx="6829425" cy="79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𝑆𝑎𝑓𝑒𝑡𝑦 𝑚𝑎𝑟𝑔𝑖𝑛=</a:t>
              </a:r>
              <a:r>
                <a:rPr lang="en-US" sz="2400" b="0" i="0">
                  <a:latin typeface="Cambria Math" panose="02040503050406030204" pitchFamily="18" charset="0"/>
                </a:rPr>
                <a:t>(</a:t>
              </a:r>
              <a:r>
                <a:rPr lang="en-US" sz="2400" b="0" i="0">
                  <a:latin typeface="Cambria Math"/>
                </a:rPr>
                <a:t>𝑆𝑎𝑙𝑒𝑠 −𝐵𝐸𝑃</a:t>
              </a:r>
              <a:r>
                <a:rPr lang="en-US" sz="2400" b="0" i="0">
                  <a:latin typeface="Cambria Math" panose="02040503050406030204" pitchFamily="18" charset="0"/>
                </a:rPr>
                <a:t>)/</a:t>
              </a:r>
              <a:r>
                <a:rPr lang="en-US" sz="2400" b="0" i="0">
                  <a:latin typeface="Cambria Math"/>
                </a:rPr>
                <a:t>𝑆𝑎𝑙𝑒𝑠</a:t>
              </a:r>
              <a:endParaRPr lang="ru-RU" sz="2400">
                <a:latin typeface="+mn-lt"/>
              </a:endParaRPr>
            </a:p>
          </xdr:txBody>
        </xdr:sp>
      </mc:Fallback>
    </mc:AlternateContent>
    <xdr:clientData/>
  </xdr:oneCellAnchor>
  <xdr:oneCellAnchor>
    <xdr:from>
      <xdr:col>3</xdr:col>
      <xdr:colOff>313236</xdr:colOff>
      <xdr:row>70</xdr:row>
      <xdr:rowOff>81643</xdr:rowOff>
    </xdr:from>
    <xdr:ext cx="4943476" cy="793743"/>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5DB4C3A3-A5C6-405A-BC26-43E281CCD372}"/>
                </a:ext>
              </a:extLst>
            </xdr:cNvPr>
            <xdr:cNvSpPr txBox="1"/>
          </xdr:nvSpPr>
          <xdr:spPr>
            <a:xfrm>
              <a:off x="2142036" y="13416643"/>
              <a:ext cx="4943476" cy="79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𝐶𝑀</m:t>
                    </m:r>
                    <m:r>
                      <a:rPr lang="en-US" sz="2400" b="0" i="1">
                        <a:latin typeface="Cambria Math"/>
                      </a:rPr>
                      <m:t> </m:t>
                    </m:r>
                    <m:r>
                      <a:rPr lang="en-US" sz="2400" b="0" i="1">
                        <a:latin typeface="Cambria Math"/>
                      </a:rPr>
                      <m:t>𝑟𝑎𝑡𝑖𝑜</m:t>
                    </m:r>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𝑆𝑎𝑙𝑒𝑠</m:t>
                        </m:r>
                        <m:r>
                          <a:rPr lang="en-US" sz="2400" b="0" i="1">
                            <a:latin typeface="Cambria Math"/>
                          </a:rPr>
                          <m:t> −</m:t>
                        </m:r>
                        <m:r>
                          <a:rPr lang="en-US" sz="2400" b="0" i="1">
                            <a:latin typeface="Cambria Math"/>
                          </a:rPr>
                          <m:t>𝑉𝑎𝑟𝑖𝑎𝑏𝑙𝑒</m:t>
                        </m:r>
                        <m:r>
                          <a:rPr lang="en-US" sz="2400" b="0" i="1">
                            <a:latin typeface="Cambria Math"/>
                          </a:rPr>
                          <m:t> </m:t>
                        </m:r>
                        <m:r>
                          <a:rPr lang="en-US" sz="2400" b="0" i="1">
                            <a:latin typeface="Cambria Math"/>
                          </a:rPr>
                          <m:t>𝑐𝑜𝑠𝑡𝑠</m:t>
                        </m:r>
                      </m:num>
                      <m:den>
                        <m:r>
                          <a:rPr lang="en-US" sz="2400" b="0" i="1">
                            <a:latin typeface="Cambria Math"/>
                          </a:rPr>
                          <m:t>𝑆𝑎𝑙𝑒𝑠</m:t>
                        </m:r>
                      </m:den>
                    </m:f>
                  </m:oMath>
                </m:oMathPara>
              </a14:m>
              <a:endParaRPr lang="ru-RU" sz="2400">
                <a:latin typeface="+mn-lt"/>
              </a:endParaRPr>
            </a:p>
          </xdr:txBody>
        </xdr:sp>
      </mc:Choice>
      <mc:Fallback xmlns="">
        <xdr:sp macro="" textlink="">
          <xdr:nvSpPr>
            <xdr:cNvPr id="11" name="TextBox 10">
              <a:extLst>
                <a:ext uri="{FF2B5EF4-FFF2-40B4-BE49-F238E27FC236}">
                  <a16:creationId xmlns:a16="http://schemas.microsoft.com/office/drawing/2014/main" id="{5DB4C3A3-A5C6-405A-BC26-43E281CCD372}"/>
                </a:ext>
              </a:extLst>
            </xdr:cNvPr>
            <xdr:cNvSpPr txBox="1"/>
          </xdr:nvSpPr>
          <xdr:spPr>
            <a:xfrm>
              <a:off x="2142036" y="13416643"/>
              <a:ext cx="4943476" cy="79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𝐶𝑀 𝑟𝑎𝑡𝑖𝑜=</a:t>
              </a:r>
              <a:r>
                <a:rPr lang="en-US" sz="2400" b="0" i="0">
                  <a:latin typeface="Cambria Math" panose="02040503050406030204" pitchFamily="18" charset="0"/>
                </a:rPr>
                <a:t>(</a:t>
              </a:r>
              <a:r>
                <a:rPr lang="en-US" sz="2400" b="0" i="0">
                  <a:latin typeface="Cambria Math"/>
                </a:rPr>
                <a:t>𝑆𝑎𝑙𝑒𝑠 −𝑉𝑎𝑟𝑖𝑎𝑏𝑙𝑒 𝑐𝑜𝑠𝑡𝑠</a:t>
              </a:r>
              <a:r>
                <a:rPr lang="en-US" sz="2400" b="0" i="0">
                  <a:latin typeface="Cambria Math" panose="02040503050406030204" pitchFamily="18" charset="0"/>
                </a:rPr>
                <a:t>)/</a:t>
              </a:r>
              <a:r>
                <a:rPr lang="en-US" sz="2400" b="0" i="0">
                  <a:latin typeface="Cambria Math"/>
                </a:rPr>
                <a:t>𝑆𝑎𝑙𝑒𝑠</a:t>
              </a:r>
              <a:endParaRPr lang="ru-RU" sz="2400">
                <a:latin typeface="+mn-lt"/>
              </a:endParaRPr>
            </a:p>
          </xdr:txBody>
        </xdr:sp>
      </mc:Fallback>
    </mc:AlternateContent>
    <xdr:clientData/>
  </xdr:oneCellAnchor>
  <xdr:oneCellAnchor>
    <xdr:from>
      <xdr:col>2</xdr:col>
      <xdr:colOff>27214</xdr:colOff>
      <xdr:row>74</xdr:row>
      <xdr:rowOff>231322</xdr:rowOff>
    </xdr:from>
    <xdr:ext cx="7962900" cy="795987"/>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4DB7A6E-C1F0-446C-879A-153ACD3D1C38}"/>
                </a:ext>
              </a:extLst>
            </xdr:cNvPr>
            <xdr:cNvSpPr txBox="1"/>
          </xdr:nvSpPr>
          <xdr:spPr>
            <a:xfrm>
              <a:off x="1246414" y="14290222"/>
              <a:ext cx="7962900" cy="795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𝐵𝐸𝑃</m:t>
                    </m:r>
                    <m:r>
                      <a:rPr lang="en-US" sz="2400" b="0" i="1">
                        <a:latin typeface="Cambria Math"/>
                      </a:rPr>
                      <m:t>(</m:t>
                    </m:r>
                    <m:r>
                      <a:rPr lang="en-US" sz="2400" b="0" i="1">
                        <a:latin typeface="Cambria Math"/>
                      </a:rPr>
                      <m:t>𝑆𝑎𝑙𝑒𝑠</m:t>
                    </m:r>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𝐹𝑖𝑥𝑒𝑑</m:t>
                        </m:r>
                        <m:r>
                          <a:rPr lang="en-US" sz="2400" b="0" i="1">
                            <a:latin typeface="Cambria Math"/>
                          </a:rPr>
                          <m:t> </m:t>
                        </m:r>
                        <m:r>
                          <a:rPr lang="en-US" sz="2400" b="0" i="1">
                            <a:latin typeface="Cambria Math"/>
                          </a:rPr>
                          <m:t>𝑐𝑜𝑠𝑡𝑠</m:t>
                        </m:r>
                        <m:r>
                          <a:rPr lang="en-US" sz="2400" b="0" i="1">
                            <a:latin typeface="Cambria Math"/>
                          </a:rPr>
                          <m:t>+</m:t>
                        </m:r>
                        <m:r>
                          <a:rPr lang="en-US" sz="2400" b="0" i="1">
                            <a:latin typeface="Cambria Math"/>
                          </a:rPr>
                          <m:t>𝑂𝑝𝑒𝑟𝑎𝑡𝑖𝑛𝑔</m:t>
                        </m:r>
                        <m:r>
                          <a:rPr lang="en-US" sz="2400" b="0" i="1">
                            <a:latin typeface="Cambria Math"/>
                          </a:rPr>
                          <m:t> </m:t>
                        </m:r>
                        <m:r>
                          <a:rPr lang="en-US" sz="2400" b="0" i="1">
                            <a:latin typeface="Cambria Math"/>
                          </a:rPr>
                          <m:t>𝑖𝑛𝑐𝑜𝑚𝑒</m:t>
                        </m:r>
                        <m:r>
                          <a:rPr lang="en-US" sz="2400" b="0" i="1">
                            <a:latin typeface="Cambria Math"/>
                          </a:rPr>
                          <m:t> (</m:t>
                        </m:r>
                        <m:r>
                          <a:rPr lang="en-US" sz="2400" b="0" i="1">
                            <a:latin typeface="Cambria Math"/>
                          </a:rPr>
                          <m:t>𝑎𝑠</m:t>
                        </m:r>
                        <m:r>
                          <a:rPr lang="en-US" sz="2400" b="0" i="1">
                            <a:latin typeface="Cambria Math"/>
                          </a:rPr>
                          <m:t> 0)</m:t>
                        </m:r>
                      </m:num>
                      <m:den>
                        <m:r>
                          <a:rPr lang="en-US" sz="2400" b="0" i="1">
                            <a:latin typeface="Cambria Math"/>
                          </a:rPr>
                          <m:t>𝐶𝑀</m:t>
                        </m:r>
                        <m:r>
                          <a:rPr lang="en-US" sz="2400" b="0" i="1">
                            <a:latin typeface="Cambria Math"/>
                          </a:rPr>
                          <m:t> </m:t>
                        </m:r>
                        <m:r>
                          <a:rPr lang="en-US" sz="2400" b="0" i="1">
                            <a:latin typeface="Cambria Math"/>
                          </a:rPr>
                          <m:t>𝑟𝑎𝑡𝑖𝑜</m:t>
                        </m:r>
                      </m:den>
                    </m:f>
                  </m:oMath>
                </m:oMathPara>
              </a14:m>
              <a:endParaRPr lang="ru-RU" sz="2400">
                <a:latin typeface="+mn-lt"/>
              </a:endParaRPr>
            </a:p>
          </xdr:txBody>
        </xdr:sp>
      </mc:Choice>
      <mc:Fallback xmlns="">
        <xdr:sp macro="" textlink="">
          <xdr:nvSpPr>
            <xdr:cNvPr id="12" name="TextBox 11">
              <a:extLst>
                <a:ext uri="{FF2B5EF4-FFF2-40B4-BE49-F238E27FC236}">
                  <a16:creationId xmlns:a16="http://schemas.microsoft.com/office/drawing/2014/main" id="{14DB7A6E-C1F0-446C-879A-153ACD3D1C38}"/>
                </a:ext>
              </a:extLst>
            </xdr:cNvPr>
            <xdr:cNvSpPr txBox="1"/>
          </xdr:nvSpPr>
          <xdr:spPr>
            <a:xfrm>
              <a:off x="1246414" y="14290222"/>
              <a:ext cx="7962900" cy="795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𝐵𝐸𝑃(𝑆𝑎𝑙𝑒𝑠)=</a:t>
              </a:r>
              <a:r>
                <a:rPr lang="en-US" sz="2400" b="0" i="0">
                  <a:latin typeface="Cambria Math" panose="02040503050406030204" pitchFamily="18" charset="0"/>
                </a:rPr>
                <a:t>(</a:t>
              </a:r>
              <a:r>
                <a:rPr lang="en-US" sz="2400" b="0" i="0">
                  <a:latin typeface="Cambria Math"/>
                </a:rPr>
                <a:t>𝐹𝑖𝑥𝑒𝑑 𝑐𝑜𝑠𝑡𝑠+𝑂𝑝𝑒𝑟𝑎𝑡𝑖𝑛𝑔 𝑖𝑛𝑐𝑜𝑚𝑒 (𝑎𝑠 0)</a:t>
              </a:r>
              <a:r>
                <a:rPr lang="en-US" sz="2400" b="0" i="0">
                  <a:latin typeface="Cambria Math" panose="02040503050406030204" pitchFamily="18" charset="0"/>
                </a:rPr>
                <a:t>)/(</a:t>
              </a:r>
              <a:r>
                <a:rPr lang="en-US" sz="2400" b="0" i="0">
                  <a:latin typeface="Cambria Math"/>
                </a:rPr>
                <a:t>𝐶𝑀 𝑟𝑎𝑡𝑖𝑜</a:t>
              </a:r>
              <a:r>
                <a:rPr lang="en-US" sz="2400" b="0" i="0">
                  <a:latin typeface="Cambria Math" panose="02040503050406030204" pitchFamily="18" charset="0"/>
                </a:rPr>
                <a:t>)</a:t>
              </a:r>
              <a:endParaRPr lang="ru-RU" sz="2400">
                <a:latin typeface="+mn-lt"/>
              </a:endParaRPr>
            </a:p>
          </xdr:txBody>
        </xdr:sp>
      </mc:Fallback>
    </mc:AlternateContent>
    <xdr:clientData/>
  </xdr:oneCellAnchor>
</xdr:wsDr>
</file>

<file path=xl/drawings/drawing14.xml><?xml version="1.0" encoding="utf-8"?>
<xdr:wsDr xmlns:xdr="http://schemas.openxmlformats.org/drawingml/2006/spreadsheetDrawing" xmlns:a="http://schemas.openxmlformats.org/drawingml/2006/main">
  <xdr:oneCellAnchor>
    <xdr:from>
      <xdr:col>3</xdr:col>
      <xdr:colOff>1028699</xdr:colOff>
      <xdr:row>17</xdr:row>
      <xdr:rowOff>0</xdr:rowOff>
    </xdr:from>
    <xdr:ext cx="3743326" cy="8508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438399" y="3238500"/>
              <a:ext cx="3743326" cy="850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2400" i="1">
                        <a:solidFill>
                          <a:schemeClr val="tx1"/>
                        </a:solidFill>
                        <a:effectLst/>
                        <a:latin typeface="Cambria Math" panose="02040503050406030204" pitchFamily="18" charset="0"/>
                        <a:ea typeface="+mn-ea"/>
                        <a:cs typeface="+mn-cs"/>
                      </a:rPr>
                      <m:t>𝐷𝑂𝐿</m:t>
                    </m:r>
                    <m:r>
                      <a:rPr lang="en-US" sz="2400" i="1">
                        <a:solidFill>
                          <a:schemeClr val="tx1"/>
                        </a:solidFill>
                        <a:effectLst/>
                        <a:latin typeface="Cambria Math" panose="02040503050406030204" pitchFamily="18" charset="0"/>
                        <a:ea typeface="+mn-ea"/>
                        <a:cs typeface="+mn-cs"/>
                      </a:rPr>
                      <m:t>=</m:t>
                    </m:r>
                    <m:f>
                      <m:fPr>
                        <m:ctrlPr>
                          <a:rPr lang="en-US"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panose="02040503050406030204" pitchFamily="18" charset="0"/>
                            <a:ea typeface="+mn-ea"/>
                            <a:cs typeface="+mn-cs"/>
                          </a:rPr>
                          <m:t>𝑄</m:t>
                        </m:r>
                        <m:r>
                          <a:rPr lang="en-US" sz="2400" i="1">
                            <a:solidFill>
                              <a:schemeClr val="tx1"/>
                            </a:solidFill>
                            <a:effectLst/>
                            <a:latin typeface="Cambria Math" panose="02040503050406030204" pitchFamily="18" charset="0"/>
                            <a:ea typeface="+mn-ea"/>
                            <a:cs typeface="+mn-cs"/>
                          </a:rPr>
                          <m:t>∗(</m:t>
                        </m:r>
                        <m:r>
                          <a:rPr lang="en-US" sz="2400" i="1">
                            <a:solidFill>
                              <a:schemeClr val="tx1"/>
                            </a:solidFill>
                            <a:effectLst/>
                            <a:latin typeface="Cambria Math" panose="02040503050406030204" pitchFamily="18" charset="0"/>
                            <a:ea typeface="+mn-ea"/>
                            <a:cs typeface="+mn-cs"/>
                          </a:rPr>
                          <m:t>𝑃</m:t>
                        </m:r>
                        <m:r>
                          <a:rPr lang="en-US" sz="2400" i="1">
                            <a:solidFill>
                              <a:schemeClr val="tx1"/>
                            </a:solidFill>
                            <a:effectLst/>
                            <a:latin typeface="Cambria Math" panose="02040503050406030204" pitchFamily="18" charset="0"/>
                            <a:ea typeface="+mn-ea"/>
                            <a:cs typeface="+mn-cs"/>
                          </a:rPr>
                          <m:t>−</m:t>
                        </m:r>
                        <m:r>
                          <a:rPr lang="en-US" sz="2400" i="1">
                            <a:solidFill>
                              <a:schemeClr val="tx1"/>
                            </a:solidFill>
                            <a:effectLst/>
                            <a:latin typeface="Cambria Math" panose="02040503050406030204" pitchFamily="18" charset="0"/>
                            <a:ea typeface="+mn-ea"/>
                            <a:cs typeface="+mn-cs"/>
                          </a:rPr>
                          <m:t>𝑉</m:t>
                        </m:r>
                        <m:r>
                          <a:rPr lang="en-US" sz="2400" i="1">
                            <a:solidFill>
                              <a:schemeClr val="tx1"/>
                            </a:solidFill>
                            <a:effectLst/>
                            <a:latin typeface="Cambria Math" panose="02040503050406030204" pitchFamily="18" charset="0"/>
                            <a:ea typeface="+mn-ea"/>
                            <a:cs typeface="+mn-cs"/>
                          </a:rPr>
                          <m:t>)</m:t>
                        </m:r>
                      </m:num>
                      <m:den>
                        <m:r>
                          <a:rPr lang="en-US" sz="2400" i="1">
                            <a:solidFill>
                              <a:schemeClr val="tx1"/>
                            </a:solidFill>
                            <a:effectLst/>
                            <a:latin typeface="Cambria Math" panose="02040503050406030204" pitchFamily="18" charset="0"/>
                            <a:ea typeface="+mn-ea"/>
                            <a:cs typeface="+mn-cs"/>
                          </a:rPr>
                          <m:t>𝑄</m:t>
                        </m:r>
                        <m:r>
                          <a:rPr lang="en-US" sz="2400" i="1">
                            <a:solidFill>
                              <a:schemeClr val="tx1"/>
                            </a:solidFill>
                            <a:effectLst/>
                            <a:latin typeface="Cambria Math" panose="02040503050406030204" pitchFamily="18" charset="0"/>
                            <a:ea typeface="+mn-ea"/>
                            <a:cs typeface="+mn-cs"/>
                          </a:rPr>
                          <m:t>∗</m:t>
                        </m:r>
                        <m:d>
                          <m:dPr>
                            <m:ctrlPr>
                              <a:rPr lang="en-US" sz="2400" i="1">
                                <a:solidFill>
                                  <a:schemeClr val="tx1"/>
                                </a:solidFill>
                                <a:effectLst/>
                                <a:latin typeface="Cambria Math" panose="02040503050406030204" pitchFamily="18" charset="0"/>
                                <a:ea typeface="+mn-ea"/>
                                <a:cs typeface="+mn-cs"/>
                              </a:rPr>
                            </m:ctrlPr>
                          </m:dPr>
                          <m:e>
                            <m:r>
                              <a:rPr lang="en-US" sz="2400" i="1">
                                <a:solidFill>
                                  <a:schemeClr val="tx1"/>
                                </a:solidFill>
                                <a:effectLst/>
                                <a:latin typeface="Cambria Math" panose="02040503050406030204" pitchFamily="18" charset="0"/>
                                <a:ea typeface="+mn-ea"/>
                                <a:cs typeface="+mn-cs"/>
                              </a:rPr>
                              <m:t>𝑃</m:t>
                            </m:r>
                            <m:r>
                              <a:rPr lang="en-US" sz="2400" i="1">
                                <a:solidFill>
                                  <a:schemeClr val="tx1"/>
                                </a:solidFill>
                                <a:effectLst/>
                                <a:latin typeface="Cambria Math" panose="02040503050406030204" pitchFamily="18" charset="0"/>
                                <a:ea typeface="+mn-ea"/>
                                <a:cs typeface="+mn-cs"/>
                              </a:rPr>
                              <m:t>−</m:t>
                            </m:r>
                            <m:r>
                              <a:rPr lang="en-US" sz="2400" i="1">
                                <a:solidFill>
                                  <a:schemeClr val="tx1"/>
                                </a:solidFill>
                                <a:effectLst/>
                                <a:latin typeface="Cambria Math" panose="02040503050406030204" pitchFamily="18" charset="0"/>
                                <a:ea typeface="+mn-ea"/>
                                <a:cs typeface="+mn-cs"/>
                              </a:rPr>
                              <m:t>𝑉</m:t>
                            </m:r>
                          </m:e>
                        </m:d>
                        <m:r>
                          <a:rPr lang="en-US" sz="2400" i="1">
                            <a:solidFill>
                              <a:schemeClr val="tx1"/>
                            </a:solidFill>
                            <a:effectLst/>
                            <a:latin typeface="Cambria Math" panose="02040503050406030204" pitchFamily="18" charset="0"/>
                            <a:ea typeface="+mn-ea"/>
                            <a:cs typeface="+mn-cs"/>
                          </a:rPr>
                          <m:t>−</m:t>
                        </m:r>
                        <m:r>
                          <a:rPr lang="en-US" sz="2400" i="1">
                            <a:solidFill>
                              <a:schemeClr val="tx1"/>
                            </a:solidFill>
                            <a:effectLst/>
                            <a:latin typeface="Cambria Math" panose="02040503050406030204" pitchFamily="18" charset="0"/>
                            <a:ea typeface="+mn-ea"/>
                            <a:cs typeface="+mn-cs"/>
                          </a:rPr>
                          <m:t>𝐹</m:t>
                        </m:r>
                      </m:den>
                    </m:f>
                  </m:oMath>
                </m:oMathPara>
              </a14:m>
              <a:endParaRPr lang="ru-RU" sz="2400"/>
            </a:p>
          </xdr:txBody>
        </xdr:sp>
      </mc:Choice>
      <mc:Fallback xmlns="">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438399" y="3238500"/>
              <a:ext cx="3743326" cy="850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2400" i="0">
                  <a:solidFill>
                    <a:schemeClr val="tx1"/>
                  </a:solidFill>
                  <a:effectLst/>
                  <a:latin typeface="Cambria Math" panose="02040503050406030204" pitchFamily="18" charset="0"/>
                  <a:ea typeface="+mn-ea"/>
                  <a:cs typeface="+mn-cs"/>
                </a:rPr>
                <a:t>𝐷𝑂𝐿</a:t>
              </a:r>
              <a:r>
                <a:rPr lang="en-US" sz="2400" i="0">
                  <a:solidFill>
                    <a:schemeClr val="tx1"/>
                  </a:solidFill>
                  <a:effectLst/>
                  <a:latin typeface="Cambria Math" panose="02040503050406030204" pitchFamily="18" charset="0"/>
                  <a:ea typeface="+mn-ea"/>
                  <a:cs typeface="+mn-cs"/>
                </a:rPr>
                <a:t>=(𝑄∗(𝑃−𝑉))/(𝑄∗(𝑃−𝑉)−𝐹)</a:t>
              </a:r>
              <a:endParaRPr lang="ru-RU" sz="2400"/>
            </a:p>
          </xdr:txBody>
        </xdr:sp>
      </mc:Fallback>
    </mc:AlternateContent>
    <xdr:clientData/>
  </xdr:oneCellAnchor>
  <xdr:oneCellAnchor>
    <xdr:from>
      <xdr:col>3</xdr:col>
      <xdr:colOff>1600199</xdr:colOff>
      <xdr:row>21</xdr:row>
      <xdr:rowOff>104775</xdr:rowOff>
    </xdr:from>
    <xdr:ext cx="6539754" cy="84772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438399" y="4105275"/>
              <a:ext cx="6539754" cy="847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ru-RU" sz="2400" i="1">
                        <a:solidFill>
                          <a:schemeClr val="tx1"/>
                        </a:solidFill>
                        <a:effectLst/>
                        <a:latin typeface="Cambria Math" panose="02040503050406030204" pitchFamily="18" charset="0"/>
                        <a:ea typeface="+mn-ea"/>
                        <a:cs typeface="+mn-cs"/>
                      </a:rPr>
                      <m:t>𝐷𝑂𝐿</m:t>
                    </m:r>
                    <m:r>
                      <a:rPr lang="en-US" sz="2400" i="1">
                        <a:solidFill>
                          <a:schemeClr val="tx1"/>
                        </a:solidFill>
                        <a:effectLst/>
                        <a:latin typeface="Cambria Math" panose="02040503050406030204" pitchFamily="18" charset="0"/>
                        <a:ea typeface="+mn-ea"/>
                        <a:cs typeface="+mn-cs"/>
                      </a:rPr>
                      <m:t>=</m:t>
                    </m:r>
                    <m:f>
                      <m:fPr>
                        <m:ctrlPr>
                          <a:rPr lang="en-US" sz="2400" i="1">
                            <a:solidFill>
                              <a:schemeClr val="tx1"/>
                            </a:solidFill>
                            <a:effectLst/>
                            <a:latin typeface="Cambria Math" panose="02040503050406030204" pitchFamily="18" charset="0"/>
                            <a:ea typeface="+mn-ea"/>
                            <a:cs typeface="+mn-cs"/>
                          </a:rPr>
                        </m:ctrlPr>
                      </m:fPr>
                      <m:num>
                        <m:r>
                          <a:rPr lang="en-US" sz="2400" i="1">
                            <a:solidFill>
                              <a:schemeClr val="tx1"/>
                            </a:solidFill>
                            <a:effectLst/>
                            <a:latin typeface="Cambria Math" panose="02040503050406030204" pitchFamily="18" charset="0"/>
                            <a:ea typeface="+mn-ea"/>
                            <a:cs typeface="+mn-cs"/>
                          </a:rPr>
                          <m:t>𝑆</m:t>
                        </m:r>
                        <m:r>
                          <a:rPr lang="en-US" sz="2400" b="0" i="1">
                            <a:solidFill>
                              <a:schemeClr val="tx1"/>
                            </a:solidFill>
                            <a:effectLst/>
                            <a:latin typeface="Cambria Math" panose="02040503050406030204" pitchFamily="18" charset="0"/>
                            <a:ea typeface="+mn-ea"/>
                            <a:cs typeface="+mn-cs"/>
                          </a:rPr>
                          <m:t>𝑎𝑙𝑒𝑠</m:t>
                        </m:r>
                        <m:r>
                          <a:rPr lang="en-US" sz="2400" i="1">
                            <a:solidFill>
                              <a:schemeClr val="tx1"/>
                            </a:solidFill>
                            <a:effectLst/>
                            <a:latin typeface="Cambria Math" panose="02040503050406030204" pitchFamily="18" charset="0"/>
                            <a:ea typeface="+mn-ea"/>
                            <a:cs typeface="+mn-cs"/>
                          </a:rPr>
                          <m:t>−</m:t>
                        </m:r>
                        <m:r>
                          <a:rPr lang="en-US" sz="2400" i="1">
                            <a:solidFill>
                              <a:schemeClr val="tx1"/>
                            </a:solidFill>
                            <a:effectLst/>
                            <a:latin typeface="Cambria Math" panose="02040503050406030204" pitchFamily="18" charset="0"/>
                            <a:ea typeface="+mn-ea"/>
                            <a:cs typeface="+mn-cs"/>
                          </a:rPr>
                          <m:t>𝑉𝑎𝑟𝑖𝑎𝑏𝑙𝑒</m:t>
                        </m:r>
                        <m:r>
                          <a:rPr lang="en-US" sz="2400" b="0" i="1">
                            <a:solidFill>
                              <a:schemeClr val="tx1"/>
                            </a:solidFill>
                            <a:effectLst/>
                            <a:latin typeface="Cambria Math" panose="02040503050406030204" pitchFamily="18" charset="0"/>
                            <a:ea typeface="+mn-ea"/>
                            <a:cs typeface="+mn-cs"/>
                          </a:rPr>
                          <m:t> </m:t>
                        </m:r>
                        <m:r>
                          <a:rPr lang="en-US" sz="2400" b="0" i="1">
                            <a:solidFill>
                              <a:schemeClr val="tx1"/>
                            </a:solidFill>
                            <a:effectLst/>
                            <a:latin typeface="Cambria Math" panose="02040503050406030204" pitchFamily="18" charset="0"/>
                            <a:ea typeface="+mn-ea"/>
                            <a:cs typeface="+mn-cs"/>
                          </a:rPr>
                          <m:t>𝑐𝑜𝑠𝑡𝑠</m:t>
                        </m:r>
                      </m:num>
                      <m:den>
                        <m:r>
                          <a:rPr lang="en-US" sz="2400" i="1">
                            <a:solidFill>
                              <a:schemeClr val="tx1"/>
                            </a:solidFill>
                            <a:effectLst/>
                            <a:latin typeface="Cambria Math" panose="02040503050406030204" pitchFamily="18" charset="0"/>
                            <a:ea typeface="+mn-ea"/>
                            <a:cs typeface="+mn-cs"/>
                          </a:rPr>
                          <m:t>𝑆</m:t>
                        </m:r>
                        <m:r>
                          <a:rPr lang="en-US" sz="2400" b="0" i="1">
                            <a:solidFill>
                              <a:schemeClr val="tx1"/>
                            </a:solidFill>
                            <a:effectLst/>
                            <a:latin typeface="Cambria Math" panose="02040503050406030204" pitchFamily="18" charset="0"/>
                            <a:ea typeface="+mn-ea"/>
                            <a:cs typeface="+mn-cs"/>
                          </a:rPr>
                          <m:t>𝑎𝑙𝑒𝑠</m:t>
                        </m:r>
                        <m:r>
                          <a:rPr lang="en-US" sz="2400" i="1">
                            <a:solidFill>
                              <a:schemeClr val="tx1"/>
                            </a:solidFill>
                            <a:effectLst/>
                            <a:latin typeface="Cambria Math" panose="02040503050406030204" pitchFamily="18" charset="0"/>
                            <a:ea typeface="+mn-ea"/>
                            <a:cs typeface="+mn-cs"/>
                          </a:rPr>
                          <m:t>−</m:t>
                        </m:r>
                        <m:r>
                          <a:rPr lang="en-US" sz="2400" i="1">
                            <a:solidFill>
                              <a:schemeClr val="tx1"/>
                            </a:solidFill>
                            <a:effectLst/>
                            <a:latin typeface="Cambria Math" panose="02040503050406030204" pitchFamily="18" charset="0"/>
                            <a:ea typeface="+mn-ea"/>
                            <a:cs typeface="+mn-cs"/>
                          </a:rPr>
                          <m:t>𝑉𝑎𝑟𝑖𝑎𝑏𝑙𝑒</m:t>
                        </m:r>
                        <m:r>
                          <a:rPr lang="en-US" sz="2400" b="0" i="1">
                            <a:solidFill>
                              <a:schemeClr val="tx1"/>
                            </a:solidFill>
                            <a:effectLst/>
                            <a:latin typeface="Cambria Math" panose="02040503050406030204" pitchFamily="18" charset="0"/>
                            <a:ea typeface="+mn-ea"/>
                            <a:cs typeface="+mn-cs"/>
                          </a:rPr>
                          <m:t> </m:t>
                        </m:r>
                        <m:r>
                          <a:rPr lang="en-US" sz="2400" b="0" i="1">
                            <a:solidFill>
                              <a:schemeClr val="tx1"/>
                            </a:solidFill>
                            <a:effectLst/>
                            <a:latin typeface="Cambria Math" panose="02040503050406030204" pitchFamily="18" charset="0"/>
                            <a:ea typeface="+mn-ea"/>
                            <a:cs typeface="+mn-cs"/>
                          </a:rPr>
                          <m:t>𝑐𝑜𝑠𝑡𝑠</m:t>
                        </m:r>
                        <m:r>
                          <a:rPr lang="en-US" sz="2400" i="1">
                            <a:solidFill>
                              <a:schemeClr val="tx1"/>
                            </a:solidFill>
                            <a:effectLst/>
                            <a:latin typeface="Cambria Math" panose="02040503050406030204" pitchFamily="18" charset="0"/>
                            <a:ea typeface="+mn-ea"/>
                            <a:cs typeface="+mn-cs"/>
                          </a:rPr>
                          <m:t>−</m:t>
                        </m:r>
                        <m:r>
                          <a:rPr lang="en-US" sz="2400" i="1">
                            <a:solidFill>
                              <a:schemeClr val="tx1"/>
                            </a:solidFill>
                            <a:effectLst/>
                            <a:latin typeface="Cambria Math" panose="02040503050406030204" pitchFamily="18" charset="0"/>
                            <a:ea typeface="+mn-ea"/>
                            <a:cs typeface="+mn-cs"/>
                          </a:rPr>
                          <m:t>𝐹𝑖𝑥𝑒𝑑</m:t>
                        </m:r>
                        <m:r>
                          <a:rPr lang="en-US" sz="2400" b="0" i="1">
                            <a:solidFill>
                              <a:schemeClr val="tx1"/>
                            </a:solidFill>
                            <a:effectLst/>
                            <a:latin typeface="Cambria Math" panose="02040503050406030204" pitchFamily="18" charset="0"/>
                            <a:ea typeface="+mn-ea"/>
                            <a:cs typeface="+mn-cs"/>
                          </a:rPr>
                          <m:t> </m:t>
                        </m:r>
                        <m:r>
                          <a:rPr lang="en-US" sz="2400" b="0" i="1">
                            <a:solidFill>
                              <a:schemeClr val="tx1"/>
                            </a:solidFill>
                            <a:effectLst/>
                            <a:latin typeface="Cambria Math" panose="02040503050406030204" pitchFamily="18" charset="0"/>
                            <a:ea typeface="+mn-ea"/>
                            <a:cs typeface="+mn-cs"/>
                          </a:rPr>
                          <m:t>𝑐𝑜𝑠𝑡𝑠</m:t>
                        </m:r>
                      </m:den>
                    </m:f>
                  </m:oMath>
                </m:oMathPara>
              </a14:m>
              <a:endParaRPr lang="ru-RU" sz="2400">
                <a:effectLst/>
              </a:endParaRPr>
            </a:p>
            <a:p>
              <a:endParaRPr lang="ru-RU" sz="1100"/>
            </a:p>
          </xdr:txBody>
        </xdr:sp>
      </mc:Choice>
      <mc:Fallback xmlns="">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438399" y="4105275"/>
              <a:ext cx="6539754" cy="847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ru-RU" sz="2400" i="0">
                  <a:solidFill>
                    <a:schemeClr val="tx1"/>
                  </a:solidFill>
                  <a:effectLst/>
                  <a:latin typeface="Cambria Math" panose="02040503050406030204" pitchFamily="18" charset="0"/>
                  <a:ea typeface="+mn-ea"/>
                  <a:cs typeface="+mn-cs"/>
                </a:rPr>
                <a:t>𝐷𝑂𝐿</a:t>
              </a:r>
              <a:r>
                <a:rPr lang="en-US" sz="2400" i="0">
                  <a:solidFill>
                    <a:schemeClr val="tx1"/>
                  </a:solidFill>
                  <a:effectLst/>
                  <a:latin typeface="Cambria Math" panose="02040503050406030204" pitchFamily="18" charset="0"/>
                  <a:ea typeface="+mn-ea"/>
                  <a:cs typeface="+mn-cs"/>
                </a:rPr>
                <a:t>=(𝑆</a:t>
              </a:r>
              <a:r>
                <a:rPr lang="en-US" sz="2400" b="0" i="0">
                  <a:solidFill>
                    <a:schemeClr val="tx1"/>
                  </a:solidFill>
                  <a:effectLst/>
                  <a:latin typeface="Cambria Math" panose="02040503050406030204" pitchFamily="18" charset="0"/>
                  <a:ea typeface="+mn-ea"/>
                  <a:cs typeface="+mn-cs"/>
                </a:rPr>
                <a:t>𝑎𝑙𝑒𝑠</a:t>
              </a:r>
              <a:r>
                <a:rPr lang="en-US" sz="2400" i="0">
                  <a:solidFill>
                    <a:schemeClr val="tx1"/>
                  </a:solidFill>
                  <a:effectLst/>
                  <a:latin typeface="Cambria Math" panose="02040503050406030204" pitchFamily="18" charset="0"/>
                  <a:ea typeface="+mn-ea"/>
                  <a:cs typeface="+mn-cs"/>
                </a:rPr>
                <a:t>−𝑉𝑎</a:t>
              </a:r>
              <a:r>
                <a:rPr lang="en-US" sz="2400" b="0" i="0">
                  <a:solidFill>
                    <a:schemeClr val="tx1"/>
                  </a:solidFill>
                  <a:effectLst/>
                  <a:latin typeface="Cambria Math" panose="02040503050406030204" pitchFamily="18" charset="0"/>
                  <a:ea typeface="+mn-ea"/>
                  <a:cs typeface="+mn-cs"/>
                </a:rPr>
                <a:t>𝑟𝑖𝑎𝑏𝑙𝑒 𝑐𝑜𝑠𝑡𝑠)/(</a:t>
              </a:r>
              <a:r>
                <a:rPr lang="en-US" sz="2400" i="0">
                  <a:solidFill>
                    <a:schemeClr val="tx1"/>
                  </a:solidFill>
                  <a:effectLst/>
                  <a:latin typeface="Cambria Math" panose="02040503050406030204" pitchFamily="18" charset="0"/>
                  <a:ea typeface="+mn-ea"/>
                  <a:cs typeface="+mn-cs"/>
                </a:rPr>
                <a:t>𝑆</a:t>
              </a:r>
              <a:r>
                <a:rPr lang="en-US" sz="2400" b="0" i="0">
                  <a:solidFill>
                    <a:schemeClr val="tx1"/>
                  </a:solidFill>
                  <a:effectLst/>
                  <a:latin typeface="Cambria Math" panose="02040503050406030204" pitchFamily="18" charset="0"/>
                  <a:ea typeface="+mn-ea"/>
                  <a:cs typeface="+mn-cs"/>
                </a:rPr>
                <a:t>𝑎𝑙𝑒𝑠</a:t>
              </a:r>
              <a:r>
                <a:rPr lang="en-US" sz="2400" i="0">
                  <a:solidFill>
                    <a:schemeClr val="tx1"/>
                  </a:solidFill>
                  <a:effectLst/>
                  <a:latin typeface="Cambria Math" panose="02040503050406030204" pitchFamily="18" charset="0"/>
                  <a:ea typeface="+mn-ea"/>
                  <a:cs typeface="+mn-cs"/>
                </a:rPr>
                <a:t>−𝑉𝑎𝑟</a:t>
              </a:r>
              <a:r>
                <a:rPr lang="en-US" sz="2400" b="0" i="0">
                  <a:solidFill>
                    <a:schemeClr val="tx1"/>
                  </a:solidFill>
                  <a:effectLst/>
                  <a:latin typeface="Cambria Math" panose="02040503050406030204" pitchFamily="18" charset="0"/>
                  <a:ea typeface="+mn-ea"/>
                  <a:cs typeface="+mn-cs"/>
                </a:rPr>
                <a:t>𝑖𝑎𝑏𝑙𝑒 𝑐𝑜𝑠𝑡𝑠</a:t>
              </a:r>
              <a:r>
                <a:rPr lang="en-US" sz="2400" i="0">
                  <a:solidFill>
                    <a:schemeClr val="tx1"/>
                  </a:solidFill>
                  <a:effectLst/>
                  <a:latin typeface="Cambria Math" panose="02040503050406030204" pitchFamily="18" charset="0"/>
                  <a:ea typeface="+mn-ea"/>
                  <a:cs typeface="+mn-cs"/>
                </a:rPr>
                <a:t>−𝐹𝑖</a:t>
              </a:r>
              <a:r>
                <a:rPr lang="en-US" sz="2400" b="0" i="0">
                  <a:solidFill>
                    <a:schemeClr val="tx1"/>
                  </a:solidFill>
                  <a:effectLst/>
                  <a:latin typeface="Cambria Math" panose="02040503050406030204" pitchFamily="18" charset="0"/>
                  <a:ea typeface="+mn-ea"/>
                  <a:cs typeface="+mn-cs"/>
                </a:rPr>
                <a:t>𝑥𝑒𝑑 𝑐𝑜𝑠𝑡𝑠)</a:t>
              </a:r>
              <a:endParaRPr lang="ru-RU" sz="2400">
                <a:effectLst/>
              </a:endParaRPr>
            </a:p>
            <a:p>
              <a:endParaRPr lang="ru-RU" sz="1100"/>
            </a:p>
          </xdr:txBody>
        </xdr:sp>
      </mc:Fallback>
    </mc:AlternateContent>
    <xdr:clientData/>
  </xdr:oneCellAnchor>
  <xdr:oneCellAnchor>
    <xdr:from>
      <xdr:col>3</xdr:col>
      <xdr:colOff>1600199</xdr:colOff>
      <xdr:row>29</xdr:row>
      <xdr:rowOff>19050</xdr:rowOff>
    </xdr:from>
    <xdr:ext cx="4886326" cy="78636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000-000005000000}"/>
                </a:ext>
              </a:extLst>
            </xdr:cNvPr>
            <xdr:cNvSpPr txBox="1"/>
          </xdr:nvSpPr>
          <xdr:spPr>
            <a:xfrm>
              <a:off x="2438399" y="5543550"/>
              <a:ext cx="4886326" cy="786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solidFill>
                          <a:schemeClr val="tx1"/>
                        </a:solidFill>
                        <a:effectLst/>
                        <a:latin typeface="Cambria Math"/>
                        <a:ea typeface="+mn-ea"/>
                        <a:cs typeface="+mn-cs"/>
                      </a:rPr>
                      <m:t>𝑆𝑎𝑓𝑒𝑡𝑦</m:t>
                    </m:r>
                    <m:r>
                      <a:rPr lang="en-US" sz="2400" b="0" i="1">
                        <a:solidFill>
                          <a:schemeClr val="tx1"/>
                        </a:solidFill>
                        <a:effectLst/>
                        <a:latin typeface="Cambria Math"/>
                        <a:ea typeface="+mn-ea"/>
                        <a:cs typeface="+mn-cs"/>
                      </a:rPr>
                      <m:t> </m:t>
                    </m:r>
                    <m:r>
                      <a:rPr lang="en-US" sz="2400" b="0" i="1">
                        <a:solidFill>
                          <a:schemeClr val="tx1"/>
                        </a:solidFill>
                        <a:effectLst/>
                        <a:latin typeface="Cambria Math"/>
                        <a:ea typeface="+mn-ea"/>
                        <a:cs typeface="+mn-cs"/>
                      </a:rPr>
                      <m:t>𝑚𝑎𝑟𝑔𝑖𝑛</m:t>
                    </m:r>
                    <m:r>
                      <a:rPr lang="en-US" sz="2400" b="0" i="1">
                        <a:solidFill>
                          <a:schemeClr val="tx1"/>
                        </a:solidFill>
                        <a:effectLst/>
                        <a:latin typeface="Cambria Math"/>
                        <a:ea typeface="+mn-ea"/>
                        <a:cs typeface="+mn-cs"/>
                      </a:rPr>
                      <m:t>=</m:t>
                    </m:r>
                    <m:f>
                      <m:fPr>
                        <m:ctrlPr>
                          <a:rPr lang="en-US" sz="2400" b="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𝑆</m:t>
                        </m:r>
                        <m:r>
                          <a:rPr lang="en-US" sz="2400" b="0" i="1">
                            <a:solidFill>
                              <a:schemeClr val="tx1"/>
                            </a:solidFill>
                            <a:effectLst/>
                            <a:latin typeface="Cambria Math"/>
                            <a:ea typeface="+mn-ea"/>
                            <a:cs typeface="+mn-cs"/>
                          </a:rPr>
                          <m:t>−</m:t>
                        </m:r>
                        <m:r>
                          <a:rPr lang="en-US" sz="2400" b="0" i="1">
                            <a:solidFill>
                              <a:schemeClr val="tx1"/>
                            </a:solidFill>
                            <a:effectLst/>
                            <a:latin typeface="Cambria Math"/>
                            <a:ea typeface="+mn-ea"/>
                            <a:cs typeface="+mn-cs"/>
                          </a:rPr>
                          <m:t>𝐵𝐸𝑃</m:t>
                        </m:r>
                      </m:num>
                      <m:den>
                        <m:r>
                          <a:rPr lang="en-US" sz="2400" b="0" i="1">
                            <a:solidFill>
                              <a:schemeClr val="tx1"/>
                            </a:solidFill>
                            <a:effectLst/>
                            <a:latin typeface="Cambria Math"/>
                            <a:ea typeface="+mn-ea"/>
                            <a:cs typeface="+mn-cs"/>
                          </a:rPr>
                          <m:t>𝑆</m:t>
                        </m:r>
                      </m:den>
                    </m:f>
                    <m:r>
                      <a:rPr lang="en-US" sz="2400" b="0" i="1">
                        <a:solidFill>
                          <a:schemeClr val="tx1"/>
                        </a:solidFill>
                        <a:effectLst/>
                        <a:latin typeface="Cambria Math"/>
                        <a:ea typeface="+mn-ea"/>
                        <a:cs typeface="+mn-cs"/>
                      </a:rPr>
                      <m:t>∗100%</m:t>
                    </m:r>
                  </m:oMath>
                </m:oMathPara>
              </a14:m>
              <a:endParaRPr lang="ru-RU" sz="2400"/>
            </a:p>
          </xdr:txBody>
        </xdr:sp>
      </mc:Choice>
      <mc:Fallback xmlns="">
        <xdr:sp macro="" textlink="">
          <xdr:nvSpPr>
            <xdr:cNvPr id="4" name="TextBox 3">
              <a:extLst>
                <a:ext uri="{FF2B5EF4-FFF2-40B4-BE49-F238E27FC236}">
                  <a16:creationId xmlns:a16="http://schemas.microsoft.com/office/drawing/2014/main" id="{00000000-0008-0000-0000-000005000000}"/>
                </a:ext>
              </a:extLst>
            </xdr:cNvPr>
            <xdr:cNvSpPr txBox="1"/>
          </xdr:nvSpPr>
          <xdr:spPr>
            <a:xfrm>
              <a:off x="2438399" y="5543550"/>
              <a:ext cx="4886326" cy="786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solidFill>
                    <a:schemeClr val="tx1"/>
                  </a:solidFill>
                  <a:effectLst/>
                  <a:latin typeface="Cambria Math"/>
                  <a:ea typeface="+mn-ea"/>
                  <a:cs typeface="+mn-cs"/>
                </a:rPr>
                <a:t>𝑆𝑎𝑓𝑒𝑡𝑦 𝑚𝑎𝑟𝑔𝑖𝑛=</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𝑆−𝐵𝐸𝑃</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𝑆∗100%</a:t>
              </a:r>
              <a:endParaRPr lang="ru-RU" sz="2400"/>
            </a:p>
          </xdr:txBody>
        </xdr:sp>
      </mc:Fallback>
    </mc:AlternateContent>
    <xdr:clientData/>
  </xdr:oneCellAnchor>
  <xdr:twoCellAnchor>
    <xdr:from>
      <xdr:col>4</xdr:col>
      <xdr:colOff>0</xdr:colOff>
      <xdr:row>56</xdr:row>
      <xdr:rowOff>0</xdr:rowOff>
    </xdr:from>
    <xdr:to>
      <xdr:col>18</xdr:col>
      <xdr:colOff>44329</xdr:colOff>
      <xdr:row>59</xdr:row>
      <xdr:rowOff>122597</xdr:rowOff>
    </xdr:to>
    <mc:AlternateContent xmlns:mc="http://schemas.openxmlformats.org/markup-compatibility/2006" xmlns:a14="http://schemas.microsoft.com/office/drawing/2010/main">
      <mc:Choice Requires="a14">
        <xdr:sp macro="" textlink="">
          <xdr:nvSpPr>
            <xdr:cNvPr id="5" name="TextBox 3">
              <a:extLst>
                <a:ext uri="{FF2B5EF4-FFF2-40B4-BE49-F238E27FC236}">
                  <a16:creationId xmlns:a16="http://schemas.microsoft.com/office/drawing/2014/main" id="{D9B76814-18F5-4B6C-8ECE-86DF4FB3AAA0}"/>
                </a:ext>
              </a:extLst>
            </xdr:cNvPr>
            <xdr:cNvSpPr txBox="1"/>
          </xdr:nvSpPr>
          <xdr:spPr>
            <a:xfrm>
              <a:off x="2438400" y="10668000"/>
              <a:ext cx="8578729" cy="69409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2800" b="0" i="1">
                        <a:latin typeface="Cambria Math"/>
                      </a:rPr>
                      <m:t>𝑅𝑂𝑁𝐴</m:t>
                    </m:r>
                    <m:r>
                      <a:rPr lang="en-US" sz="2800" i="1">
                        <a:latin typeface="Cambria Math"/>
                      </a:rPr>
                      <m:t>=</m:t>
                    </m:r>
                    <m:f>
                      <m:fPr>
                        <m:ctrlPr>
                          <a:rPr lang="en-US" sz="2800" i="1">
                            <a:latin typeface="Cambria Math" panose="02040503050406030204" pitchFamily="18" charset="0"/>
                          </a:rPr>
                        </m:ctrlPr>
                      </m:fPr>
                      <m:num>
                        <m:r>
                          <a:rPr lang="en-US" sz="2800" b="0" i="1">
                            <a:latin typeface="Cambria Math"/>
                          </a:rPr>
                          <m:t>𝑁𝑒𝑡</m:t>
                        </m:r>
                        <m:r>
                          <a:rPr lang="en-US" sz="2800" b="0" i="1">
                            <a:latin typeface="Cambria Math"/>
                          </a:rPr>
                          <m:t> </m:t>
                        </m:r>
                        <m:r>
                          <a:rPr lang="en-US" sz="2800" b="0" i="1">
                            <a:latin typeface="Cambria Math"/>
                          </a:rPr>
                          <m:t>𝑝𝑟𝑜𝑓𝑖𝑡</m:t>
                        </m:r>
                      </m:num>
                      <m:den>
                        <m:r>
                          <a:rPr lang="en-US" sz="2800" b="0" i="1">
                            <a:latin typeface="Cambria Math"/>
                          </a:rPr>
                          <m:t>𝐹𝑖𝑥𝑒𝑑</m:t>
                        </m:r>
                        <m:r>
                          <a:rPr lang="en-US" sz="2800" b="0" i="1">
                            <a:latin typeface="Cambria Math"/>
                          </a:rPr>
                          <m:t> </m:t>
                        </m:r>
                        <m:r>
                          <a:rPr lang="en-US" sz="2800" b="0" i="1">
                            <a:latin typeface="Cambria Math"/>
                          </a:rPr>
                          <m:t>𝑎𝑠𝑠𝑒𝑡𝑠</m:t>
                        </m:r>
                        <m:r>
                          <a:rPr lang="en-US" sz="2800" b="0" i="1">
                            <a:latin typeface="Cambria Math"/>
                          </a:rPr>
                          <m:t>+</m:t>
                        </m:r>
                        <m:r>
                          <a:rPr lang="en-US" sz="2800" b="0" i="1">
                            <a:latin typeface="Cambria Math"/>
                          </a:rPr>
                          <m:t>𝑁𝑊𝐶</m:t>
                        </m:r>
                      </m:den>
                    </m:f>
                  </m:oMath>
                </m:oMathPara>
              </a14:m>
              <a:endParaRPr lang="ru-RU" sz="2800"/>
            </a:p>
          </xdr:txBody>
        </xdr:sp>
      </mc:Choice>
      <mc:Fallback xmlns="">
        <xdr:sp macro="" textlink="">
          <xdr:nvSpPr>
            <xdr:cNvPr id="5" name="TextBox 3">
              <a:extLst>
                <a:ext uri="{FF2B5EF4-FFF2-40B4-BE49-F238E27FC236}">
                  <a16:creationId xmlns:a16="http://schemas.microsoft.com/office/drawing/2014/main" id="{D9B76814-18F5-4B6C-8ECE-86DF4FB3AAA0}"/>
                </a:ext>
              </a:extLst>
            </xdr:cNvPr>
            <xdr:cNvSpPr txBox="1"/>
          </xdr:nvSpPr>
          <xdr:spPr>
            <a:xfrm>
              <a:off x="2438400" y="10668000"/>
              <a:ext cx="8578729" cy="69409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2800" b="0" i="0">
                  <a:latin typeface="Cambria Math"/>
                </a:rPr>
                <a:t>𝑅𝑂𝑁𝐴</a:t>
              </a:r>
              <a:r>
                <a:rPr lang="en-US" sz="2800" i="0">
                  <a:latin typeface="Cambria Math"/>
                </a:rPr>
                <a:t>=</a:t>
              </a:r>
              <a:r>
                <a:rPr lang="en-US" sz="2800" i="0">
                  <a:latin typeface="Cambria Math" panose="02040503050406030204" pitchFamily="18" charset="0"/>
                </a:rPr>
                <a:t>(</a:t>
              </a:r>
              <a:r>
                <a:rPr lang="en-US" sz="2800" b="0" i="0">
                  <a:latin typeface="Cambria Math"/>
                </a:rPr>
                <a:t>𝑁𝑒𝑡 𝑝𝑟𝑜𝑓𝑖𝑡</a:t>
              </a:r>
              <a:r>
                <a:rPr lang="en-US" sz="2800" b="0" i="0">
                  <a:latin typeface="Cambria Math" panose="02040503050406030204" pitchFamily="18" charset="0"/>
                </a:rPr>
                <a:t>)/(</a:t>
              </a:r>
              <a:r>
                <a:rPr lang="en-US" sz="2800" b="0" i="0">
                  <a:latin typeface="Cambria Math"/>
                </a:rPr>
                <a:t>𝐹𝑖𝑥𝑒𝑑 𝑎𝑠𝑠𝑒𝑡𝑠+𝑁𝑊𝐶</a:t>
              </a:r>
              <a:r>
                <a:rPr lang="en-US" sz="2800" b="0" i="0">
                  <a:latin typeface="Cambria Math" panose="02040503050406030204" pitchFamily="18" charset="0"/>
                </a:rPr>
                <a:t>)</a:t>
              </a:r>
              <a:endParaRPr lang="ru-RU" sz="2800"/>
            </a:p>
          </xdr:txBody>
        </xdr:sp>
      </mc:Fallback>
    </mc:AlternateContent>
    <xdr:clientData/>
  </xdr:twoCellAnchor>
  <xdr:twoCellAnchor>
    <xdr:from>
      <xdr:col>3</xdr:col>
      <xdr:colOff>247564</xdr:colOff>
      <xdr:row>72</xdr:row>
      <xdr:rowOff>14653</xdr:rowOff>
    </xdr:from>
    <xdr:to>
      <xdr:col>15</xdr:col>
      <xdr:colOff>413864</xdr:colOff>
      <xdr:row>75</xdr:row>
      <xdr:rowOff>119489</xdr:rowOff>
    </xdr:to>
    <mc:AlternateContent xmlns:mc="http://schemas.openxmlformats.org/markup-compatibility/2006" xmlns:a14="http://schemas.microsoft.com/office/drawing/2010/main">
      <mc:Choice Requires="a14">
        <xdr:sp macro="" textlink="">
          <xdr:nvSpPr>
            <xdr:cNvPr id="6" name="TextBox 3">
              <a:extLst>
                <a:ext uri="{FF2B5EF4-FFF2-40B4-BE49-F238E27FC236}">
                  <a16:creationId xmlns:a16="http://schemas.microsoft.com/office/drawing/2014/main" id="{4A464D37-FD2B-434B-B9F3-1F0691D3F7E4}"/>
                </a:ext>
              </a:extLst>
            </xdr:cNvPr>
            <xdr:cNvSpPr txBox="1"/>
          </xdr:nvSpPr>
          <xdr:spPr>
            <a:xfrm>
              <a:off x="2076364" y="13730653"/>
              <a:ext cx="7481500" cy="67633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de-DE" sz="2800" i="1">
                        <a:latin typeface="Cambria Math" panose="02040503050406030204" pitchFamily="18" charset="0"/>
                      </a:rPr>
                      <m:t>𝐷𝐹𝐿</m:t>
                    </m:r>
                    <m:r>
                      <a:rPr lang="en-US" sz="2800" i="1">
                        <a:latin typeface="Cambria Math" panose="02040503050406030204" pitchFamily="18" charset="0"/>
                      </a:rPr>
                      <m:t>=</m:t>
                    </m:r>
                    <m:d>
                      <m:dPr>
                        <m:ctrlPr>
                          <a:rPr lang="ru-RU" sz="2800" i="1">
                            <a:latin typeface="Cambria Math" panose="02040503050406030204" pitchFamily="18" charset="0"/>
                          </a:rPr>
                        </m:ctrlPr>
                      </m:dPr>
                      <m:e>
                        <m:r>
                          <a:rPr lang="en-US" sz="2800" i="1">
                            <a:latin typeface="Cambria Math" panose="02040503050406030204" pitchFamily="18" charset="0"/>
                          </a:rPr>
                          <m:t>1−</m:t>
                        </m:r>
                        <m:r>
                          <a:rPr lang="en-US" sz="2800" i="1">
                            <a:latin typeface="Cambria Math" panose="02040503050406030204" pitchFamily="18" charset="0"/>
                          </a:rPr>
                          <m:t>𝑇</m:t>
                        </m:r>
                      </m:e>
                    </m:d>
                    <m:r>
                      <a:rPr lang="en-US" sz="2800" i="1">
                        <a:latin typeface="Cambria Math" panose="02040503050406030204" pitchFamily="18" charset="0"/>
                      </a:rPr>
                      <m:t>∗</m:t>
                    </m:r>
                    <m:d>
                      <m:dPr>
                        <m:ctrlPr>
                          <a:rPr lang="ru-RU" sz="2800" i="1">
                            <a:latin typeface="Cambria Math" panose="02040503050406030204" pitchFamily="18" charset="0"/>
                          </a:rPr>
                        </m:ctrlPr>
                      </m:dPr>
                      <m:e>
                        <m:r>
                          <a:rPr lang="en-US" sz="2800" i="1">
                            <a:latin typeface="Cambria Math" panose="02040503050406030204" pitchFamily="18" charset="0"/>
                          </a:rPr>
                          <m:t>𝑅𝑂𝑁𝐴</m:t>
                        </m:r>
                        <m:r>
                          <a:rPr lang="en-US" sz="2800" i="1">
                            <a:latin typeface="Cambria Math" panose="02040503050406030204" pitchFamily="18" charset="0"/>
                          </a:rPr>
                          <m:t>−</m:t>
                        </m:r>
                        <m:r>
                          <a:rPr lang="en-US" sz="2800" b="0" i="1">
                            <a:latin typeface="Cambria Math" panose="02040503050406030204" pitchFamily="18" charset="0"/>
                          </a:rPr>
                          <m:t>𝑟</m:t>
                        </m:r>
                        <m:r>
                          <a:rPr lang="en-US" sz="2800" b="0" i="1">
                            <a:latin typeface="Cambria Math" panose="02040503050406030204" pitchFamily="18" charset="0"/>
                          </a:rPr>
                          <m:t>(</m:t>
                        </m:r>
                        <m:r>
                          <a:rPr lang="en-US" sz="2800" b="0" i="1">
                            <a:latin typeface="Cambria Math" panose="02040503050406030204" pitchFamily="18" charset="0"/>
                          </a:rPr>
                          <m:t>𝑑</m:t>
                        </m:r>
                        <m:r>
                          <a:rPr lang="en-US" sz="2800" b="0" i="1">
                            <a:latin typeface="Cambria Math" panose="02040503050406030204" pitchFamily="18" charset="0"/>
                          </a:rPr>
                          <m:t>)</m:t>
                        </m:r>
                      </m:e>
                    </m:d>
                    <m:r>
                      <a:rPr lang="en-US" sz="2800" i="1">
                        <a:latin typeface="Cambria Math" panose="02040503050406030204" pitchFamily="18" charset="0"/>
                      </a:rPr>
                      <m:t>∗</m:t>
                    </m:r>
                    <m:f>
                      <m:fPr>
                        <m:ctrlPr>
                          <a:rPr lang="ru-RU" sz="2800" i="1">
                            <a:latin typeface="Cambria Math" panose="02040503050406030204" pitchFamily="18" charset="0"/>
                          </a:rPr>
                        </m:ctrlPr>
                      </m:fPr>
                      <m:num>
                        <m:r>
                          <a:rPr lang="en-US" sz="2800" i="1">
                            <a:latin typeface="Cambria Math" panose="02040503050406030204" pitchFamily="18" charset="0"/>
                          </a:rPr>
                          <m:t>𝐷</m:t>
                        </m:r>
                      </m:num>
                      <m:den>
                        <m:r>
                          <a:rPr lang="en-US" sz="2800" i="1">
                            <a:latin typeface="Cambria Math" panose="02040503050406030204" pitchFamily="18" charset="0"/>
                          </a:rPr>
                          <m:t>𝐸</m:t>
                        </m:r>
                      </m:den>
                    </m:f>
                  </m:oMath>
                </m:oMathPara>
              </a14:m>
              <a:endParaRPr lang="ru-RU" sz="2800"/>
            </a:p>
          </xdr:txBody>
        </xdr:sp>
      </mc:Choice>
      <mc:Fallback xmlns="">
        <xdr:sp macro="" textlink="">
          <xdr:nvSpPr>
            <xdr:cNvPr id="6" name="TextBox 3">
              <a:extLst>
                <a:ext uri="{FF2B5EF4-FFF2-40B4-BE49-F238E27FC236}">
                  <a16:creationId xmlns:a16="http://schemas.microsoft.com/office/drawing/2014/main" id="{4A464D37-FD2B-434B-B9F3-1F0691D3F7E4}"/>
                </a:ext>
              </a:extLst>
            </xdr:cNvPr>
            <xdr:cNvSpPr txBox="1"/>
          </xdr:nvSpPr>
          <xdr:spPr>
            <a:xfrm>
              <a:off x="2076364" y="13730653"/>
              <a:ext cx="7481500" cy="67633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de-DE" sz="2800" i="0">
                  <a:latin typeface="Cambria Math" panose="02040503050406030204" pitchFamily="18" charset="0"/>
                </a:rPr>
                <a:t>𝐷𝐹𝐿</a:t>
              </a:r>
              <a:r>
                <a:rPr lang="en-US" sz="2800" i="0">
                  <a:latin typeface="Cambria Math" panose="02040503050406030204" pitchFamily="18" charset="0"/>
                </a:rPr>
                <a:t>=</a:t>
              </a:r>
              <a:r>
                <a:rPr lang="ru-RU" sz="2800" i="0">
                  <a:latin typeface="Cambria Math" panose="02040503050406030204" pitchFamily="18" charset="0"/>
                </a:rPr>
                <a:t>(</a:t>
              </a:r>
              <a:r>
                <a:rPr lang="en-US" sz="2800" i="0">
                  <a:latin typeface="Cambria Math" panose="02040503050406030204" pitchFamily="18" charset="0"/>
                </a:rPr>
                <a:t>1−𝑇)∗</a:t>
              </a:r>
              <a:r>
                <a:rPr lang="ru-RU" sz="2800" i="0">
                  <a:latin typeface="Cambria Math" panose="02040503050406030204" pitchFamily="18" charset="0"/>
                </a:rPr>
                <a:t>(</a:t>
              </a:r>
              <a:r>
                <a:rPr lang="en-US" sz="2800" i="0">
                  <a:latin typeface="Cambria Math" panose="02040503050406030204" pitchFamily="18" charset="0"/>
                </a:rPr>
                <a:t>𝑅𝑂𝑁𝐴−</a:t>
              </a:r>
              <a:r>
                <a:rPr lang="en-US" sz="2800" b="0" i="0">
                  <a:latin typeface="Cambria Math" panose="02040503050406030204" pitchFamily="18" charset="0"/>
                </a:rPr>
                <a:t>𝑟(𝑑))</a:t>
              </a:r>
              <a:r>
                <a:rPr lang="en-US" sz="2800" i="0">
                  <a:latin typeface="Cambria Math" panose="02040503050406030204" pitchFamily="18" charset="0"/>
                </a:rPr>
                <a:t>∗𝐷</a:t>
              </a:r>
              <a:r>
                <a:rPr lang="ru-RU" sz="2800" i="0">
                  <a:latin typeface="Cambria Math" panose="02040503050406030204" pitchFamily="18" charset="0"/>
                </a:rPr>
                <a:t>/</a:t>
              </a:r>
              <a:r>
                <a:rPr lang="en-US" sz="2800" i="0">
                  <a:latin typeface="Cambria Math" panose="02040503050406030204" pitchFamily="18" charset="0"/>
                </a:rPr>
                <a:t>𝐸</a:t>
              </a:r>
              <a:endParaRPr lang="ru-RU" sz="2800"/>
            </a:p>
          </xdr:txBody>
        </xdr:sp>
      </mc:Fallback>
    </mc:AlternateContent>
    <xdr:clientData/>
  </xdr:twoCellAnchor>
  <xdr:oneCellAnchor>
    <xdr:from>
      <xdr:col>3</xdr:col>
      <xdr:colOff>513618</xdr:colOff>
      <xdr:row>98</xdr:row>
      <xdr:rowOff>99645</xdr:rowOff>
    </xdr:from>
    <xdr:ext cx="4497257" cy="584519"/>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067BAEE7-8787-4428-AFF8-E9BAF916DA21}"/>
                </a:ext>
              </a:extLst>
            </xdr:cNvPr>
            <xdr:cNvSpPr txBox="1"/>
          </xdr:nvSpPr>
          <xdr:spPr>
            <a:xfrm>
              <a:off x="2342418" y="18768645"/>
              <a:ext cx="4497257" cy="58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𝐶𝑀</m:t>
                    </m:r>
                    <m:r>
                      <a:rPr lang="en-US" sz="2000" b="0" i="1">
                        <a:latin typeface="Cambria Math" panose="02040503050406030204" pitchFamily="18" charset="0"/>
                      </a:rPr>
                      <m:t> </m:t>
                    </m:r>
                    <m:r>
                      <a:rPr lang="en-US" sz="2000" b="0" i="1">
                        <a:latin typeface="Cambria Math" panose="02040503050406030204" pitchFamily="18" charset="0"/>
                      </a:rPr>
                      <m:t>𝑟𝑎𝑡𝑖𝑜</m:t>
                    </m:r>
                    <m:r>
                      <a:rPr lang="en-US" sz="2000" b="0" i="1">
                        <a:latin typeface="Cambria Math" panose="02040503050406030204" pitchFamily="18" charset="0"/>
                      </a:rPr>
                      <m:t>=</m:t>
                    </m:r>
                    <m:f>
                      <m:fPr>
                        <m:ctrlPr>
                          <a:rPr lang="en-US" sz="2000" b="0" i="1">
                            <a:latin typeface="Cambria Math" panose="02040503050406030204" pitchFamily="18" charset="0"/>
                          </a:rPr>
                        </m:ctrlPr>
                      </m:fPr>
                      <m:num>
                        <m:r>
                          <a:rPr lang="en-US" sz="2000" b="0" i="1">
                            <a:latin typeface="Cambria Math" panose="02040503050406030204" pitchFamily="18" charset="0"/>
                          </a:rPr>
                          <m:t>𝑆𝑎𝑙𝑒𝑠</m:t>
                        </m:r>
                        <m:r>
                          <a:rPr lang="en-US" sz="2000" b="0" i="1">
                            <a:latin typeface="Cambria Math" panose="02040503050406030204" pitchFamily="18" charset="0"/>
                          </a:rPr>
                          <m:t> −</m:t>
                        </m:r>
                        <m:r>
                          <a:rPr lang="en-US" sz="2000" b="0" i="1">
                            <a:latin typeface="Cambria Math" panose="02040503050406030204" pitchFamily="18" charset="0"/>
                          </a:rPr>
                          <m:t>𝑉𝑎𝑟𝑖𝑎𝑏𝑙𝑒</m:t>
                        </m:r>
                        <m:r>
                          <a:rPr lang="en-US" sz="2000" b="0" i="1">
                            <a:latin typeface="Cambria Math" panose="02040503050406030204" pitchFamily="18" charset="0"/>
                          </a:rPr>
                          <m:t> </m:t>
                        </m:r>
                        <m:r>
                          <a:rPr lang="en-US" sz="2000" b="0" i="1">
                            <a:latin typeface="Cambria Math" panose="02040503050406030204" pitchFamily="18" charset="0"/>
                          </a:rPr>
                          <m:t>𝑒𝑥𝑝𝑒𝑛𝑠𝑒𝑠</m:t>
                        </m:r>
                      </m:num>
                      <m:den>
                        <m:r>
                          <a:rPr lang="en-US" sz="2000" b="0" i="1">
                            <a:latin typeface="Cambria Math" panose="02040503050406030204" pitchFamily="18" charset="0"/>
                          </a:rPr>
                          <m:t>𝑆𝑎𝑙𝑒𝑠</m:t>
                        </m:r>
                      </m:den>
                    </m:f>
                  </m:oMath>
                </m:oMathPara>
              </a14:m>
              <a:endParaRPr lang="ru-RU" sz="2000"/>
            </a:p>
          </xdr:txBody>
        </xdr:sp>
      </mc:Choice>
      <mc:Fallback xmlns="">
        <xdr:sp macro="" textlink="">
          <xdr:nvSpPr>
            <xdr:cNvPr id="7" name="TextBox 6">
              <a:extLst>
                <a:ext uri="{FF2B5EF4-FFF2-40B4-BE49-F238E27FC236}">
                  <a16:creationId xmlns:a16="http://schemas.microsoft.com/office/drawing/2014/main" id="{067BAEE7-8787-4428-AFF8-E9BAF916DA21}"/>
                </a:ext>
              </a:extLst>
            </xdr:cNvPr>
            <xdr:cNvSpPr txBox="1"/>
          </xdr:nvSpPr>
          <xdr:spPr>
            <a:xfrm>
              <a:off x="2342418" y="18768645"/>
              <a:ext cx="4497257" cy="58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rPr>
                <a:t>𝐶𝑀 𝑟𝑎𝑡𝑖𝑜=(𝑆𝑎𝑙𝑒𝑠 −𝑉𝑎𝑟𝑖𝑎𝑏𝑙𝑒 𝑒𝑥𝑝𝑒𝑛𝑠𝑒𝑠)/𝑆𝑎𝑙𝑒𝑠</a:t>
              </a:r>
              <a:endParaRPr lang="ru-RU" sz="2000"/>
            </a:p>
          </xdr:txBody>
        </xdr:sp>
      </mc:Fallback>
    </mc:AlternateContent>
    <xdr:clientData/>
  </xdr:oneCellAnchor>
  <xdr:oneCellAnchor>
    <xdr:from>
      <xdr:col>3</xdr:col>
      <xdr:colOff>498964</xdr:colOff>
      <xdr:row>101</xdr:row>
      <xdr:rowOff>63011</xdr:rowOff>
    </xdr:from>
    <xdr:ext cx="5887061" cy="638316"/>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207D17D0-05E7-477A-9CAD-35BC11E6A2E3}"/>
                </a:ext>
              </a:extLst>
            </xdr:cNvPr>
            <xdr:cNvSpPr txBox="1"/>
          </xdr:nvSpPr>
          <xdr:spPr>
            <a:xfrm>
              <a:off x="2327764" y="19303511"/>
              <a:ext cx="5887061" cy="638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𝐵𝐸𝑃</m:t>
                    </m:r>
                    <m:r>
                      <a:rPr lang="en-US" sz="2000" b="0" i="1">
                        <a:latin typeface="Cambria Math" panose="02040503050406030204" pitchFamily="18" charset="0"/>
                      </a:rPr>
                      <m:t> (</m:t>
                    </m:r>
                    <m:r>
                      <a:rPr lang="en-US" sz="2000" b="0" i="1">
                        <a:latin typeface="Cambria Math" panose="02040503050406030204" pitchFamily="18" charset="0"/>
                      </a:rPr>
                      <m:t>𝑆𝑎𝑙𝑒𝑠</m:t>
                    </m:r>
                    <m:r>
                      <a:rPr lang="en-US" sz="2000" b="0" i="1">
                        <a:latin typeface="Cambria Math" panose="02040503050406030204" pitchFamily="18" charset="0"/>
                      </a:rPr>
                      <m:t>)=</m:t>
                    </m:r>
                    <m:f>
                      <m:fPr>
                        <m:ctrlPr>
                          <a:rPr lang="en-US" sz="2000" b="0" i="1">
                            <a:latin typeface="Cambria Math" panose="02040503050406030204" pitchFamily="18" charset="0"/>
                          </a:rPr>
                        </m:ctrlPr>
                      </m:fPr>
                      <m:num>
                        <m:r>
                          <a:rPr lang="en-US" sz="2000" b="0" i="1">
                            <a:latin typeface="Cambria Math" panose="02040503050406030204" pitchFamily="18" charset="0"/>
                          </a:rPr>
                          <m:t>𝐹𝑖𝑥𝑒𝑑</m:t>
                        </m:r>
                        <m:r>
                          <a:rPr lang="en-US" sz="2000" b="0" i="1">
                            <a:latin typeface="Cambria Math" panose="02040503050406030204" pitchFamily="18" charset="0"/>
                          </a:rPr>
                          <m:t> </m:t>
                        </m:r>
                        <m:r>
                          <a:rPr lang="en-US" sz="2000" b="0" i="1">
                            <a:latin typeface="Cambria Math" panose="02040503050406030204" pitchFamily="18" charset="0"/>
                          </a:rPr>
                          <m:t>𝑒𝑥𝑝𝑒𝑛𝑠𝑒𝑠</m:t>
                        </m:r>
                        <m:r>
                          <a:rPr lang="en-US" sz="2000" b="0" i="1">
                            <a:latin typeface="Cambria Math" panose="02040503050406030204" pitchFamily="18" charset="0"/>
                          </a:rPr>
                          <m:t>+</m:t>
                        </m:r>
                        <m:r>
                          <a:rPr lang="en-US" sz="2000" b="0" i="1">
                            <a:latin typeface="Cambria Math" panose="02040503050406030204" pitchFamily="18" charset="0"/>
                          </a:rPr>
                          <m:t>𝑜𝑝𝑒𝑟𝑎𝑡𝑖𝑛𝑔</m:t>
                        </m:r>
                        <m:r>
                          <a:rPr lang="en-US" sz="2000" b="0" i="1">
                            <a:latin typeface="Cambria Math" panose="02040503050406030204" pitchFamily="18" charset="0"/>
                          </a:rPr>
                          <m:t> </m:t>
                        </m:r>
                        <m:r>
                          <a:rPr lang="en-US" sz="2000" b="0" i="1">
                            <a:latin typeface="Cambria Math" panose="02040503050406030204" pitchFamily="18" charset="0"/>
                          </a:rPr>
                          <m:t>𝑖𝑛𝑐𝑜𝑚𝑒</m:t>
                        </m:r>
                      </m:num>
                      <m:den>
                        <m:r>
                          <a:rPr lang="en-US" sz="2000" b="0" i="1">
                            <a:latin typeface="Cambria Math" panose="02040503050406030204" pitchFamily="18" charset="0"/>
                          </a:rPr>
                          <m:t>𝐶𝑜𝑛𝑡𝑟𝑖𝑏𝑢𝑡𝑖𝑜𝑛</m:t>
                        </m:r>
                        <m:r>
                          <a:rPr lang="en-US" sz="2000" b="0" i="1">
                            <a:latin typeface="Cambria Math" panose="02040503050406030204" pitchFamily="18" charset="0"/>
                          </a:rPr>
                          <m:t> </m:t>
                        </m:r>
                        <m:r>
                          <a:rPr lang="en-US" sz="2000" b="0" i="1">
                            <a:latin typeface="Cambria Math" panose="02040503050406030204" pitchFamily="18" charset="0"/>
                          </a:rPr>
                          <m:t>𝑚𝑎𝑟𝑔𝑖𝑛</m:t>
                        </m:r>
                        <m:r>
                          <a:rPr lang="en-US" sz="2000" b="0" i="1">
                            <a:latin typeface="Cambria Math" panose="02040503050406030204" pitchFamily="18" charset="0"/>
                          </a:rPr>
                          <m:t> </m:t>
                        </m:r>
                        <m:r>
                          <a:rPr lang="en-US" sz="2000" b="0" i="1">
                            <a:latin typeface="Cambria Math" panose="02040503050406030204" pitchFamily="18" charset="0"/>
                          </a:rPr>
                          <m:t>𝑟𝑎𝑡𝑖𝑜</m:t>
                        </m:r>
                      </m:den>
                    </m:f>
                  </m:oMath>
                </m:oMathPara>
              </a14:m>
              <a:endParaRPr lang="ru-RU" sz="2000"/>
            </a:p>
          </xdr:txBody>
        </xdr:sp>
      </mc:Choice>
      <mc:Fallback xmlns="">
        <xdr:sp macro="" textlink="">
          <xdr:nvSpPr>
            <xdr:cNvPr id="8" name="TextBox 7">
              <a:extLst>
                <a:ext uri="{FF2B5EF4-FFF2-40B4-BE49-F238E27FC236}">
                  <a16:creationId xmlns:a16="http://schemas.microsoft.com/office/drawing/2014/main" id="{207D17D0-05E7-477A-9CAD-35BC11E6A2E3}"/>
                </a:ext>
              </a:extLst>
            </xdr:cNvPr>
            <xdr:cNvSpPr txBox="1"/>
          </xdr:nvSpPr>
          <xdr:spPr>
            <a:xfrm>
              <a:off x="2327764" y="19303511"/>
              <a:ext cx="5887061" cy="638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rPr>
                <a:t>𝐵𝐸𝑃 (𝑆𝑎𝑙𝑒𝑠)=(𝐹𝑖𝑥𝑒𝑑 𝑒𝑥𝑝𝑒𝑛𝑠𝑒𝑠+𝑜𝑝𝑒𝑟𝑎𝑡𝑖𝑛𝑔 𝑖𝑛𝑐𝑜𝑚𝑒)/(𝐶𝑜𝑛𝑡𝑟𝑖𝑏𝑢𝑡𝑖𝑜𝑛 𝑚𝑎𝑟𝑔𝑖𝑛 𝑟𝑎𝑡𝑖𝑜)</a:t>
              </a:r>
              <a:endParaRPr lang="ru-RU" sz="2000"/>
            </a:p>
          </xdr:txBody>
        </xdr:sp>
      </mc:Fallback>
    </mc:AlternateContent>
    <xdr:clientData/>
  </xdr:oneCellAnchor>
  <xdr:oneCellAnchor>
    <xdr:from>
      <xdr:col>3</xdr:col>
      <xdr:colOff>462330</xdr:colOff>
      <xdr:row>104</xdr:row>
      <xdr:rowOff>55684</xdr:rowOff>
    </xdr:from>
    <xdr:ext cx="5906489" cy="638316"/>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7C34772F-A087-482D-AD06-C554470D356F}"/>
                </a:ext>
              </a:extLst>
            </xdr:cNvPr>
            <xdr:cNvSpPr txBox="1"/>
          </xdr:nvSpPr>
          <xdr:spPr>
            <a:xfrm>
              <a:off x="2291130" y="19867684"/>
              <a:ext cx="5906489" cy="638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𝐵𝐸𝑃</m:t>
                    </m:r>
                    <m:r>
                      <a:rPr lang="en-US" sz="2000" b="0" i="1">
                        <a:latin typeface="Cambria Math" panose="02040503050406030204" pitchFamily="18" charset="0"/>
                      </a:rPr>
                      <m:t> (</m:t>
                    </m:r>
                    <m:r>
                      <a:rPr lang="en-US" sz="2000" b="0" i="1">
                        <a:latin typeface="Cambria Math" panose="02040503050406030204" pitchFamily="18" charset="0"/>
                      </a:rPr>
                      <m:t>𝑈𝑛𝑖𝑡𝑠</m:t>
                    </m:r>
                    <m:r>
                      <a:rPr lang="en-US" sz="2000" b="0" i="1">
                        <a:latin typeface="Cambria Math" panose="02040503050406030204" pitchFamily="18" charset="0"/>
                      </a:rPr>
                      <m:t>)=</m:t>
                    </m:r>
                    <m:f>
                      <m:fPr>
                        <m:ctrlPr>
                          <a:rPr lang="en-US" sz="2000" b="0" i="1">
                            <a:latin typeface="Cambria Math" panose="02040503050406030204" pitchFamily="18" charset="0"/>
                          </a:rPr>
                        </m:ctrlPr>
                      </m:fPr>
                      <m:num>
                        <m:r>
                          <a:rPr lang="en-US" sz="2000" b="0" i="1">
                            <a:latin typeface="Cambria Math" panose="02040503050406030204" pitchFamily="18" charset="0"/>
                          </a:rPr>
                          <m:t>𝐹𝑖𝑥𝑒𝑑</m:t>
                        </m:r>
                        <m:r>
                          <a:rPr lang="en-US" sz="2000" b="0" i="1">
                            <a:latin typeface="Cambria Math" panose="02040503050406030204" pitchFamily="18" charset="0"/>
                          </a:rPr>
                          <m:t> </m:t>
                        </m:r>
                        <m:r>
                          <a:rPr lang="en-US" sz="2000" b="0" i="1">
                            <a:latin typeface="Cambria Math" panose="02040503050406030204" pitchFamily="18" charset="0"/>
                          </a:rPr>
                          <m:t>𝑒𝑥𝑝𝑒𝑛𝑠𝑒𝑠</m:t>
                        </m:r>
                        <m:r>
                          <a:rPr lang="en-US" sz="2000" b="0" i="1">
                            <a:latin typeface="Cambria Math" panose="02040503050406030204" pitchFamily="18" charset="0"/>
                          </a:rPr>
                          <m:t>+</m:t>
                        </m:r>
                        <m:r>
                          <a:rPr lang="en-US" sz="2000" b="0" i="1">
                            <a:latin typeface="Cambria Math" panose="02040503050406030204" pitchFamily="18" charset="0"/>
                          </a:rPr>
                          <m:t>𝑜𝑝𝑒𝑟𝑎𝑡𝑖𝑛𝑔</m:t>
                        </m:r>
                        <m:r>
                          <a:rPr lang="en-US" sz="2000" b="0" i="1">
                            <a:latin typeface="Cambria Math" panose="02040503050406030204" pitchFamily="18" charset="0"/>
                          </a:rPr>
                          <m:t> </m:t>
                        </m:r>
                        <m:r>
                          <a:rPr lang="en-US" sz="2000" b="0" i="1">
                            <a:latin typeface="Cambria Math" panose="02040503050406030204" pitchFamily="18" charset="0"/>
                          </a:rPr>
                          <m:t>𝑖𝑛𝑐𝑜𝑚𝑒</m:t>
                        </m:r>
                      </m:num>
                      <m:den>
                        <m:r>
                          <a:rPr lang="en-US" sz="2000" b="0" i="1">
                            <a:latin typeface="Cambria Math" panose="02040503050406030204" pitchFamily="18" charset="0"/>
                          </a:rPr>
                          <m:t>𝐶𝑜𝑛𝑡𝑟𝑖𝑏𝑢𝑡𝑖𝑜𝑛</m:t>
                        </m:r>
                        <m:r>
                          <a:rPr lang="en-US" sz="2000" b="0" i="1">
                            <a:latin typeface="Cambria Math" panose="02040503050406030204" pitchFamily="18" charset="0"/>
                          </a:rPr>
                          <m:t> </m:t>
                        </m:r>
                        <m:r>
                          <a:rPr lang="en-US" sz="2000" b="0" i="1">
                            <a:latin typeface="Cambria Math" panose="02040503050406030204" pitchFamily="18" charset="0"/>
                          </a:rPr>
                          <m:t>𝑚𝑎𝑟𝑔𝑖𝑛</m:t>
                        </m:r>
                        <m:r>
                          <a:rPr lang="en-US" sz="2000" b="0" i="1">
                            <a:latin typeface="Cambria Math" panose="02040503050406030204" pitchFamily="18" charset="0"/>
                          </a:rPr>
                          <m:t> </m:t>
                        </m:r>
                        <m:r>
                          <a:rPr lang="en-US" sz="2000" b="0" i="1">
                            <a:latin typeface="Cambria Math" panose="02040503050406030204" pitchFamily="18" charset="0"/>
                          </a:rPr>
                          <m:t>𝑝𝑒𝑟</m:t>
                        </m:r>
                        <m:r>
                          <a:rPr lang="en-US" sz="2000" b="0" i="1">
                            <a:latin typeface="Cambria Math" panose="02040503050406030204" pitchFamily="18" charset="0"/>
                          </a:rPr>
                          <m:t> </m:t>
                        </m:r>
                        <m:r>
                          <a:rPr lang="en-US" sz="2000" b="0" i="1">
                            <a:latin typeface="Cambria Math" panose="02040503050406030204" pitchFamily="18" charset="0"/>
                          </a:rPr>
                          <m:t>𝑢𝑛𝑖𝑡</m:t>
                        </m:r>
                      </m:den>
                    </m:f>
                  </m:oMath>
                </m:oMathPara>
              </a14:m>
              <a:endParaRPr lang="ru-RU" sz="2000"/>
            </a:p>
          </xdr:txBody>
        </xdr:sp>
      </mc:Choice>
      <mc:Fallback xmlns="">
        <xdr:sp macro="" textlink="">
          <xdr:nvSpPr>
            <xdr:cNvPr id="9" name="TextBox 8">
              <a:extLst>
                <a:ext uri="{FF2B5EF4-FFF2-40B4-BE49-F238E27FC236}">
                  <a16:creationId xmlns:a16="http://schemas.microsoft.com/office/drawing/2014/main" id="{7C34772F-A087-482D-AD06-C554470D356F}"/>
                </a:ext>
              </a:extLst>
            </xdr:cNvPr>
            <xdr:cNvSpPr txBox="1"/>
          </xdr:nvSpPr>
          <xdr:spPr>
            <a:xfrm>
              <a:off x="2291130" y="19867684"/>
              <a:ext cx="5906489" cy="638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rPr>
                <a:t>𝐵𝐸𝑃 (𝑈𝑛𝑖𝑡𝑠)=(𝐹𝑖𝑥𝑒𝑑 𝑒𝑥𝑝𝑒𝑛𝑠𝑒𝑠+𝑜𝑝𝑒𝑟𝑎𝑡𝑖𝑛𝑔 𝑖𝑛𝑐𝑜𝑚𝑒)/(𝐶𝑜𝑛𝑡𝑟𝑖𝑏𝑢𝑡𝑖𝑜𝑛 𝑚𝑎𝑟𝑔𝑖𝑛 𝑝𝑒𝑟 𝑢𝑛𝑖𝑡)</a:t>
              </a:r>
              <a:endParaRPr lang="ru-RU" sz="2000"/>
            </a:p>
          </xdr:txBody>
        </xdr:sp>
      </mc:Fallback>
    </mc:AlternateContent>
    <xdr:clientData/>
  </xdr:oneCellAnchor>
  <xdr:oneCellAnchor>
    <xdr:from>
      <xdr:col>4</xdr:col>
      <xdr:colOff>447674</xdr:colOff>
      <xdr:row>127</xdr:row>
      <xdr:rowOff>77665</xdr:rowOff>
    </xdr:from>
    <xdr:ext cx="4497257" cy="584519"/>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5072A727-3BA6-4D88-B024-0D08D576C113}"/>
                </a:ext>
              </a:extLst>
            </xdr:cNvPr>
            <xdr:cNvSpPr txBox="1"/>
          </xdr:nvSpPr>
          <xdr:spPr>
            <a:xfrm>
              <a:off x="2886074" y="24271165"/>
              <a:ext cx="4497257" cy="58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𝐶𝑀</m:t>
                    </m:r>
                    <m:r>
                      <a:rPr lang="en-US" sz="2000" b="0" i="1">
                        <a:latin typeface="Cambria Math" panose="02040503050406030204" pitchFamily="18" charset="0"/>
                      </a:rPr>
                      <m:t> </m:t>
                    </m:r>
                    <m:r>
                      <a:rPr lang="en-US" sz="2000" b="0" i="1">
                        <a:latin typeface="Cambria Math" panose="02040503050406030204" pitchFamily="18" charset="0"/>
                      </a:rPr>
                      <m:t>𝑟𝑎𝑡𝑖𝑜</m:t>
                    </m:r>
                    <m:r>
                      <a:rPr lang="en-US" sz="2000" b="0" i="1">
                        <a:latin typeface="Cambria Math" panose="02040503050406030204" pitchFamily="18" charset="0"/>
                      </a:rPr>
                      <m:t>=</m:t>
                    </m:r>
                    <m:f>
                      <m:fPr>
                        <m:ctrlPr>
                          <a:rPr lang="en-US" sz="2000" b="0" i="1">
                            <a:latin typeface="Cambria Math" panose="02040503050406030204" pitchFamily="18" charset="0"/>
                          </a:rPr>
                        </m:ctrlPr>
                      </m:fPr>
                      <m:num>
                        <m:r>
                          <a:rPr lang="en-US" sz="2000" b="0" i="1">
                            <a:latin typeface="Cambria Math" panose="02040503050406030204" pitchFamily="18" charset="0"/>
                          </a:rPr>
                          <m:t>𝑆𝑎𝑙𝑒𝑠</m:t>
                        </m:r>
                        <m:r>
                          <a:rPr lang="en-US" sz="2000" b="0" i="1">
                            <a:latin typeface="Cambria Math" panose="02040503050406030204" pitchFamily="18" charset="0"/>
                          </a:rPr>
                          <m:t> −</m:t>
                        </m:r>
                        <m:r>
                          <a:rPr lang="en-US" sz="2000" b="0" i="1">
                            <a:latin typeface="Cambria Math" panose="02040503050406030204" pitchFamily="18" charset="0"/>
                          </a:rPr>
                          <m:t>𝑉𝑎𝑟𝑖𝑎𝑏𝑙𝑒</m:t>
                        </m:r>
                        <m:r>
                          <a:rPr lang="en-US" sz="2000" b="0" i="1">
                            <a:latin typeface="Cambria Math" panose="02040503050406030204" pitchFamily="18" charset="0"/>
                          </a:rPr>
                          <m:t> </m:t>
                        </m:r>
                        <m:r>
                          <a:rPr lang="en-US" sz="2000" b="0" i="1">
                            <a:latin typeface="Cambria Math" panose="02040503050406030204" pitchFamily="18" charset="0"/>
                          </a:rPr>
                          <m:t>𝑒𝑥𝑝𝑒𝑛𝑠𝑒𝑠</m:t>
                        </m:r>
                      </m:num>
                      <m:den>
                        <m:r>
                          <a:rPr lang="en-US" sz="2000" b="0" i="1">
                            <a:latin typeface="Cambria Math" panose="02040503050406030204" pitchFamily="18" charset="0"/>
                          </a:rPr>
                          <m:t>𝑆𝑎𝑙𝑒𝑠</m:t>
                        </m:r>
                      </m:den>
                    </m:f>
                  </m:oMath>
                </m:oMathPara>
              </a14:m>
              <a:endParaRPr lang="ru-RU" sz="2000"/>
            </a:p>
          </xdr:txBody>
        </xdr:sp>
      </mc:Choice>
      <mc:Fallback xmlns="">
        <xdr:sp macro="" textlink="">
          <xdr:nvSpPr>
            <xdr:cNvPr id="10" name="TextBox 9">
              <a:extLst>
                <a:ext uri="{FF2B5EF4-FFF2-40B4-BE49-F238E27FC236}">
                  <a16:creationId xmlns:a16="http://schemas.microsoft.com/office/drawing/2014/main" id="{5072A727-3BA6-4D88-B024-0D08D576C113}"/>
                </a:ext>
              </a:extLst>
            </xdr:cNvPr>
            <xdr:cNvSpPr txBox="1"/>
          </xdr:nvSpPr>
          <xdr:spPr>
            <a:xfrm>
              <a:off x="2886074" y="24271165"/>
              <a:ext cx="4497257" cy="58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rPr>
                <a:t>𝐶𝑀 𝑟𝑎𝑡𝑖𝑜=(𝑆𝑎𝑙𝑒𝑠 −𝑉𝑎𝑟𝑖𝑎𝑏𝑙𝑒 𝑒𝑥𝑝𝑒𝑛𝑠𝑒𝑠)/𝑆𝑎𝑙𝑒𝑠</a:t>
              </a:r>
              <a:endParaRPr lang="ru-RU" sz="2000"/>
            </a:p>
          </xdr:txBody>
        </xdr:sp>
      </mc:Fallback>
    </mc:AlternateContent>
    <xdr:clientData/>
  </xdr:oneCellAnchor>
  <xdr:oneCellAnchor>
    <xdr:from>
      <xdr:col>4</xdr:col>
      <xdr:colOff>484308</xdr:colOff>
      <xdr:row>130</xdr:row>
      <xdr:rowOff>260838</xdr:rowOff>
    </xdr:from>
    <xdr:ext cx="5042599" cy="584519"/>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2F3FD6FA-61E7-42F7-8210-EE214CC6D0C4}"/>
                </a:ext>
              </a:extLst>
            </xdr:cNvPr>
            <xdr:cNvSpPr txBox="1"/>
          </xdr:nvSpPr>
          <xdr:spPr>
            <a:xfrm>
              <a:off x="2922708" y="24959163"/>
              <a:ext cx="5042599" cy="58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𝑆𝑎𝑙𝑒𝑠</m:t>
                    </m:r>
                    <m:r>
                      <a:rPr lang="en-US" sz="2000" b="0" i="1">
                        <a:latin typeface="Cambria Math" panose="02040503050406030204" pitchFamily="18" charset="0"/>
                      </a:rPr>
                      <m:t>=</m:t>
                    </m:r>
                    <m:f>
                      <m:fPr>
                        <m:ctrlPr>
                          <a:rPr lang="en-US" sz="2000" b="0" i="1">
                            <a:latin typeface="Cambria Math" panose="02040503050406030204" pitchFamily="18" charset="0"/>
                          </a:rPr>
                        </m:ctrlPr>
                      </m:fPr>
                      <m:num>
                        <m:r>
                          <a:rPr lang="en-US" sz="2000" b="0" i="1">
                            <a:latin typeface="Cambria Math" panose="02040503050406030204" pitchFamily="18" charset="0"/>
                          </a:rPr>
                          <m:t>𝐹𝑖𝑥𝑒𝑑</m:t>
                        </m:r>
                        <m:r>
                          <a:rPr lang="en-US" sz="2000" b="0" i="1">
                            <a:latin typeface="Cambria Math" panose="02040503050406030204" pitchFamily="18" charset="0"/>
                          </a:rPr>
                          <m:t> </m:t>
                        </m:r>
                        <m:r>
                          <a:rPr lang="en-US" sz="2000" b="0" i="1">
                            <a:latin typeface="Cambria Math" panose="02040503050406030204" pitchFamily="18" charset="0"/>
                          </a:rPr>
                          <m:t>𝑒𝑥𝑝𝑒𝑛𝑠𝑒</m:t>
                        </m:r>
                        <m:r>
                          <a:rPr lang="en-US" sz="2000" b="0" i="1">
                            <a:latin typeface="Cambria Math" panose="02040503050406030204" pitchFamily="18" charset="0"/>
                          </a:rPr>
                          <m:t>+</m:t>
                        </m:r>
                        <m:r>
                          <a:rPr lang="en-US" sz="2000" b="0" i="1">
                            <a:latin typeface="Cambria Math" panose="02040503050406030204" pitchFamily="18" charset="0"/>
                          </a:rPr>
                          <m:t>𝑂𝑝𝑒𝑟𝑎𝑡𝑖𝑛𝑔</m:t>
                        </m:r>
                        <m:r>
                          <a:rPr lang="en-US" sz="2000" b="0" i="1">
                            <a:latin typeface="Cambria Math" panose="02040503050406030204" pitchFamily="18" charset="0"/>
                          </a:rPr>
                          <m:t> </m:t>
                        </m:r>
                        <m:r>
                          <a:rPr lang="en-US" sz="2000" b="0" i="1">
                            <a:latin typeface="Cambria Math" panose="02040503050406030204" pitchFamily="18" charset="0"/>
                          </a:rPr>
                          <m:t>𝑖𝑛𝑐𝑜𝑚𝑒</m:t>
                        </m:r>
                      </m:num>
                      <m:den>
                        <m:r>
                          <a:rPr lang="en-US" sz="2000" b="0" i="1">
                            <a:latin typeface="Cambria Math" panose="02040503050406030204" pitchFamily="18" charset="0"/>
                          </a:rPr>
                          <m:t>𝐶𝑀</m:t>
                        </m:r>
                        <m:r>
                          <a:rPr lang="en-US" sz="2000" b="0" i="1">
                            <a:latin typeface="Cambria Math" panose="02040503050406030204" pitchFamily="18" charset="0"/>
                          </a:rPr>
                          <m:t> </m:t>
                        </m:r>
                        <m:r>
                          <a:rPr lang="en-US" sz="2000" b="0" i="1">
                            <a:latin typeface="Cambria Math" panose="02040503050406030204" pitchFamily="18" charset="0"/>
                          </a:rPr>
                          <m:t>𝑟𝑎𝑡𝑖𝑜</m:t>
                        </m:r>
                      </m:den>
                    </m:f>
                  </m:oMath>
                </m:oMathPara>
              </a14:m>
              <a:endParaRPr lang="ru-RU" sz="2000"/>
            </a:p>
          </xdr:txBody>
        </xdr:sp>
      </mc:Choice>
      <mc:Fallback xmlns="">
        <xdr:sp macro="" textlink="">
          <xdr:nvSpPr>
            <xdr:cNvPr id="11" name="TextBox 10">
              <a:extLst>
                <a:ext uri="{FF2B5EF4-FFF2-40B4-BE49-F238E27FC236}">
                  <a16:creationId xmlns:a16="http://schemas.microsoft.com/office/drawing/2014/main" id="{2F3FD6FA-61E7-42F7-8210-EE214CC6D0C4}"/>
                </a:ext>
              </a:extLst>
            </xdr:cNvPr>
            <xdr:cNvSpPr txBox="1"/>
          </xdr:nvSpPr>
          <xdr:spPr>
            <a:xfrm>
              <a:off x="2922708" y="24959163"/>
              <a:ext cx="5042599" cy="58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rPr>
                <a:t>𝑆𝑎𝑙𝑒𝑠=(𝐹𝑖𝑥𝑒𝑑 𝑒𝑥𝑝𝑒𝑛𝑠𝑒+𝑂𝑝𝑒𝑟𝑎𝑡𝑖𝑛𝑔 𝑖𝑛𝑐𝑜𝑚𝑒)/(𝐶𝑀 𝑟𝑎𝑡𝑖𝑜)</a:t>
              </a:r>
              <a:endParaRPr lang="ru-RU" sz="2000"/>
            </a:p>
          </xdr:txBody>
        </xdr:sp>
      </mc:Fallback>
    </mc:AlternateContent>
    <xdr:clientData/>
  </xdr:oneCellAnchor>
  <xdr:oneCellAnchor>
    <xdr:from>
      <xdr:col>13</xdr:col>
      <xdr:colOff>587144</xdr:colOff>
      <xdr:row>127</xdr:row>
      <xdr:rowOff>202309</xdr:rowOff>
    </xdr:from>
    <xdr:ext cx="5062027" cy="636200"/>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7D3534C8-E124-4A64-98B8-BB2379967A23}"/>
                </a:ext>
              </a:extLst>
            </xdr:cNvPr>
            <xdr:cNvSpPr txBox="1"/>
          </xdr:nvSpPr>
          <xdr:spPr>
            <a:xfrm>
              <a:off x="8511944" y="24386284"/>
              <a:ext cx="5062027" cy="63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𝑈𝑛𝑖𝑡𝑠</m:t>
                    </m:r>
                    <m:r>
                      <a:rPr lang="en-US" sz="2000" b="0" i="1">
                        <a:latin typeface="Cambria Math" panose="02040503050406030204" pitchFamily="18" charset="0"/>
                      </a:rPr>
                      <m:t>=</m:t>
                    </m:r>
                    <m:f>
                      <m:fPr>
                        <m:ctrlPr>
                          <a:rPr lang="en-US" sz="2000" b="0" i="1">
                            <a:latin typeface="Cambria Math" panose="02040503050406030204" pitchFamily="18" charset="0"/>
                          </a:rPr>
                        </m:ctrlPr>
                      </m:fPr>
                      <m:num>
                        <m:r>
                          <a:rPr lang="en-US" sz="2000" b="0" i="1">
                            <a:latin typeface="Cambria Math" panose="02040503050406030204" pitchFamily="18" charset="0"/>
                          </a:rPr>
                          <m:t>𝐹𝑖𝑥𝑒𝑑</m:t>
                        </m:r>
                        <m:r>
                          <a:rPr lang="en-US" sz="2000" b="0" i="1">
                            <a:latin typeface="Cambria Math" panose="02040503050406030204" pitchFamily="18" charset="0"/>
                          </a:rPr>
                          <m:t> </m:t>
                        </m:r>
                        <m:r>
                          <a:rPr lang="en-US" sz="2000" b="0" i="1">
                            <a:latin typeface="Cambria Math" panose="02040503050406030204" pitchFamily="18" charset="0"/>
                          </a:rPr>
                          <m:t>𝑒𝑥𝑝𝑒𝑛𝑠𝑒</m:t>
                        </m:r>
                        <m:r>
                          <a:rPr lang="en-US" sz="2000" b="0" i="1">
                            <a:latin typeface="Cambria Math" panose="02040503050406030204" pitchFamily="18" charset="0"/>
                          </a:rPr>
                          <m:t>+</m:t>
                        </m:r>
                        <m:r>
                          <a:rPr lang="en-US" sz="2000" b="0" i="1">
                            <a:latin typeface="Cambria Math" panose="02040503050406030204" pitchFamily="18" charset="0"/>
                          </a:rPr>
                          <m:t>𝑂𝑝𝑒𝑟𝑎𝑡𝑖𝑛𝑔</m:t>
                        </m:r>
                        <m:r>
                          <a:rPr lang="en-US" sz="2000" b="0" i="1">
                            <a:latin typeface="Cambria Math" panose="02040503050406030204" pitchFamily="18" charset="0"/>
                          </a:rPr>
                          <m:t> </m:t>
                        </m:r>
                        <m:r>
                          <a:rPr lang="en-US" sz="2000" b="0" i="1">
                            <a:latin typeface="Cambria Math" panose="02040503050406030204" pitchFamily="18" charset="0"/>
                          </a:rPr>
                          <m:t>𝑖𝑛𝑐𝑜𝑚𝑒</m:t>
                        </m:r>
                      </m:num>
                      <m:den>
                        <m:r>
                          <a:rPr lang="en-US" sz="2000" b="0" i="1">
                            <a:latin typeface="Cambria Math" panose="02040503050406030204" pitchFamily="18" charset="0"/>
                          </a:rPr>
                          <m:t>𝐶𝑀</m:t>
                        </m:r>
                        <m:r>
                          <a:rPr lang="en-US" sz="2000" b="0" i="1">
                            <a:latin typeface="Cambria Math" panose="02040503050406030204" pitchFamily="18" charset="0"/>
                          </a:rPr>
                          <m:t> </m:t>
                        </m:r>
                        <m:r>
                          <a:rPr lang="en-US" sz="2000" b="0" i="1">
                            <a:latin typeface="Cambria Math" panose="02040503050406030204" pitchFamily="18" charset="0"/>
                          </a:rPr>
                          <m:t>𝑟𝑎𝑡𝑖𝑜</m:t>
                        </m:r>
                        <m:r>
                          <a:rPr lang="en-US" sz="2000" b="0" i="1">
                            <a:latin typeface="Cambria Math" panose="02040503050406030204" pitchFamily="18" charset="0"/>
                          </a:rPr>
                          <m:t> </m:t>
                        </m:r>
                        <m:r>
                          <a:rPr lang="en-US" sz="2000" b="0" i="1">
                            <a:latin typeface="Cambria Math" panose="02040503050406030204" pitchFamily="18" charset="0"/>
                          </a:rPr>
                          <m:t>𝑝𝑒𝑟</m:t>
                        </m:r>
                        <m:r>
                          <a:rPr lang="en-US" sz="2000" b="0" i="1">
                            <a:latin typeface="Cambria Math" panose="02040503050406030204" pitchFamily="18" charset="0"/>
                          </a:rPr>
                          <m:t> </m:t>
                        </m:r>
                        <m:r>
                          <a:rPr lang="en-US" sz="2000" b="0" i="1">
                            <a:latin typeface="Cambria Math" panose="02040503050406030204" pitchFamily="18" charset="0"/>
                          </a:rPr>
                          <m:t>𝑢𝑛𝑖𝑡</m:t>
                        </m:r>
                      </m:den>
                    </m:f>
                  </m:oMath>
                </m:oMathPara>
              </a14:m>
              <a:endParaRPr lang="ru-RU" sz="2000"/>
            </a:p>
          </xdr:txBody>
        </xdr:sp>
      </mc:Choice>
      <mc:Fallback xmlns="">
        <xdr:sp macro="" textlink="">
          <xdr:nvSpPr>
            <xdr:cNvPr id="12" name="TextBox 11">
              <a:extLst>
                <a:ext uri="{FF2B5EF4-FFF2-40B4-BE49-F238E27FC236}">
                  <a16:creationId xmlns:a16="http://schemas.microsoft.com/office/drawing/2014/main" id="{7D3534C8-E124-4A64-98B8-BB2379967A23}"/>
                </a:ext>
              </a:extLst>
            </xdr:cNvPr>
            <xdr:cNvSpPr txBox="1"/>
          </xdr:nvSpPr>
          <xdr:spPr>
            <a:xfrm>
              <a:off x="8511944" y="24386284"/>
              <a:ext cx="5062027" cy="63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rPr>
                <a:t>𝑈𝑛𝑖𝑡𝑠=(𝐹𝑖𝑥𝑒𝑑 𝑒𝑥𝑝𝑒𝑛𝑠𝑒+𝑂𝑝𝑒𝑟𝑎𝑡𝑖𝑛𝑔 𝑖𝑛𝑐𝑜𝑚𝑒)/(𝐶𝑀 𝑟𝑎𝑡𝑖𝑜 𝑝𝑒𝑟 𝑢𝑛𝑖𝑡)</a:t>
              </a:r>
              <a:endParaRPr lang="ru-RU" sz="2000"/>
            </a:p>
          </xdr:txBody>
        </xdr:sp>
      </mc:Fallback>
    </mc:AlternateContent>
    <xdr:clientData/>
  </xdr:oneCellAnchor>
  <xdr:oneCellAnchor>
    <xdr:from>
      <xdr:col>3</xdr:col>
      <xdr:colOff>242046</xdr:colOff>
      <xdr:row>24</xdr:row>
      <xdr:rowOff>259977</xdr:rowOff>
    </xdr:from>
    <xdr:ext cx="8601076" cy="795987"/>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200-000003000000}"/>
                </a:ext>
              </a:extLst>
            </xdr:cNvPr>
            <xdr:cNvSpPr txBox="1"/>
          </xdr:nvSpPr>
          <xdr:spPr>
            <a:xfrm>
              <a:off x="2070846" y="4765302"/>
              <a:ext cx="8601076" cy="795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a:rPr>
                      <m:t>𝐵𝐸𝑃</m:t>
                    </m:r>
                    <m:r>
                      <a:rPr lang="en-US" sz="2400" b="0" i="1">
                        <a:latin typeface="Cambria Math"/>
                      </a:rPr>
                      <m:t>=</m:t>
                    </m:r>
                    <m:f>
                      <m:fPr>
                        <m:ctrlPr>
                          <a:rPr lang="en-US" sz="2400" b="0" i="1">
                            <a:latin typeface="Cambria Math" panose="02040503050406030204" pitchFamily="18" charset="0"/>
                          </a:rPr>
                        </m:ctrlPr>
                      </m:fPr>
                      <m:num>
                        <m:r>
                          <a:rPr lang="en-US" sz="2400" b="0" i="1">
                            <a:latin typeface="Cambria Math"/>
                          </a:rPr>
                          <m:t>𝐹𝑖𝑥𝑒𝑑</m:t>
                        </m:r>
                        <m:r>
                          <a:rPr lang="en-US" sz="2400" b="0" i="1">
                            <a:latin typeface="Cambria Math"/>
                          </a:rPr>
                          <m:t> </m:t>
                        </m:r>
                        <m:r>
                          <a:rPr lang="en-US" sz="2400" b="0" i="1">
                            <a:latin typeface="Cambria Math"/>
                          </a:rPr>
                          <m:t>𝑐𝑜𝑠𝑡𝑠</m:t>
                        </m:r>
                        <m:r>
                          <a:rPr lang="en-US" sz="2400" b="0" i="1">
                            <a:latin typeface="Cambria Math"/>
                          </a:rPr>
                          <m:t>+</m:t>
                        </m:r>
                        <m:r>
                          <a:rPr lang="en-US" sz="2400" b="0" i="1">
                            <a:latin typeface="Cambria Math"/>
                          </a:rPr>
                          <m:t>𝑂𝑝𝑒𝑟𝑎𝑡𝑖𝑛𝑔</m:t>
                        </m:r>
                        <m:r>
                          <a:rPr lang="en-US" sz="2400" b="0" i="1">
                            <a:latin typeface="Cambria Math"/>
                          </a:rPr>
                          <m:t> </m:t>
                        </m:r>
                        <m:r>
                          <a:rPr lang="en-US" sz="2400" b="0" i="1">
                            <a:latin typeface="Cambria Math"/>
                          </a:rPr>
                          <m:t>𝑖𝑛𝑐𝑜𝑚𝑒</m:t>
                        </m:r>
                        <m:r>
                          <a:rPr lang="en-US" sz="2400" b="0" i="1">
                            <a:latin typeface="Cambria Math" panose="02040503050406030204" pitchFamily="18" charset="0"/>
                          </a:rPr>
                          <m:t> (</m:t>
                        </m:r>
                        <m:r>
                          <a:rPr lang="en-US" sz="2400" b="0" i="1">
                            <a:solidFill>
                              <a:srgbClr val="FF0000"/>
                            </a:solidFill>
                            <a:latin typeface="Cambria Math" panose="02040503050406030204" pitchFamily="18" charset="0"/>
                          </a:rPr>
                          <m:t>𝑚𝑢𝑠𝑡</m:t>
                        </m:r>
                        <m:r>
                          <a:rPr lang="en-US" sz="2400" b="0" i="1">
                            <a:solidFill>
                              <a:srgbClr val="FF0000"/>
                            </a:solidFill>
                            <a:latin typeface="Cambria Math" panose="02040503050406030204" pitchFamily="18" charset="0"/>
                          </a:rPr>
                          <m:t> </m:t>
                        </m:r>
                        <m:r>
                          <a:rPr lang="en-US" sz="2400" b="0" i="1">
                            <a:solidFill>
                              <a:srgbClr val="FF0000"/>
                            </a:solidFill>
                            <a:latin typeface="Cambria Math" panose="02040503050406030204" pitchFamily="18" charset="0"/>
                          </a:rPr>
                          <m:t>𝑏𝑒</m:t>
                        </m:r>
                        <m:r>
                          <a:rPr lang="en-US" sz="2400" b="0" i="1">
                            <a:solidFill>
                              <a:srgbClr val="FF0000"/>
                            </a:solidFill>
                            <a:latin typeface="Cambria Math" panose="02040503050406030204" pitchFamily="18" charset="0"/>
                          </a:rPr>
                          <m:t> 0)</m:t>
                        </m:r>
                      </m:num>
                      <m:den>
                        <m:r>
                          <a:rPr lang="en-US" sz="2400" b="0" i="1">
                            <a:latin typeface="Cambria Math"/>
                          </a:rPr>
                          <m:t>𝐶𝑀</m:t>
                        </m:r>
                        <m:r>
                          <a:rPr lang="en-US" sz="2400" b="0" i="1">
                            <a:latin typeface="Cambria Math"/>
                          </a:rPr>
                          <m:t> </m:t>
                        </m:r>
                        <m:r>
                          <a:rPr lang="en-US" sz="2400" b="0" i="1">
                            <a:latin typeface="Cambria Math"/>
                          </a:rPr>
                          <m:t>𝑟𝑎𝑡𝑖𝑜</m:t>
                        </m:r>
                      </m:den>
                    </m:f>
                  </m:oMath>
                </m:oMathPara>
              </a14:m>
              <a:endParaRPr lang="ru-RU" sz="2400">
                <a:latin typeface="+mn-lt"/>
              </a:endParaRPr>
            </a:p>
          </xdr:txBody>
        </xdr:sp>
      </mc:Choice>
      <mc:Fallback xmlns="">
        <xdr:sp macro="" textlink="">
          <xdr:nvSpPr>
            <xdr:cNvPr id="13" name="TextBox 12">
              <a:extLst>
                <a:ext uri="{FF2B5EF4-FFF2-40B4-BE49-F238E27FC236}">
                  <a16:creationId xmlns:a16="http://schemas.microsoft.com/office/drawing/2014/main" id="{00000000-0008-0000-0200-000003000000}"/>
                </a:ext>
              </a:extLst>
            </xdr:cNvPr>
            <xdr:cNvSpPr txBox="1"/>
          </xdr:nvSpPr>
          <xdr:spPr>
            <a:xfrm>
              <a:off x="2070846" y="4765302"/>
              <a:ext cx="8601076" cy="795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rPr>
                <a:t>𝐵𝐸𝑃=</a:t>
              </a:r>
              <a:r>
                <a:rPr lang="en-US" sz="2400" b="0" i="0">
                  <a:latin typeface="Cambria Math" panose="02040503050406030204" pitchFamily="18" charset="0"/>
                </a:rPr>
                <a:t>(</a:t>
              </a:r>
              <a:r>
                <a:rPr lang="en-US" sz="2400" b="0" i="0">
                  <a:latin typeface="Cambria Math"/>
                </a:rPr>
                <a:t>𝐹𝑖𝑥𝑒𝑑 𝑐𝑜𝑠𝑡𝑠+𝑂𝑝𝑒𝑟𝑎𝑡𝑖𝑛𝑔 𝑖𝑛𝑐𝑜𝑚𝑒</a:t>
              </a:r>
              <a:r>
                <a:rPr lang="en-US" sz="2400" b="0" i="0">
                  <a:latin typeface="Cambria Math" panose="02040503050406030204" pitchFamily="18" charset="0"/>
                </a:rPr>
                <a:t> (</a:t>
              </a:r>
              <a:r>
                <a:rPr lang="en-US" sz="2400" b="0" i="0">
                  <a:solidFill>
                    <a:srgbClr val="FF0000"/>
                  </a:solidFill>
                  <a:latin typeface="Cambria Math" panose="02040503050406030204" pitchFamily="18" charset="0"/>
                </a:rPr>
                <a:t>𝑚𝑢𝑠𝑡 𝑏𝑒 0))/(</a:t>
              </a:r>
              <a:r>
                <a:rPr lang="en-US" sz="2400" b="0" i="0">
                  <a:latin typeface="Cambria Math"/>
                </a:rPr>
                <a:t>𝐶𝑀 𝑟𝑎𝑡𝑖𝑜</a:t>
              </a:r>
              <a:r>
                <a:rPr lang="en-US" sz="2400" b="0" i="0">
                  <a:latin typeface="Cambria Math" panose="02040503050406030204" pitchFamily="18" charset="0"/>
                </a:rPr>
                <a:t>)</a:t>
              </a:r>
              <a:endParaRPr lang="ru-RU" sz="2400">
                <a:latin typeface="+mn-lt"/>
              </a:endParaRPr>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oneCellAnchor>
    <xdr:from>
      <xdr:col>5</xdr:col>
      <xdr:colOff>381000</xdr:colOff>
      <xdr:row>16</xdr:row>
      <xdr:rowOff>125730</xdr:rowOff>
    </xdr:from>
    <xdr:ext cx="2835007" cy="504112"/>
    <mc:AlternateContent xmlns:mc="http://schemas.openxmlformats.org/markup-compatibility/2006" xmlns:a14="http://schemas.microsoft.com/office/drawing/2010/main">
      <mc:Choice Requires="a14">
        <xdr:sp macro="" textlink="">
          <xdr:nvSpPr>
            <xdr:cNvPr id="2" name="TextBox 1"/>
            <xdr:cNvSpPr txBox="1"/>
          </xdr:nvSpPr>
          <xdr:spPr>
            <a:xfrm>
              <a:off x="4619625" y="3173730"/>
              <a:ext cx="2835007" cy="5041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𝑅𝑂𝐼𝐶</m:t>
                    </m:r>
                    <m:r>
                      <a:rPr lang="en-US" sz="1600" b="0" i="1">
                        <a:latin typeface="Cambria Math" panose="02040503050406030204" pitchFamily="18" charset="0"/>
                      </a:rPr>
                      <m:t>=</m:t>
                    </m:r>
                    <m:f>
                      <m:fPr>
                        <m:ctrlPr>
                          <a:rPr lang="en-US" sz="1600" b="0" i="1">
                            <a:latin typeface="Cambria Math" panose="02040503050406030204" pitchFamily="18" charset="0"/>
                          </a:rPr>
                        </m:ctrlPr>
                      </m:fPr>
                      <m:num>
                        <m:r>
                          <a:rPr lang="en-US" sz="1600" b="0" i="1">
                            <a:latin typeface="Cambria Math" panose="02040503050406030204" pitchFamily="18" charset="0"/>
                          </a:rPr>
                          <m:t>𝑁𝑂𝑃𝐴𝑇</m:t>
                        </m:r>
                      </m:num>
                      <m:den>
                        <m:r>
                          <a:rPr lang="en-US" sz="1600" b="0" i="1">
                            <a:latin typeface="Cambria Math" panose="02040503050406030204" pitchFamily="18" charset="0"/>
                          </a:rPr>
                          <m:t>𝑇𝑜𝑡𝑎𝑙</m:t>
                        </m:r>
                        <m:r>
                          <a:rPr lang="en-US" sz="1600" b="0" i="1">
                            <a:latin typeface="Cambria Math" panose="02040503050406030204" pitchFamily="18" charset="0"/>
                          </a:rPr>
                          <m:t> </m:t>
                        </m:r>
                        <m:r>
                          <a:rPr lang="en-US" sz="1600" b="0" i="1">
                            <a:latin typeface="Cambria Math" panose="02040503050406030204" pitchFamily="18" charset="0"/>
                          </a:rPr>
                          <m:t>𝑖𝑛𝑣𝑒𝑠𝑡𝑒𝑑</m:t>
                        </m:r>
                        <m:r>
                          <a:rPr lang="en-US" sz="1600" b="0" i="1">
                            <a:latin typeface="Cambria Math" panose="02040503050406030204" pitchFamily="18" charset="0"/>
                          </a:rPr>
                          <m:t> </m:t>
                        </m:r>
                        <m:r>
                          <a:rPr lang="en-US" sz="1600" b="0" i="1">
                            <a:latin typeface="Cambria Math" panose="02040503050406030204" pitchFamily="18" charset="0"/>
                          </a:rPr>
                          <m:t>𝑐𝑎𝑝𝑖𝑡𝑎𝑙</m:t>
                        </m:r>
                      </m:den>
                    </m:f>
                  </m:oMath>
                </m:oMathPara>
              </a14:m>
              <a:endParaRPr lang="ru-RU" sz="1600"/>
            </a:p>
          </xdr:txBody>
        </xdr:sp>
      </mc:Choice>
      <mc:Fallback xmlns="">
        <xdr:sp macro="" textlink="">
          <xdr:nvSpPr>
            <xdr:cNvPr id="2" name="TextBox 1"/>
            <xdr:cNvSpPr txBox="1"/>
          </xdr:nvSpPr>
          <xdr:spPr>
            <a:xfrm>
              <a:off x="4619625" y="3173730"/>
              <a:ext cx="2835007" cy="5041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600" b="0" i="0">
                  <a:latin typeface="Cambria Math" panose="02040503050406030204" pitchFamily="18" charset="0"/>
                </a:rPr>
                <a:t>𝑅𝑂𝐼𝐶=𝑁𝑂𝑃𝐴𝑇/(𝑇𝑜𝑡𝑎𝑙 𝑖𝑛𝑣𝑒𝑠𝑡𝑒𝑑 𝑐𝑎𝑝𝑖𝑡𝑎𝑙)</a:t>
              </a:r>
              <a:endParaRPr lang="ru-RU" sz="1600"/>
            </a:p>
          </xdr:txBody>
        </xdr:sp>
      </mc:Fallback>
    </mc:AlternateContent>
    <xdr:clientData/>
  </xdr:oneCellAnchor>
  <xdr:oneCellAnchor>
    <xdr:from>
      <xdr:col>5</xdr:col>
      <xdr:colOff>491714</xdr:colOff>
      <xdr:row>20</xdr:row>
      <xdr:rowOff>36083</xdr:rowOff>
    </xdr:from>
    <xdr:ext cx="2299027" cy="250453"/>
    <mc:AlternateContent xmlns:mc="http://schemas.openxmlformats.org/markup-compatibility/2006" xmlns:a14="http://schemas.microsoft.com/office/drawing/2010/main">
      <mc:Choice Requires="a14">
        <xdr:sp macro="" textlink="">
          <xdr:nvSpPr>
            <xdr:cNvPr id="3" name="TextBox 2"/>
            <xdr:cNvSpPr txBox="1"/>
          </xdr:nvSpPr>
          <xdr:spPr>
            <a:xfrm>
              <a:off x="4730339" y="3846083"/>
              <a:ext cx="2299027"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𝑁𝑂𝑃𝐴𝑇</m:t>
                    </m:r>
                    <m:r>
                      <a:rPr lang="en-US" sz="1600" b="0" i="1">
                        <a:latin typeface="Cambria Math" panose="02040503050406030204" pitchFamily="18" charset="0"/>
                      </a:rPr>
                      <m:t>=</m:t>
                    </m:r>
                    <m:r>
                      <a:rPr lang="en-US" sz="1600" b="0" i="1">
                        <a:latin typeface="Cambria Math" panose="02040503050406030204" pitchFamily="18" charset="0"/>
                      </a:rPr>
                      <m:t>𝐸𝐵𝐼𝑇</m:t>
                    </m:r>
                    <m:r>
                      <a:rPr lang="en-US" sz="1600" b="0" i="1">
                        <a:latin typeface="Cambria Math" panose="02040503050406030204" pitchFamily="18" charset="0"/>
                      </a:rPr>
                      <m:t>∗(1−</m:t>
                    </m:r>
                    <m:r>
                      <a:rPr lang="en-US" sz="1600" b="0" i="1">
                        <a:latin typeface="Cambria Math" panose="02040503050406030204" pitchFamily="18" charset="0"/>
                      </a:rPr>
                      <m:t>𝑇</m:t>
                    </m:r>
                    <m:r>
                      <a:rPr lang="en-US" sz="1600" b="0" i="1">
                        <a:latin typeface="Cambria Math" panose="02040503050406030204" pitchFamily="18" charset="0"/>
                      </a:rPr>
                      <m:t>)</m:t>
                    </m:r>
                  </m:oMath>
                </m:oMathPara>
              </a14:m>
              <a:endParaRPr lang="ru-RU" sz="1600"/>
            </a:p>
          </xdr:txBody>
        </xdr:sp>
      </mc:Choice>
      <mc:Fallback xmlns="">
        <xdr:sp macro="" textlink="">
          <xdr:nvSpPr>
            <xdr:cNvPr id="3" name="TextBox 2"/>
            <xdr:cNvSpPr txBox="1"/>
          </xdr:nvSpPr>
          <xdr:spPr>
            <a:xfrm>
              <a:off x="4730339" y="3846083"/>
              <a:ext cx="2299027"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600" b="0" i="0">
                  <a:latin typeface="Cambria Math" panose="02040503050406030204" pitchFamily="18" charset="0"/>
                </a:rPr>
                <a:t>𝑁𝑂𝑃𝐴𝑇=𝐸𝐵𝐼𝑇∗(1−𝑇)</a:t>
              </a:r>
              <a:endParaRPr lang="ru-RU" sz="1600"/>
            </a:p>
          </xdr:txBody>
        </xdr:sp>
      </mc:Fallback>
    </mc:AlternateContent>
    <xdr:clientData/>
  </xdr:oneCellAnchor>
  <xdr:oneCellAnchor>
    <xdr:from>
      <xdr:col>5</xdr:col>
      <xdr:colOff>434340</xdr:colOff>
      <xdr:row>22</xdr:row>
      <xdr:rowOff>137160</xdr:rowOff>
    </xdr:from>
    <xdr:ext cx="2835007" cy="690802"/>
    <mc:AlternateContent xmlns:mc="http://schemas.openxmlformats.org/markup-compatibility/2006" xmlns:a14="http://schemas.microsoft.com/office/drawing/2010/main">
      <mc:Choice Requires="a14">
        <xdr:sp macro="" textlink="">
          <xdr:nvSpPr>
            <xdr:cNvPr id="4" name="TextBox 3"/>
            <xdr:cNvSpPr txBox="1"/>
          </xdr:nvSpPr>
          <xdr:spPr>
            <a:xfrm>
              <a:off x="4672965" y="4328160"/>
              <a:ext cx="2835007" cy="690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𝑅𝑂𝐸</m:t>
                    </m:r>
                    <m:r>
                      <a:rPr lang="en-US" sz="1600" b="0" i="1">
                        <a:latin typeface="Cambria Math" panose="02040503050406030204" pitchFamily="18" charset="0"/>
                      </a:rPr>
                      <m:t>=</m:t>
                    </m:r>
                    <m:f>
                      <m:fPr>
                        <m:ctrlPr>
                          <a:rPr lang="en-US" sz="1600" b="0" i="1">
                            <a:latin typeface="Cambria Math" panose="02040503050406030204" pitchFamily="18" charset="0"/>
                          </a:rPr>
                        </m:ctrlPr>
                      </m:fPr>
                      <m:num>
                        <m:r>
                          <a:rPr lang="en-US" sz="1600" b="0" i="1">
                            <a:latin typeface="Cambria Math" panose="02040503050406030204" pitchFamily="18" charset="0"/>
                          </a:rPr>
                          <m:t>𝑁𝑒𝑡</m:t>
                        </m:r>
                        <m:r>
                          <a:rPr lang="en-US" sz="1600" b="0" i="1">
                            <a:latin typeface="Cambria Math" panose="02040503050406030204" pitchFamily="18" charset="0"/>
                          </a:rPr>
                          <m:t> </m:t>
                        </m:r>
                        <m:r>
                          <a:rPr lang="en-US" sz="1600" b="0" i="1">
                            <a:latin typeface="Cambria Math" panose="02040503050406030204" pitchFamily="18" charset="0"/>
                          </a:rPr>
                          <m:t>𝑖𝑛𝑐𝑜𝑚𝑒</m:t>
                        </m:r>
                      </m:num>
                      <m:den>
                        <m:r>
                          <a:rPr lang="en-US" sz="1600" b="0" i="1">
                            <a:latin typeface="Cambria Math" panose="02040503050406030204" pitchFamily="18" charset="0"/>
                          </a:rPr>
                          <m:t>𝑆h𝑎𝑟𝑒h𝑜𝑙𝑑𝑒𝑟</m:t>
                        </m:r>
                        <m:sSup>
                          <m:sSupPr>
                            <m:ctrlPr>
                              <a:rPr lang="en-US" sz="1600" b="0" i="1">
                                <a:latin typeface="Cambria Math" panose="02040503050406030204" pitchFamily="18" charset="0"/>
                              </a:rPr>
                            </m:ctrlPr>
                          </m:sSupPr>
                          <m:e>
                            <m:r>
                              <a:rPr lang="en-US" sz="1600" b="0" i="1">
                                <a:latin typeface="Cambria Math" panose="02040503050406030204" pitchFamily="18" charset="0"/>
                              </a:rPr>
                              <m:t>𝑠</m:t>
                            </m:r>
                          </m:e>
                          <m:sup>
                            <m:r>
                              <a:rPr lang="en-US" sz="1600" b="0" i="1">
                                <a:latin typeface="Cambria Math" panose="02040503050406030204" pitchFamily="18" charset="0"/>
                              </a:rPr>
                              <m:t>′</m:t>
                            </m:r>
                          </m:sup>
                        </m:sSup>
                        <m:r>
                          <a:rPr lang="en-US" sz="1600" b="0" i="1">
                            <a:latin typeface="Cambria Math" panose="02040503050406030204" pitchFamily="18" charset="0"/>
                          </a:rPr>
                          <m:t>𝐸𝑞𝑢𝑖𝑡𝑦</m:t>
                        </m:r>
                      </m:den>
                    </m:f>
                  </m:oMath>
                </m:oMathPara>
              </a14:m>
              <a:endParaRPr lang="ru-RU" sz="1600"/>
            </a:p>
          </xdr:txBody>
        </xdr:sp>
      </mc:Choice>
      <mc:Fallback xmlns="">
        <xdr:sp macro="" textlink="">
          <xdr:nvSpPr>
            <xdr:cNvPr id="4" name="TextBox 3"/>
            <xdr:cNvSpPr txBox="1"/>
          </xdr:nvSpPr>
          <xdr:spPr>
            <a:xfrm>
              <a:off x="4672965" y="4328160"/>
              <a:ext cx="2835007" cy="690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600" b="0" i="0">
                  <a:latin typeface="Cambria Math" panose="02040503050406030204" pitchFamily="18" charset="0"/>
                </a:rPr>
                <a:t>𝑅𝑂𝐸=(𝑁𝑒𝑡 𝑖𝑛𝑐𝑜𝑚𝑒)/(𝑆ℎ𝑎𝑟𝑒ℎ𝑜𝑙𝑑𝑒𝑟𝑠^′ 𝐸𝑞𝑢𝑖𝑡𝑦)</a:t>
              </a:r>
              <a:endParaRPr lang="ru-RU" sz="1600"/>
            </a:p>
          </xdr:txBody>
        </xdr:sp>
      </mc:Fallback>
    </mc:AlternateContent>
    <xdr:clientData/>
  </xdr:oneCellAnchor>
  <xdr:oneCellAnchor>
    <xdr:from>
      <xdr:col>5</xdr:col>
      <xdr:colOff>76200</xdr:colOff>
      <xdr:row>26</xdr:row>
      <xdr:rowOff>198120</xdr:rowOff>
    </xdr:from>
    <xdr:ext cx="4221480" cy="690802"/>
    <mc:AlternateContent xmlns:mc="http://schemas.openxmlformats.org/markup-compatibility/2006" xmlns:a14="http://schemas.microsoft.com/office/drawing/2010/main">
      <mc:Choice Requires="a14">
        <xdr:sp macro="" textlink="">
          <xdr:nvSpPr>
            <xdr:cNvPr id="5" name="TextBox 4"/>
            <xdr:cNvSpPr txBox="1"/>
          </xdr:nvSpPr>
          <xdr:spPr>
            <a:xfrm>
              <a:off x="4314825" y="5141595"/>
              <a:ext cx="4221480" cy="690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𝐷𝑒𝑏𝑡</m:t>
                    </m:r>
                    <m:r>
                      <a:rPr lang="en-US" sz="1600" b="0" i="1">
                        <a:latin typeface="Cambria Math" panose="02040503050406030204" pitchFamily="18" charset="0"/>
                      </a:rPr>
                      <m:t>−</m:t>
                    </m:r>
                    <m:r>
                      <a:rPr lang="en-US" sz="1600" b="0" i="1">
                        <a:latin typeface="Cambria Math" panose="02040503050406030204" pitchFamily="18" charset="0"/>
                      </a:rPr>
                      <m:t>𝑡𝑜</m:t>
                    </m:r>
                    <m:r>
                      <a:rPr lang="en-US" sz="1600" b="0" i="1">
                        <a:latin typeface="Cambria Math" panose="02040503050406030204" pitchFamily="18" charset="0"/>
                      </a:rPr>
                      <m:t>−</m:t>
                    </m:r>
                    <m:r>
                      <a:rPr lang="en-US" sz="1600" b="0" i="1">
                        <a:latin typeface="Cambria Math" panose="02040503050406030204" pitchFamily="18" charset="0"/>
                      </a:rPr>
                      <m:t>𝑐𝑎𝑝𝑖𝑡𝑎𝑙</m:t>
                    </m:r>
                    <m:r>
                      <a:rPr lang="en-US" sz="1600" b="0" i="1">
                        <a:latin typeface="Cambria Math" panose="02040503050406030204" pitchFamily="18" charset="0"/>
                      </a:rPr>
                      <m:t> </m:t>
                    </m:r>
                    <m:r>
                      <a:rPr lang="en-US" sz="1600" b="0" i="1">
                        <a:latin typeface="Cambria Math" panose="02040503050406030204" pitchFamily="18" charset="0"/>
                      </a:rPr>
                      <m:t>𝑟𝑎𝑡𝑖𝑜</m:t>
                    </m:r>
                    <m:r>
                      <a:rPr lang="en-US" sz="1600" b="0" i="1">
                        <a:latin typeface="Cambria Math" panose="02040503050406030204" pitchFamily="18" charset="0"/>
                      </a:rPr>
                      <m:t>=</m:t>
                    </m:r>
                    <m:f>
                      <m:fPr>
                        <m:ctrlPr>
                          <a:rPr lang="en-US" sz="1600" b="0" i="1">
                            <a:latin typeface="Cambria Math" panose="02040503050406030204" pitchFamily="18" charset="0"/>
                          </a:rPr>
                        </m:ctrlPr>
                      </m:fPr>
                      <m:num>
                        <m:r>
                          <a:rPr lang="en-US" sz="1600" b="0" i="1">
                            <a:latin typeface="Cambria Math" panose="02040503050406030204" pitchFamily="18" charset="0"/>
                          </a:rPr>
                          <m:t>𝐷𝑒𝑏𝑡</m:t>
                        </m:r>
                      </m:num>
                      <m:den>
                        <m:r>
                          <a:rPr lang="en-US" sz="1600" b="0" i="1">
                            <a:latin typeface="Cambria Math" panose="02040503050406030204" pitchFamily="18" charset="0"/>
                          </a:rPr>
                          <m:t>𝐷𝑒𝑏𝑡</m:t>
                        </m:r>
                        <m:r>
                          <a:rPr lang="en-US" sz="1600" b="0" i="1">
                            <a:latin typeface="Cambria Math" panose="02040503050406030204" pitchFamily="18" charset="0"/>
                          </a:rPr>
                          <m:t>+</m:t>
                        </m:r>
                        <m:r>
                          <a:rPr lang="en-US" sz="1600" b="0" i="1">
                            <a:latin typeface="Cambria Math" panose="02040503050406030204" pitchFamily="18" charset="0"/>
                          </a:rPr>
                          <m:t>𝐸𝑞𝑢𝑖𝑡𝑦</m:t>
                        </m:r>
                      </m:den>
                    </m:f>
                  </m:oMath>
                </m:oMathPara>
              </a14:m>
              <a:endParaRPr lang="ru-RU" sz="1600"/>
            </a:p>
          </xdr:txBody>
        </xdr:sp>
      </mc:Choice>
      <mc:Fallback xmlns="">
        <xdr:sp macro="" textlink="">
          <xdr:nvSpPr>
            <xdr:cNvPr id="5" name="TextBox 4"/>
            <xdr:cNvSpPr txBox="1"/>
          </xdr:nvSpPr>
          <xdr:spPr>
            <a:xfrm>
              <a:off x="4314825" y="5141595"/>
              <a:ext cx="4221480" cy="690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600" b="0" i="0">
                  <a:latin typeface="Cambria Math" panose="02040503050406030204" pitchFamily="18" charset="0"/>
                </a:rPr>
                <a:t>𝐷𝑒𝑏𝑡−𝑡𝑜−𝑐𝑎𝑝𝑖𝑡𝑎𝑙 𝑟𝑎𝑡𝑖𝑜=𝐷𝑒𝑏𝑡/(𝐷𝑒𝑏𝑡+𝐸𝑞𝑢𝑖𝑡𝑦)</a:t>
              </a:r>
              <a:endParaRPr lang="ru-RU" sz="1600"/>
            </a:p>
          </xdr:txBody>
        </xdr:sp>
      </mc:Fallback>
    </mc:AlternateContent>
    <xdr:clientData/>
  </xdr:oneCellAnchor>
  <xdr:oneCellAnchor>
    <xdr:from>
      <xdr:col>4</xdr:col>
      <xdr:colOff>200025</xdr:colOff>
      <xdr:row>70</xdr:row>
      <xdr:rowOff>220027</xdr:rowOff>
    </xdr:from>
    <xdr:ext cx="4943476" cy="793679"/>
    <mc:AlternateContent xmlns:mc="http://schemas.openxmlformats.org/markup-compatibility/2006" xmlns:a14="http://schemas.microsoft.com/office/drawing/2010/main">
      <mc:Choice Requires="a14">
        <xdr:sp macro="" textlink="">
          <xdr:nvSpPr>
            <xdr:cNvPr id="6" name="TextBox 5"/>
            <xdr:cNvSpPr txBox="1"/>
          </xdr:nvSpPr>
          <xdr:spPr>
            <a:xfrm>
              <a:off x="3590925" y="13526452"/>
              <a:ext cx="4943476" cy="793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400" b="0" i="1">
                            <a:latin typeface="Cambria Math" panose="02040503050406030204" pitchFamily="18" charset="0"/>
                          </a:rPr>
                        </m:ctrlPr>
                      </m:sSubPr>
                      <m:e>
                        <m:r>
                          <a:rPr lang="en-US" sz="2400" b="0" i="1">
                            <a:latin typeface="Cambria Math"/>
                            <a:ea typeface="Cambria Math"/>
                          </a:rPr>
                          <m:t>𝛽</m:t>
                        </m:r>
                      </m:e>
                      <m:sub>
                        <m:r>
                          <a:rPr lang="en-US" sz="2400" b="0" i="1">
                            <a:latin typeface="Cambria Math"/>
                          </a:rPr>
                          <m:t>𝑙</m:t>
                        </m:r>
                        <m:r>
                          <a:rPr lang="de-DE" sz="2400" b="0" i="1">
                            <a:latin typeface="Cambria Math"/>
                          </a:rPr>
                          <m:t>𝑒</m:t>
                        </m:r>
                        <m:r>
                          <a:rPr lang="en-US" sz="2400" b="0" i="1">
                            <a:latin typeface="Cambria Math"/>
                          </a:rPr>
                          <m:t>𝑣</m:t>
                        </m:r>
                      </m:sub>
                    </m:sSub>
                    <m:r>
                      <a:rPr lang="en-US" sz="2400" b="0" i="1">
                        <a:latin typeface="Cambria Math"/>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a:ea typeface="+mn-ea"/>
                            <a:cs typeface="+mn-cs"/>
                          </a:rPr>
                          <m:t>𝛽</m:t>
                        </m:r>
                      </m:e>
                      <m:sub>
                        <m:r>
                          <a:rPr lang="de-DE" sz="2400" b="0" i="1">
                            <a:solidFill>
                              <a:schemeClr val="tx1"/>
                            </a:solidFill>
                            <a:effectLst/>
                            <a:latin typeface="Cambria Math"/>
                            <a:ea typeface="+mn-ea"/>
                            <a:cs typeface="+mn-cs"/>
                          </a:rPr>
                          <m:t>𝑢𝑙</m:t>
                        </m:r>
                      </m:sub>
                    </m:sSub>
                    <m:d>
                      <m:dPr>
                        <m:begChr m:val="["/>
                        <m:endChr m:val="]"/>
                        <m:ctrlPr>
                          <a:rPr lang="de-DE"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f>
                          <m:fPr>
                            <m:ctrlPr>
                              <a:rPr lang="en-US" sz="2400" b="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𝐷</m:t>
                            </m:r>
                          </m:num>
                          <m:den>
                            <m:r>
                              <a:rPr lang="en-US" sz="2400" b="0" i="1">
                                <a:solidFill>
                                  <a:schemeClr val="tx1"/>
                                </a:solidFill>
                                <a:effectLst/>
                                <a:latin typeface="Cambria Math"/>
                                <a:ea typeface="+mn-ea"/>
                                <a:cs typeface="+mn-cs"/>
                              </a:rPr>
                              <m:t>𝐸</m:t>
                            </m:r>
                          </m:den>
                        </m:f>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a:ea typeface="+mn-ea"/>
                                <a:cs typeface="+mn-cs"/>
                              </a:rPr>
                              <m:t>1−</m:t>
                            </m:r>
                            <m:r>
                              <a:rPr lang="en-US" sz="2400" b="0" i="1">
                                <a:solidFill>
                                  <a:schemeClr val="tx1"/>
                                </a:solidFill>
                                <a:effectLst/>
                                <a:latin typeface="Cambria Math"/>
                                <a:ea typeface="+mn-ea"/>
                                <a:cs typeface="+mn-cs"/>
                              </a:rPr>
                              <m:t>𝑇</m:t>
                            </m:r>
                          </m:e>
                        </m:d>
                      </m:e>
                    </m:d>
                  </m:oMath>
                </m:oMathPara>
              </a14:m>
              <a:endParaRPr lang="ru-RU" sz="2400">
                <a:latin typeface="+mn-lt"/>
              </a:endParaRPr>
            </a:p>
          </xdr:txBody>
        </xdr:sp>
      </mc:Choice>
      <mc:Fallback xmlns="">
        <xdr:sp macro="" textlink="">
          <xdr:nvSpPr>
            <xdr:cNvPr id="6" name="TextBox 5"/>
            <xdr:cNvSpPr txBox="1"/>
          </xdr:nvSpPr>
          <xdr:spPr>
            <a:xfrm>
              <a:off x="3590925" y="13526452"/>
              <a:ext cx="4943476" cy="793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a:ea typeface="Cambria Math"/>
                </a:rPr>
                <a:t>𝛽</a:t>
              </a:r>
              <a:r>
                <a:rPr lang="en-US" sz="2400" b="0" i="0">
                  <a:latin typeface="Cambria Math" panose="02040503050406030204" pitchFamily="18" charset="0"/>
                  <a:ea typeface="Cambria Math"/>
                </a:rPr>
                <a:t>_</a:t>
              </a:r>
              <a:r>
                <a:rPr lang="en-US" sz="2400" b="0" i="0">
                  <a:latin typeface="Cambria Math"/>
                </a:rPr>
                <a:t>𝑙</a:t>
              </a:r>
              <a:r>
                <a:rPr lang="de-DE" sz="2400" b="0" i="0">
                  <a:latin typeface="Cambria Math"/>
                </a:rPr>
                <a:t>𝑒</a:t>
              </a:r>
              <a:r>
                <a:rPr lang="en-US" sz="2400" b="0" i="0">
                  <a:latin typeface="Cambria Math"/>
                </a:rPr>
                <a:t>𝑣=</a:t>
              </a:r>
              <a:r>
                <a:rPr lang="en-US" sz="2400" b="0" i="0">
                  <a:solidFill>
                    <a:schemeClr val="tx1"/>
                  </a:solidFill>
                  <a:effectLst/>
                  <a:latin typeface="Cambria Math"/>
                  <a:ea typeface="+mn-ea"/>
                  <a:cs typeface="+mn-cs"/>
                </a:rPr>
                <a:t>𝛽</a:t>
              </a:r>
              <a:r>
                <a:rPr lang="en-US" sz="2400" b="0" i="0">
                  <a:solidFill>
                    <a:schemeClr val="tx1"/>
                  </a:solidFill>
                  <a:effectLst/>
                  <a:latin typeface="Cambria Math" panose="02040503050406030204" pitchFamily="18" charset="0"/>
                  <a:ea typeface="+mn-ea"/>
                  <a:cs typeface="+mn-cs"/>
                </a:rPr>
                <a:t>_</a:t>
              </a:r>
              <a:r>
                <a:rPr lang="de-DE" sz="2400" b="0" i="0">
                  <a:solidFill>
                    <a:schemeClr val="tx1"/>
                  </a:solidFill>
                  <a:effectLst/>
                  <a:latin typeface="Cambria Math"/>
                  <a:ea typeface="+mn-ea"/>
                  <a:cs typeface="+mn-cs"/>
                </a:rPr>
                <a:t>𝑢𝑙</a:t>
              </a:r>
              <a:r>
                <a:rPr lang="de-DE"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1+𝐷</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Cambria Math"/>
                  <a:ea typeface="+mn-ea"/>
                  <a:cs typeface="+mn-cs"/>
                </a:rPr>
                <a:t>𝐸</a:t>
              </a:r>
              <a:r>
                <a:rPr lang="en-US" sz="2400" b="0" i="0">
                  <a:solidFill>
                    <a:schemeClr val="tx1"/>
                  </a:solidFill>
                  <a:effectLst/>
                  <a:latin typeface="Cambria Math" panose="02040503050406030204" pitchFamily="18" charset="0"/>
                  <a:ea typeface="+mn-ea"/>
                  <a:cs typeface="+mn-cs"/>
                </a:rPr>
                <a:t> (</a:t>
              </a:r>
              <a:r>
                <a:rPr lang="en-US" sz="2400" b="0" i="0">
                  <a:solidFill>
                    <a:schemeClr val="tx1"/>
                  </a:solidFill>
                  <a:effectLst/>
                  <a:latin typeface="Cambria Math"/>
                  <a:ea typeface="+mn-ea"/>
                  <a:cs typeface="+mn-cs"/>
                </a:rPr>
                <a:t>1−𝑇</a:t>
              </a:r>
              <a:r>
                <a:rPr lang="en-US" sz="2400" b="0" i="0">
                  <a:solidFill>
                    <a:schemeClr val="tx1"/>
                  </a:solidFill>
                  <a:effectLst/>
                  <a:latin typeface="Cambria Math" panose="02040503050406030204" pitchFamily="18" charset="0"/>
                  <a:ea typeface="+mn-ea"/>
                  <a:cs typeface="+mn-cs"/>
                </a:rPr>
                <a:t>)]</a:t>
              </a:r>
              <a:endParaRPr lang="ru-RU" sz="2400">
                <a:latin typeface="+mn-lt"/>
              </a:endParaRPr>
            </a:p>
          </xdr:txBody>
        </xdr:sp>
      </mc:Fallback>
    </mc:AlternateContent>
    <xdr:clientData/>
  </xdr:oneCellAnchor>
  <xdr:oneCellAnchor>
    <xdr:from>
      <xdr:col>4</xdr:col>
      <xdr:colOff>174308</xdr:colOff>
      <xdr:row>66</xdr:row>
      <xdr:rowOff>239077</xdr:rowOff>
    </xdr:from>
    <xdr:ext cx="4943476" cy="491866"/>
    <mc:AlternateContent xmlns:mc="http://schemas.openxmlformats.org/markup-compatibility/2006" xmlns:a14="http://schemas.microsoft.com/office/drawing/2010/main">
      <mc:Choice Requires="a14">
        <xdr:sp macro="" textlink="">
          <xdr:nvSpPr>
            <xdr:cNvPr id="7" name="TextBox 6"/>
            <xdr:cNvSpPr txBox="1"/>
          </xdr:nvSpPr>
          <xdr:spPr>
            <a:xfrm>
              <a:off x="3565208" y="12764452"/>
              <a:ext cx="4943476" cy="491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b>
                      <m:sSubPr>
                        <m:ctrlPr>
                          <a:rPr lang="en-US" sz="2400" b="0" i="1">
                            <a:latin typeface="Cambria Math" panose="02040503050406030204" pitchFamily="18" charset="0"/>
                            <a:ea typeface="Cambria Math"/>
                          </a:rPr>
                        </m:ctrlPr>
                      </m:sSubPr>
                      <m:e>
                        <m:r>
                          <a:rPr lang="en-US" sz="2400" b="0" i="1">
                            <a:latin typeface="Cambria Math" panose="02040503050406030204" pitchFamily="18" charset="0"/>
                            <a:ea typeface="Cambria Math"/>
                          </a:rPr>
                          <m:t>𝐶</m:t>
                        </m:r>
                      </m:e>
                      <m:sub>
                        <m:r>
                          <a:rPr lang="en-US" sz="2400" b="0" i="1">
                            <a:latin typeface="Cambria Math" panose="02040503050406030204" pitchFamily="18" charset="0"/>
                            <a:ea typeface="Cambria Math"/>
                          </a:rPr>
                          <m:t>𝑒</m:t>
                        </m:r>
                      </m:sub>
                    </m:sSub>
                    <m:r>
                      <a:rPr lang="en-US" sz="2400" b="0" i="1">
                        <a:latin typeface="Cambria Math"/>
                      </a:rPr>
                      <m:t>=</m:t>
                    </m:r>
                    <m:sSub>
                      <m:sSubPr>
                        <m:ctrlPr>
                          <a:rPr lang="en-US" sz="2400" b="0" i="1">
                            <a:latin typeface="Cambria Math" panose="02040503050406030204" pitchFamily="18" charset="0"/>
                          </a:rPr>
                        </m:ctrlPr>
                      </m:sSubPr>
                      <m:e>
                        <m:r>
                          <a:rPr lang="en-US" sz="2400" b="0" i="1">
                            <a:latin typeface="Cambria Math" panose="02040503050406030204" pitchFamily="18" charset="0"/>
                          </a:rPr>
                          <m:t>𝑟</m:t>
                        </m:r>
                      </m:e>
                      <m:sub>
                        <m:r>
                          <a:rPr lang="en-US" sz="2400" b="0" i="1">
                            <a:latin typeface="Cambria Math" panose="02040503050406030204" pitchFamily="18" charset="0"/>
                          </a:rPr>
                          <m:t>𝑓</m:t>
                        </m:r>
                      </m:sub>
                    </m:sSub>
                    <m:r>
                      <a:rPr lang="en-US" sz="2400" b="0" i="1">
                        <a:latin typeface="Cambria Math" panose="02040503050406030204" pitchFamily="18" charset="0"/>
                      </a:rPr>
                      <m:t>+</m:t>
                    </m:r>
                    <m:r>
                      <a:rPr lang="en-US" sz="2400" b="0" i="1">
                        <a:latin typeface="Cambria Math" panose="02040503050406030204" pitchFamily="18" charset="0"/>
                        <a:ea typeface="Cambria Math" panose="02040503050406030204" pitchFamily="18" charset="0"/>
                      </a:rPr>
                      <m:t>𝛽</m:t>
                    </m:r>
                    <m:r>
                      <a:rPr lang="en-US" sz="2400" b="0" i="1">
                        <a:latin typeface="Cambria Math" panose="02040503050406030204" pitchFamily="18" charset="0"/>
                        <a:ea typeface="Cambria Math" panose="02040503050406030204" pitchFamily="18" charset="0"/>
                      </a:rPr>
                      <m:t>∗(</m:t>
                    </m:r>
                    <m:sSub>
                      <m:sSubPr>
                        <m:ctrlPr>
                          <a:rPr lang="en-US" sz="2400" b="0" i="1">
                            <a:latin typeface="Cambria Math" panose="02040503050406030204" pitchFamily="18" charset="0"/>
                            <a:ea typeface="Cambria Math" panose="02040503050406030204" pitchFamily="18" charset="0"/>
                          </a:rPr>
                        </m:ctrlPr>
                      </m:sSubPr>
                      <m:e>
                        <m:r>
                          <a:rPr lang="en-US" sz="2400" b="0" i="1">
                            <a:latin typeface="Cambria Math" panose="02040503050406030204" pitchFamily="18" charset="0"/>
                            <a:ea typeface="Cambria Math" panose="02040503050406030204" pitchFamily="18" charset="0"/>
                          </a:rPr>
                          <m:t>𝑟</m:t>
                        </m:r>
                      </m:e>
                      <m:sub>
                        <m:r>
                          <a:rPr lang="en-US" sz="2400" b="0" i="1">
                            <a:latin typeface="Cambria Math" panose="02040503050406030204" pitchFamily="18" charset="0"/>
                            <a:ea typeface="Cambria Math" panose="02040503050406030204" pitchFamily="18" charset="0"/>
                          </a:rPr>
                          <m:t>𝑚</m:t>
                        </m:r>
                      </m:sub>
                    </m:sSub>
                    <m:r>
                      <a:rPr lang="en-US" sz="2400" b="0" i="1">
                        <a:latin typeface="Cambria Math" panose="02040503050406030204" pitchFamily="18" charset="0"/>
                        <a:ea typeface="Cambria Math" panose="02040503050406030204" pitchFamily="18" charset="0"/>
                      </a:rPr>
                      <m:t>−</m:t>
                    </m:r>
                    <m:sSub>
                      <m:sSubPr>
                        <m:ctrlPr>
                          <a:rPr lang="en-US" sz="2400" b="0" i="1">
                            <a:latin typeface="Cambria Math" panose="02040503050406030204" pitchFamily="18" charset="0"/>
                            <a:ea typeface="Cambria Math" panose="02040503050406030204" pitchFamily="18" charset="0"/>
                          </a:rPr>
                        </m:ctrlPr>
                      </m:sSubPr>
                      <m:e>
                        <m:r>
                          <a:rPr lang="en-US" sz="2400" b="0" i="1">
                            <a:latin typeface="Cambria Math" panose="02040503050406030204" pitchFamily="18" charset="0"/>
                            <a:ea typeface="Cambria Math" panose="02040503050406030204" pitchFamily="18" charset="0"/>
                          </a:rPr>
                          <m:t>𝑟</m:t>
                        </m:r>
                      </m:e>
                      <m:sub>
                        <m:r>
                          <a:rPr lang="en-US" sz="2400" b="0" i="1">
                            <a:latin typeface="Cambria Math" panose="02040503050406030204" pitchFamily="18" charset="0"/>
                            <a:ea typeface="Cambria Math" panose="02040503050406030204" pitchFamily="18" charset="0"/>
                          </a:rPr>
                          <m:t>𝑓</m:t>
                        </m:r>
                      </m:sub>
                    </m:sSub>
                    <m:r>
                      <a:rPr lang="en-US" sz="2400" b="0" i="1">
                        <a:latin typeface="Cambria Math" panose="02040503050406030204" pitchFamily="18" charset="0"/>
                        <a:ea typeface="Cambria Math" panose="02040503050406030204" pitchFamily="18" charset="0"/>
                      </a:rPr>
                      <m:t>)</m:t>
                    </m:r>
                  </m:oMath>
                </m:oMathPara>
              </a14:m>
              <a:endParaRPr lang="ru-RU" sz="2400">
                <a:latin typeface="+mn-lt"/>
              </a:endParaRPr>
            </a:p>
          </xdr:txBody>
        </xdr:sp>
      </mc:Choice>
      <mc:Fallback xmlns="">
        <xdr:sp macro="" textlink="">
          <xdr:nvSpPr>
            <xdr:cNvPr id="7" name="TextBox 6"/>
            <xdr:cNvSpPr txBox="1"/>
          </xdr:nvSpPr>
          <xdr:spPr>
            <a:xfrm>
              <a:off x="3565208" y="12764452"/>
              <a:ext cx="4943476" cy="491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panose="02040503050406030204" pitchFamily="18" charset="0"/>
                  <a:ea typeface="Cambria Math"/>
                </a:rPr>
                <a:t>𝐶_𝑒</a:t>
              </a:r>
              <a:r>
                <a:rPr lang="en-US" sz="2400" b="0" i="0">
                  <a:latin typeface="Cambria Math"/>
                </a:rPr>
                <a:t>=</a:t>
              </a:r>
              <a:r>
                <a:rPr lang="en-US" sz="2400" b="0" i="0">
                  <a:latin typeface="Cambria Math" panose="02040503050406030204" pitchFamily="18" charset="0"/>
                </a:rPr>
                <a:t>𝑟_𝑓+</a:t>
              </a:r>
              <a:r>
                <a:rPr lang="en-US" sz="2400" b="0" i="0">
                  <a:latin typeface="Cambria Math" panose="02040503050406030204" pitchFamily="18" charset="0"/>
                  <a:ea typeface="Cambria Math" panose="02040503050406030204" pitchFamily="18" charset="0"/>
                </a:rPr>
                <a:t>𝛽∗(𝑟_𝑚−𝑟_𝑓)</a:t>
              </a:r>
              <a:endParaRPr lang="ru-RU" sz="2400">
                <a:latin typeface="+mn-lt"/>
              </a:endParaRPr>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twoCellAnchor>
    <xdr:from>
      <xdr:col>6</xdr:col>
      <xdr:colOff>103909</xdr:colOff>
      <xdr:row>23</xdr:row>
      <xdr:rowOff>190499</xdr:rowOff>
    </xdr:from>
    <xdr:to>
      <xdr:col>10</xdr:col>
      <xdr:colOff>416205</xdr:colOff>
      <xdr:row>27</xdr:row>
      <xdr:rowOff>-1</xdr:rowOff>
    </xdr:to>
    <xdr:pic>
      <xdr:nvPicPr>
        <xdr:cNvPr id="2" name="Рисунок 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7209" y="4571999"/>
          <a:ext cx="2674496"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640772</xdr:colOff>
      <xdr:row>48</xdr:row>
      <xdr:rowOff>86590</xdr:rowOff>
    </xdr:from>
    <xdr:to>
      <xdr:col>17</xdr:col>
      <xdr:colOff>51955</xdr:colOff>
      <xdr:row>55</xdr:row>
      <xdr:rowOff>51953</xdr:rowOff>
    </xdr:to>
    <xdr:pic>
      <xdr:nvPicPr>
        <xdr:cNvPr id="3" name="Рисунок 2">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26997" y="9230590"/>
          <a:ext cx="5364308" cy="12988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488568</xdr:colOff>
      <xdr:row>56</xdr:row>
      <xdr:rowOff>138545</xdr:rowOff>
    </xdr:from>
    <xdr:to>
      <xdr:col>13</xdr:col>
      <xdr:colOff>412830</xdr:colOff>
      <xdr:row>59</xdr:row>
      <xdr:rowOff>86591</xdr:rowOff>
    </xdr:to>
    <xdr:pic>
      <xdr:nvPicPr>
        <xdr:cNvPr id="4" name="Рисунок 3">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622418" y="10806545"/>
          <a:ext cx="3467562" cy="519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415635</xdr:colOff>
      <xdr:row>59</xdr:row>
      <xdr:rowOff>173182</xdr:rowOff>
    </xdr:from>
    <xdr:to>
      <xdr:col>11</xdr:col>
      <xdr:colOff>588817</xdr:colOff>
      <xdr:row>62</xdr:row>
      <xdr:rowOff>137912</xdr:rowOff>
    </xdr:to>
    <xdr:pic>
      <xdr:nvPicPr>
        <xdr:cNvPr id="5" name="Рисунок 4">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49485" y="11412682"/>
          <a:ext cx="2535382" cy="536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381000</xdr:colOff>
      <xdr:row>62</xdr:row>
      <xdr:rowOff>207819</xdr:rowOff>
    </xdr:from>
    <xdr:to>
      <xdr:col>11</xdr:col>
      <xdr:colOff>363682</xdr:colOff>
      <xdr:row>65</xdr:row>
      <xdr:rowOff>189895</xdr:rowOff>
    </xdr:to>
    <xdr:pic>
      <xdr:nvPicPr>
        <xdr:cNvPr id="6" name="Рисунок 5">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14850" y="11999769"/>
          <a:ext cx="2344882" cy="572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679094</xdr:colOff>
      <xdr:row>92</xdr:row>
      <xdr:rowOff>86591</xdr:rowOff>
    </xdr:from>
    <xdr:to>
      <xdr:col>13</xdr:col>
      <xdr:colOff>857527</xdr:colOff>
      <xdr:row>95</xdr:row>
      <xdr:rowOff>51954</xdr:rowOff>
    </xdr:to>
    <xdr:pic>
      <xdr:nvPicPr>
        <xdr:cNvPr id="7" name="Рисунок 6">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36669" y="17612591"/>
          <a:ext cx="4131308" cy="5368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744682</xdr:colOff>
      <xdr:row>95</xdr:row>
      <xdr:rowOff>190499</xdr:rowOff>
    </xdr:from>
    <xdr:to>
      <xdr:col>13</xdr:col>
      <xdr:colOff>1108361</xdr:colOff>
      <xdr:row>98</xdr:row>
      <xdr:rowOff>173182</xdr:rowOff>
    </xdr:to>
    <xdr:pic>
      <xdr:nvPicPr>
        <xdr:cNvPr id="8" name="Рисунок 7">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35582" y="18287999"/>
          <a:ext cx="4135579" cy="5541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387928</xdr:colOff>
      <xdr:row>14</xdr:row>
      <xdr:rowOff>180108</xdr:rowOff>
    </xdr:from>
    <xdr:to>
      <xdr:col>5</xdr:col>
      <xdr:colOff>459310</xdr:colOff>
      <xdr:row>17</xdr:row>
      <xdr:rowOff>138545</xdr:rowOff>
    </xdr:to>
    <xdr:pic>
      <xdr:nvPicPr>
        <xdr:cNvPr id="2" name="Рисунок 1">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159578" y="2847108"/>
          <a:ext cx="1252482" cy="529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568036</xdr:colOff>
      <xdr:row>18</xdr:row>
      <xdr:rowOff>96983</xdr:rowOff>
    </xdr:from>
    <xdr:to>
      <xdr:col>5</xdr:col>
      <xdr:colOff>304800</xdr:colOff>
      <xdr:row>22</xdr:row>
      <xdr:rowOff>97782</xdr:rowOff>
    </xdr:to>
    <xdr:pic>
      <xdr:nvPicPr>
        <xdr:cNvPr id="3" name="Рисунок 2">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39686" y="3525983"/>
          <a:ext cx="917864" cy="7627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851189</xdr:colOff>
      <xdr:row>15</xdr:row>
      <xdr:rowOff>96116</xdr:rowOff>
    </xdr:from>
    <xdr:to>
      <xdr:col>1</xdr:col>
      <xdr:colOff>2364707</xdr:colOff>
      <xdr:row>17</xdr:row>
      <xdr:rowOff>165389</xdr:rowOff>
    </xdr:to>
    <xdr:pic>
      <xdr:nvPicPr>
        <xdr:cNvPr id="4" name="Рисунок 3">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4564" y="2953616"/>
          <a:ext cx="0" cy="450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657225</xdr:colOff>
      <xdr:row>19</xdr:row>
      <xdr:rowOff>133349</xdr:rowOff>
    </xdr:from>
    <xdr:to>
      <xdr:col>6</xdr:col>
      <xdr:colOff>862445</xdr:colOff>
      <xdr:row>22</xdr:row>
      <xdr:rowOff>87393</xdr:rowOff>
    </xdr:to>
    <xdr:pic>
      <xdr:nvPicPr>
        <xdr:cNvPr id="5" name="Рисунок 4">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43300" y="3752849"/>
          <a:ext cx="586220" cy="525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193963</xdr:colOff>
      <xdr:row>56</xdr:row>
      <xdr:rowOff>221673</xdr:rowOff>
    </xdr:from>
    <xdr:to>
      <xdr:col>11</xdr:col>
      <xdr:colOff>169083</xdr:colOff>
      <xdr:row>59</xdr:row>
      <xdr:rowOff>83127</xdr:rowOff>
    </xdr:to>
    <xdr:pic>
      <xdr:nvPicPr>
        <xdr:cNvPr id="6" name="Рисунок 5">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27813" y="10861098"/>
          <a:ext cx="2337320" cy="461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180111</xdr:colOff>
      <xdr:row>60</xdr:row>
      <xdr:rowOff>221672</xdr:rowOff>
    </xdr:from>
    <xdr:to>
      <xdr:col>11</xdr:col>
      <xdr:colOff>249383</xdr:colOff>
      <xdr:row>63</xdr:row>
      <xdr:rowOff>113532</xdr:rowOff>
    </xdr:to>
    <xdr:pic>
      <xdr:nvPicPr>
        <xdr:cNvPr id="7" name="Рисунок 6">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13961" y="11623097"/>
          <a:ext cx="2431472" cy="4919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5</xdr:col>
      <xdr:colOff>259773</xdr:colOff>
      <xdr:row>7</xdr:row>
      <xdr:rowOff>225136</xdr:rowOff>
    </xdr:from>
    <xdr:to>
      <xdr:col>12</xdr:col>
      <xdr:colOff>826446</xdr:colOff>
      <xdr:row>11</xdr:row>
      <xdr:rowOff>155863</xdr:rowOff>
    </xdr:to>
    <xdr:pic>
      <xdr:nvPicPr>
        <xdr:cNvPr id="2" name="Рисунок 1">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12523" y="1520536"/>
          <a:ext cx="4462398" cy="730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17318</xdr:colOff>
      <xdr:row>17</xdr:row>
      <xdr:rowOff>154714</xdr:rowOff>
    </xdr:from>
    <xdr:to>
      <xdr:col>2</xdr:col>
      <xdr:colOff>1662545</xdr:colOff>
      <xdr:row>20</xdr:row>
      <xdr:rowOff>236393</xdr:rowOff>
    </xdr:to>
    <xdr:pic>
      <xdr:nvPicPr>
        <xdr:cNvPr id="3" name="Рисунок 2">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07868" y="3393214"/>
          <a:ext cx="1159452" cy="6055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1091045</xdr:colOff>
      <xdr:row>19</xdr:row>
      <xdr:rowOff>237259</xdr:rowOff>
    </xdr:from>
    <xdr:to>
      <xdr:col>6</xdr:col>
      <xdr:colOff>1440872</xdr:colOff>
      <xdr:row>23</xdr:row>
      <xdr:rowOff>17317</xdr:rowOff>
    </xdr:to>
    <xdr:pic>
      <xdr:nvPicPr>
        <xdr:cNvPr id="4" name="Рисунок 3">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48420" y="3809134"/>
          <a:ext cx="1188027" cy="589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1125682</xdr:colOff>
      <xdr:row>17</xdr:row>
      <xdr:rowOff>17319</xdr:rowOff>
    </xdr:from>
    <xdr:to>
      <xdr:col>7</xdr:col>
      <xdr:colOff>317915</xdr:colOff>
      <xdr:row>18</xdr:row>
      <xdr:rowOff>225136</xdr:rowOff>
    </xdr:to>
    <xdr:pic>
      <xdr:nvPicPr>
        <xdr:cNvPr id="5" name="Рисунок 4">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54482" y="3255819"/>
          <a:ext cx="1497283" cy="360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14910</xdr:colOff>
      <xdr:row>41</xdr:row>
      <xdr:rowOff>176419</xdr:rowOff>
    </xdr:from>
    <xdr:ext cx="2411896" cy="660052"/>
    <mc:AlternateContent xmlns:mc="http://schemas.openxmlformats.org/markup-compatibility/2006">
      <mc:Choice xmlns:a14="http://schemas.microsoft.com/office/drawing/2010/main" Requires="a14">
        <xdr:sp macro="" textlink="">
          <xdr:nvSpPr>
            <xdr:cNvPr id="6" name="TextBox 5">
              <a:extLst>
                <a:ext uri="{FF2B5EF4-FFF2-40B4-BE49-F238E27FC236}">
                  <a16:creationId xmlns:a16="http://schemas.microsoft.com/office/drawing/2014/main" id="{00000000-0008-0000-0200-000002000000}"/>
                </a:ext>
              </a:extLst>
            </xdr:cNvPr>
            <xdr:cNvSpPr txBox="1"/>
          </xdr:nvSpPr>
          <xdr:spPr>
            <a:xfrm>
              <a:off x="4739310" y="7986919"/>
              <a:ext cx="2411896" cy="660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a:rPr>
                      <m:t>𝑃𝑉</m:t>
                    </m:r>
                    <m:r>
                      <a:rPr lang="en-US" sz="1800" b="0" i="1">
                        <a:latin typeface="Cambria Math"/>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a:rPr>
                              <m:t>𝐷𝑖𝑣</m:t>
                            </m:r>
                          </m:e>
                          <m:sub>
                            <m:r>
                              <a:rPr lang="en-US" sz="1800" b="0" i="1">
                                <a:latin typeface="Cambria Math"/>
                              </a:rPr>
                              <m:t>1</m:t>
                            </m:r>
                          </m:sub>
                        </m:sSub>
                      </m:num>
                      <m:den>
                        <m:r>
                          <a:rPr lang="en-US" sz="1800" b="0" i="1">
                            <a:latin typeface="Cambria Math"/>
                          </a:rPr>
                          <m:t>(</m:t>
                        </m:r>
                        <m:r>
                          <a:rPr lang="en-US" sz="1800" b="0" i="1">
                            <a:latin typeface="Cambria Math"/>
                          </a:rPr>
                          <m:t>𝑟</m:t>
                        </m:r>
                        <m:r>
                          <a:rPr lang="en-US" sz="1800" b="0" i="1">
                            <a:latin typeface="Cambria Math"/>
                          </a:rPr>
                          <m:t>−</m:t>
                        </m:r>
                        <m:r>
                          <a:rPr lang="en-US" sz="1800" b="0" i="1">
                            <a:latin typeface="Cambria Math"/>
                          </a:rPr>
                          <m:t>𝑔</m:t>
                        </m:r>
                        <m:r>
                          <a:rPr lang="en-US" sz="1800" b="0" i="1">
                            <a:latin typeface="Cambria Math"/>
                          </a:rPr>
                          <m:t>)</m:t>
                        </m:r>
                      </m:den>
                    </m:f>
                  </m:oMath>
                </m:oMathPara>
              </a14:m>
              <a:endParaRPr lang="ru-RU" sz="1800"/>
            </a:p>
          </xdr:txBody>
        </xdr:sp>
      </mc:Choice>
      <mc:Fallback>
        <xdr:sp macro="" textlink="">
          <xdr:nvSpPr>
            <xdr:cNvPr id="6" name="TextBox 5">
              <a:extLst>
                <a:ext uri="{FF2B5EF4-FFF2-40B4-BE49-F238E27FC236}">
                  <a16:creationId xmlns:a16="http://schemas.microsoft.com/office/drawing/2014/main" id="{00000000-0008-0000-0200-000002000000}"/>
                </a:ext>
              </a:extLst>
            </xdr:cNvPr>
            <xdr:cNvSpPr txBox="1"/>
          </xdr:nvSpPr>
          <xdr:spPr>
            <a:xfrm>
              <a:off x="4739310" y="7986919"/>
              <a:ext cx="2411896" cy="660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800" b="0" i="0">
                  <a:latin typeface="Cambria Math"/>
                </a:rPr>
                <a:t>𝑃𝑉=</a:t>
              </a:r>
              <a:r>
                <a:rPr lang="en-US" sz="1800" b="0" i="0">
                  <a:latin typeface="Cambria Math" panose="02040503050406030204" pitchFamily="18" charset="0"/>
                </a:rPr>
                <a:t>〖</a:t>
              </a:r>
              <a:r>
                <a:rPr lang="en-US" sz="1800" b="0" i="0">
                  <a:latin typeface="Cambria Math"/>
                </a:rPr>
                <a:t>𝐷𝑖𝑣</a:t>
              </a:r>
              <a:r>
                <a:rPr lang="en-US" sz="1800" b="0" i="0">
                  <a:latin typeface="Cambria Math" panose="02040503050406030204" pitchFamily="18" charset="0"/>
                </a:rPr>
                <a:t>〗_</a:t>
              </a:r>
              <a:r>
                <a:rPr lang="en-US" sz="1800" b="0" i="0">
                  <a:latin typeface="Cambria Math"/>
                </a:rPr>
                <a:t>1</a:t>
              </a:r>
              <a:r>
                <a:rPr lang="en-US" sz="1800" b="0" i="0">
                  <a:latin typeface="Cambria Math" panose="02040503050406030204" pitchFamily="18" charset="0"/>
                </a:rPr>
                <a:t>/(</a:t>
              </a:r>
              <a:r>
                <a:rPr lang="en-US" sz="1800" b="0" i="0">
                  <a:latin typeface="Cambria Math"/>
                </a:rPr>
                <a:t>(𝑟−𝑔)</a:t>
              </a:r>
              <a:r>
                <a:rPr lang="en-US" sz="1800" b="0" i="0">
                  <a:latin typeface="Cambria Math" panose="02040503050406030204" pitchFamily="18" charset="0"/>
                </a:rPr>
                <a:t>)</a:t>
              </a:r>
              <a:endParaRPr lang="ru-RU" sz="1800"/>
            </a:p>
          </xdr:txBody>
        </xdr:sp>
      </mc:Fallback>
    </mc:AlternateContent>
    <xdr:clientData/>
  </xdr:oneCellAnchor>
  <xdr:oneCellAnchor>
    <xdr:from>
      <xdr:col>4</xdr:col>
      <xdr:colOff>64604</xdr:colOff>
      <xdr:row>52</xdr:row>
      <xdr:rowOff>118441</xdr:rowOff>
    </xdr:from>
    <xdr:ext cx="6147351" cy="835998"/>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2426804" y="10024441"/>
              <a:ext cx="6147351" cy="835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panose="02040503050406030204" pitchFamily="18" charset="0"/>
                      </a:rPr>
                      <m:t>𝑃𝑉</m:t>
                    </m:r>
                    <m:d>
                      <m:dPr>
                        <m:ctrlPr>
                          <a:rPr lang="en-US" sz="2400" b="0" i="1">
                            <a:latin typeface="Cambria Math" panose="02040503050406030204" pitchFamily="18" charset="0"/>
                          </a:rPr>
                        </m:ctrlPr>
                      </m:dPr>
                      <m:e>
                        <m:r>
                          <a:rPr lang="en-US" sz="2400" b="0" i="1">
                            <a:latin typeface="Cambria Math" panose="02040503050406030204" pitchFamily="18" charset="0"/>
                          </a:rPr>
                          <m:t>1</m:t>
                        </m:r>
                      </m:e>
                    </m:d>
                    <m:r>
                      <a:rPr lang="en-US" sz="2400" b="0" i="1">
                        <a:latin typeface="Cambria Math" panose="02040503050406030204" pitchFamily="18" charset="0"/>
                      </a:rPr>
                      <m:t>=</m:t>
                    </m:r>
                    <m:f>
                      <m:fPr>
                        <m:ctrlPr>
                          <a:rPr lang="en-US" sz="2400" b="0" i="1">
                            <a:latin typeface="Cambria Math" panose="02040503050406030204" pitchFamily="18" charset="0"/>
                          </a:rPr>
                        </m:ctrlPr>
                      </m:fPr>
                      <m:num>
                        <m:sSub>
                          <m:sSubPr>
                            <m:ctrlPr>
                              <a:rPr lang="en-US" sz="2400" b="0" i="1">
                                <a:latin typeface="Cambria Math" panose="02040503050406030204" pitchFamily="18" charset="0"/>
                              </a:rPr>
                            </m:ctrlPr>
                          </m:sSubPr>
                          <m:e>
                            <m:r>
                              <a:rPr lang="en-US" sz="2400" b="0" i="1">
                                <a:latin typeface="Cambria Math" panose="02040503050406030204" pitchFamily="18" charset="0"/>
                              </a:rPr>
                              <m:t>𝐷𝑖𝑣</m:t>
                            </m:r>
                          </m:e>
                          <m:sub>
                            <m:r>
                              <a:rPr lang="en-US" sz="2400" b="0" i="1">
                                <a:latin typeface="Cambria Math" panose="02040503050406030204" pitchFamily="18" charset="0"/>
                              </a:rPr>
                              <m:t>1</m:t>
                            </m:r>
                          </m:sub>
                        </m:sSub>
                      </m:num>
                      <m:den>
                        <m:d>
                          <m:dPr>
                            <m:ctrlPr>
                              <a:rPr lang="en-US" sz="2400" b="0" i="1">
                                <a:latin typeface="Cambria Math" panose="02040503050406030204" pitchFamily="18" charset="0"/>
                              </a:rPr>
                            </m:ctrlPr>
                          </m:dPr>
                          <m:e>
                            <m:r>
                              <a:rPr lang="en-US" sz="2400" b="0" i="1">
                                <a:latin typeface="Cambria Math" panose="02040503050406030204" pitchFamily="18" charset="0"/>
                              </a:rPr>
                              <m:t>1+</m:t>
                            </m:r>
                            <m:r>
                              <a:rPr lang="en-US" sz="2400" b="0" i="1">
                                <a:latin typeface="Cambria Math" panose="02040503050406030204" pitchFamily="18" charset="0"/>
                              </a:rPr>
                              <m:t>𝑟</m:t>
                            </m:r>
                          </m:e>
                        </m:d>
                      </m:den>
                    </m:f>
                    <m:r>
                      <a:rPr lang="en-US" sz="2400" b="0" i="1">
                        <a:latin typeface="Cambria Math" panose="02040503050406030204" pitchFamily="18" charset="0"/>
                      </a:rPr>
                      <m:t>+</m:t>
                    </m:r>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𝐷𝑖𝑣</m:t>
                            </m:r>
                          </m:e>
                          <m:sub>
                            <m:r>
                              <a:rPr lang="en-US" sz="2400" b="0" i="1">
                                <a:solidFill>
                                  <a:schemeClr val="tx1"/>
                                </a:solidFill>
                                <a:effectLst/>
                                <a:latin typeface="Cambria Math" panose="02040503050406030204" pitchFamily="18" charset="0"/>
                                <a:ea typeface="+mn-ea"/>
                                <a:cs typeface="+mn-cs"/>
                              </a:rPr>
                              <m:t>2</m:t>
                            </m:r>
                          </m:sub>
                        </m:sSub>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panose="02040503050406030204" pitchFamily="18" charset="0"/>
                                    <a:ea typeface="+mn-ea"/>
                                    <a:cs typeface="+mn-cs"/>
                                  </a:rPr>
                                  <m:t>1+</m:t>
                                </m:r>
                                <m:r>
                                  <a:rPr lang="en-US" sz="2400" b="0" i="1">
                                    <a:solidFill>
                                      <a:schemeClr val="tx1"/>
                                    </a:solidFill>
                                    <a:effectLst/>
                                    <a:latin typeface="Cambria Math" panose="02040503050406030204" pitchFamily="18" charset="0"/>
                                    <a:ea typeface="+mn-ea"/>
                                    <a:cs typeface="+mn-cs"/>
                                  </a:rPr>
                                  <m:t>𝑟</m:t>
                                </m:r>
                              </m:e>
                            </m:d>
                          </m:e>
                          <m:sup>
                            <m:r>
                              <a:rPr lang="en-US" sz="2400" b="0" i="1">
                                <a:solidFill>
                                  <a:schemeClr val="tx1"/>
                                </a:solidFill>
                                <a:effectLst/>
                                <a:latin typeface="Cambria Math" panose="02040503050406030204" pitchFamily="18" charset="0"/>
                                <a:ea typeface="+mn-ea"/>
                                <a:cs typeface="+mn-cs"/>
                              </a:rPr>
                              <m:t>2</m:t>
                            </m:r>
                          </m:sup>
                        </m:sSup>
                      </m:den>
                    </m:f>
                    <m:r>
                      <a:rPr lang="en-US" sz="2400" b="0" i="1">
                        <a:solidFill>
                          <a:schemeClr val="tx1"/>
                        </a:solidFill>
                        <a:effectLst/>
                        <a:latin typeface="Cambria Math"/>
                        <a:ea typeface="+mn-ea"/>
                        <a:cs typeface="+mn-cs"/>
                      </a:rPr>
                      <m:t>+</m:t>
                    </m:r>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𝐷𝑖𝑣</m:t>
                            </m:r>
                          </m:e>
                          <m:sub>
                            <m:r>
                              <a:rPr lang="en-US" sz="2400" b="0" i="1">
                                <a:solidFill>
                                  <a:schemeClr val="tx1"/>
                                </a:solidFill>
                                <a:effectLst/>
                                <a:latin typeface="Cambria Math" panose="02040503050406030204" pitchFamily="18" charset="0"/>
                                <a:ea typeface="+mn-ea"/>
                                <a:cs typeface="+mn-cs"/>
                              </a:rPr>
                              <m:t>3</m:t>
                            </m:r>
                          </m:sub>
                        </m:sSub>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panose="02040503050406030204" pitchFamily="18" charset="0"/>
                                    <a:ea typeface="+mn-ea"/>
                                    <a:cs typeface="+mn-cs"/>
                                  </a:rPr>
                                  <m:t>1+</m:t>
                                </m:r>
                                <m:r>
                                  <a:rPr lang="en-US" sz="2400" b="0" i="1">
                                    <a:solidFill>
                                      <a:schemeClr val="tx1"/>
                                    </a:solidFill>
                                    <a:effectLst/>
                                    <a:latin typeface="Cambria Math" panose="02040503050406030204" pitchFamily="18" charset="0"/>
                                    <a:ea typeface="+mn-ea"/>
                                    <a:cs typeface="+mn-cs"/>
                                  </a:rPr>
                                  <m:t>𝑟</m:t>
                                </m:r>
                              </m:e>
                            </m:d>
                          </m:e>
                          <m:sup>
                            <m:r>
                              <a:rPr lang="en-US" sz="2400" b="0" i="1">
                                <a:solidFill>
                                  <a:schemeClr val="tx1"/>
                                </a:solidFill>
                                <a:effectLst/>
                                <a:latin typeface="Cambria Math" panose="02040503050406030204" pitchFamily="18" charset="0"/>
                                <a:ea typeface="+mn-ea"/>
                                <a:cs typeface="+mn-cs"/>
                              </a:rPr>
                              <m:t>3</m:t>
                            </m:r>
                          </m:sup>
                        </m:sSup>
                      </m:den>
                    </m:f>
                  </m:oMath>
                </m:oMathPara>
              </a14:m>
              <a:endParaRPr lang="ru-RU" sz="2400">
                <a:latin typeface="+mn-lt"/>
              </a:endParaRPr>
            </a:p>
          </xdr:txBody>
        </xdr:sp>
      </mc:Choice>
      <mc:Fallback>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2426804" y="10024441"/>
              <a:ext cx="6147351" cy="835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panose="02040503050406030204" pitchFamily="18" charset="0"/>
                </a:rPr>
                <a:t>𝑃𝑉(1)=〖𝐷𝑖𝑣〗_1/((1+𝑟) )+</a:t>
              </a:r>
              <a:r>
                <a:rPr lang="en-US" sz="2400" b="0" i="0">
                  <a:solidFill>
                    <a:schemeClr val="tx1"/>
                  </a:solidFill>
                  <a:effectLst/>
                  <a:latin typeface="Cambria Math" panose="02040503050406030204" pitchFamily="18" charset="0"/>
                  <a:ea typeface="+mn-ea"/>
                  <a:cs typeface="+mn-cs"/>
                </a:rPr>
                <a:t>〖𝐷𝑖𝑣〗_2/(1+𝑟)^2 </a:t>
              </a:r>
              <a:r>
                <a:rPr lang="en-US" sz="2400" b="0" i="0">
                  <a:solidFill>
                    <a:schemeClr val="tx1"/>
                  </a:solidFill>
                  <a:effectLst/>
                  <a:latin typeface="Cambria Math"/>
                  <a:ea typeface="+mn-ea"/>
                  <a:cs typeface="+mn-cs"/>
                </a:rPr>
                <a:t>+</a:t>
              </a:r>
              <a:r>
                <a:rPr lang="en-US" sz="2400" b="0" i="0">
                  <a:solidFill>
                    <a:schemeClr val="tx1"/>
                  </a:solidFill>
                  <a:effectLst/>
                  <a:latin typeface="Cambria Math" panose="02040503050406030204" pitchFamily="18" charset="0"/>
                  <a:ea typeface="+mn-ea"/>
                  <a:cs typeface="+mn-cs"/>
                </a:rPr>
                <a:t>〖𝐷𝑖𝑣〗_3/(1+𝑟)^3 </a:t>
              </a:r>
              <a:endParaRPr lang="ru-RU" sz="2400">
                <a:latin typeface="+mn-lt"/>
              </a:endParaRPr>
            </a:p>
          </xdr:txBody>
        </xdr:sp>
      </mc:Fallback>
    </mc:AlternateContent>
    <xdr:clientData/>
  </xdr:oneCellAnchor>
  <xdr:oneCellAnchor>
    <xdr:from>
      <xdr:col>3</xdr:col>
      <xdr:colOff>619540</xdr:colOff>
      <xdr:row>56</xdr:row>
      <xdr:rowOff>217832</xdr:rowOff>
    </xdr:from>
    <xdr:ext cx="5277678" cy="1100686"/>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00000000-0008-0000-0200-000009000000}"/>
                </a:ext>
              </a:extLst>
            </xdr:cNvPr>
            <xdr:cNvSpPr txBox="1"/>
          </xdr:nvSpPr>
          <xdr:spPr>
            <a:xfrm>
              <a:off x="2362615" y="10857257"/>
              <a:ext cx="5277678" cy="1100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3200" b="0" i="1">
                        <a:latin typeface="Cambria Math" panose="02040503050406030204" pitchFamily="18" charset="0"/>
                      </a:rPr>
                      <m:t>𝑃𝑉</m:t>
                    </m:r>
                    <m:d>
                      <m:dPr>
                        <m:ctrlPr>
                          <a:rPr lang="en-US" sz="3200" b="0" i="1">
                            <a:latin typeface="Cambria Math" panose="02040503050406030204" pitchFamily="18" charset="0"/>
                          </a:rPr>
                        </m:ctrlPr>
                      </m:dPr>
                      <m:e>
                        <m:r>
                          <a:rPr lang="en-US" sz="3200" b="0" i="1">
                            <a:latin typeface="Cambria Math"/>
                          </a:rPr>
                          <m:t>2</m:t>
                        </m:r>
                      </m:e>
                    </m:d>
                    <m:r>
                      <a:rPr lang="en-US" sz="3200" b="0" i="1">
                        <a:latin typeface="Cambria Math" panose="02040503050406030204" pitchFamily="18" charset="0"/>
                      </a:rPr>
                      <m:t>=</m:t>
                    </m:r>
                    <m:f>
                      <m:fPr>
                        <m:ctrlPr>
                          <a:rPr lang="en-US" sz="3200" b="0" i="1">
                            <a:latin typeface="Cambria Math" panose="02040503050406030204" pitchFamily="18" charset="0"/>
                          </a:rPr>
                        </m:ctrlPr>
                      </m:fPr>
                      <m:num>
                        <m:sSub>
                          <m:sSubPr>
                            <m:ctrlPr>
                              <a:rPr lang="en-US" sz="3200" b="0" i="1">
                                <a:latin typeface="Cambria Math" panose="02040503050406030204" pitchFamily="18" charset="0"/>
                              </a:rPr>
                            </m:ctrlPr>
                          </m:sSubPr>
                          <m:e>
                            <m:r>
                              <a:rPr lang="en-US" sz="3200" b="0" i="1">
                                <a:latin typeface="Cambria Math" panose="02040503050406030204" pitchFamily="18" charset="0"/>
                              </a:rPr>
                              <m:t>𝐷𝑖𝑣</m:t>
                            </m:r>
                          </m:e>
                          <m:sub>
                            <m:r>
                              <a:rPr lang="en-US" sz="3200" b="0" i="1">
                                <a:latin typeface="Cambria Math"/>
                              </a:rPr>
                              <m:t>4</m:t>
                            </m:r>
                          </m:sub>
                        </m:sSub>
                      </m:num>
                      <m:den>
                        <m:d>
                          <m:dPr>
                            <m:ctrlPr>
                              <a:rPr lang="en-US" sz="3200" b="0" i="1">
                                <a:latin typeface="Cambria Math" panose="02040503050406030204" pitchFamily="18" charset="0"/>
                              </a:rPr>
                            </m:ctrlPr>
                          </m:dPr>
                          <m:e>
                            <m:r>
                              <a:rPr lang="en-US" sz="3200" b="0" i="1">
                                <a:solidFill>
                                  <a:schemeClr val="tx1"/>
                                </a:solidFill>
                                <a:effectLst/>
                                <a:latin typeface="Cambria Math" panose="02040503050406030204" pitchFamily="18" charset="0"/>
                                <a:ea typeface="+mn-ea"/>
                                <a:cs typeface="+mn-cs"/>
                              </a:rPr>
                              <m:t>𝑟</m:t>
                            </m:r>
                            <m:r>
                              <a:rPr lang="en-US" sz="3200" b="0" i="1">
                                <a:solidFill>
                                  <a:schemeClr val="tx1"/>
                                </a:solidFill>
                                <a:effectLst/>
                                <a:latin typeface="Cambria Math" panose="02040503050406030204" pitchFamily="18" charset="0"/>
                                <a:ea typeface="+mn-ea"/>
                                <a:cs typeface="+mn-cs"/>
                              </a:rPr>
                              <m:t>−</m:t>
                            </m:r>
                            <m:r>
                              <a:rPr lang="en-US" sz="3200" b="0" i="1">
                                <a:solidFill>
                                  <a:schemeClr val="tx1"/>
                                </a:solidFill>
                                <a:effectLst/>
                                <a:latin typeface="Cambria Math" panose="02040503050406030204" pitchFamily="18" charset="0"/>
                                <a:ea typeface="+mn-ea"/>
                                <a:cs typeface="+mn-cs"/>
                              </a:rPr>
                              <m:t>𝑔</m:t>
                            </m:r>
                          </m:e>
                        </m:d>
                      </m:den>
                    </m:f>
                  </m:oMath>
                </m:oMathPara>
              </a14:m>
              <a:endParaRPr lang="ru-RU" sz="3200">
                <a:latin typeface="+mn-lt"/>
              </a:endParaRPr>
            </a:p>
          </xdr:txBody>
        </xdr:sp>
      </mc:Choice>
      <mc:Fallback>
        <xdr:sp macro="" textlink="">
          <xdr:nvSpPr>
            <xdr:cNvPr id="8" name="TextBox 7">
              <a:extLst>
                <a:ext uri="{FF2B5EF4-FFF2-40B4-BE49-F238E27FC236}">
                  <a16:creationId xmlns:a16="http://schemas.microsoft.com/office/drawing/2014/main" id="{00000000-0008-0000-0200-000009000000}"/>
                </a:ext>
              </a:extLst>
            </xdr:cNvPr>
            <xdr:cNvSpPr txBox="1"/>
          </xdr:nvSpPr>
          <xdr:spPr>
            <a:xfrm>
              <a:off x="2362615" y="10857257"/>
              <a:ext cx="5277678" cy="1100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3200" b="0" i="0">
                  <a:latin typeface="Cambria Math" panose="02040503050406030204" pitchFamily="18" charset="0"/>
                </a:rPr>
                <a:t>𝑃𝑉(</a:t>
              </a:r>
              <a:r>
                <a:rPr lang="en-US" sz="3200" b="0" i="0">
                  <a:latin typeface="Cambria Math"/>
                </a:rPr>
                <a:t>2</a:t>
              </a:r>
              <a:r>
                <a:rPr lang="en-US" sz="3200" b="0" i="0">
                  <a:latin typeface="Cambria Math" panose="02040503050406030204" pitchFamily="18" charset="0"/>
                </a:rPr>
                <a:t>)=〖𝐷𝑖𝑣〗_</a:t>
              </a:r>
              <a:r>
                <a:rPr lang="en-US" sz="3200" b="0" i="0">
                  <a:latin typeface="Cambria Math"/>
                </a:rPr>
                <a:t>4</a:t>
              </a:r>
              <a:r>
                <a:rPr lang="en-US" sz="3200" b="0" i="0">
                  <a:latin typeface="Cambria Math" panose="02040503050406030204" pitchFamily="18" charset="0"/>
                </a:rPr>
                <a:t>/((</a:t>
              </a:r>
              <a:r>
                <a:rPr lang="en-US" sz="3200" b="0" i="0">
                  <a:solidFill>
                    <a:schemeClr val="tx1"/>
                  </a:solidFill>
                  <a:effectLst/>
                  <a:latin typeface="Cambria Math" panose="02040503050406030204" pitchFamily="18" charset="0"/>
                  <a:ea typeface="+mn-ea"/>
                  <a:cs typeface="+mn-cs"/>
                </a:rPr>
                <a:t>𝑟−𝑔) )</a:t>
              </a:r>
              <a:endParaRPr lang="ru-RU" sz="3200">
                <a:latin typeface="+mn-lt"/>
              </a:endParaRPr>
            </a:p>
          </xdr:txBody>
        </xdr:sp>
      </mc:Fallback>
    </mc:AlternateContent>
    <xdr:clientData/>
  </xdr:oneCellAnchor>
  <xdr:oneCellAnchor>
    <xdr:from>
      <xdr:col>4</xdr:col>
      <xdr:colOff>89452</xdr:colOff>
      <xdr:row>63</xdr:row>
      <xdr:rowOff>35615</xdr:rowOff>
    </xdr:from>
    <xdr:ext cx="9791699" cy="851002"/>
    <mc:AlternateContent xmlns:mc="http://schemas.openxmlformats.org/markup-compatibility/2006">
      <mc:Choice xmlns:a14="http://schemas.microsoft.com/office/drawing/2010/main" Requires="a14">
        <xdr:sp macro="" textlink="">
          <xdr:nvSpPr>
            <xdr:cNvPr id="9" name="TextBox 8">
              <a:extLst>
                <a:ext uri="{FF2B5EF4-FFF2-40B4-BE49-F238E27FC236}">
                  <a16:creationId xmlns:a16="http://schemas.microsoft.com/office/drawing/2014/main" id="{00000000-0008-0000-0200-00000A000000}"/>
                </a:ext>
              </a:extLst>
            </xdr:cNvPr>
            <xdr:cNvSpPr txBox="1"/>
          </xdr:nvSpPr>
          <xdr:spPr>
            <a:xfrm>
              <a:off x="2451652" y="12037115"/>
              <a:ext cx="9791699" cy="851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n-US" sz="2400" b="0" i="1">
                        <a:latin typeface="Cambria Math" panose="02040503050406030204" pitchFamily="18" charset="0"/>
                      </a:rPr>
                      <m:t>𝑃𝑉</m:t>
                    </m:r>
                    <m:d>
                      <m:dPr>
                        <m:ctrlPr>
                          <a:rPr lang="en-US" sz="2400" b="0" i="1">
                            <a:latin typeface="Cambria Math" panose="02040503050406030204" pitchFamily="18" charset="0"/>
                          </a:rPr>
                        </m:ctrlPr>
                      </m:dPr>
                      <m:e>
                        <m:r>
                          <a:rPr lang="en-US" sz="2400" b="0" i="1">
                            <a:latin typeface="Cambria Math"/>
                          </a:rPr>
                          <m:t>𝑡𝑜𝑡𝑎𝑙</m:t>
                        </m:r>
                      </m:e>
                    </m:d>
                    <m:r>
                      <a:rPr lang="en-US" sz="2400" b="0" i="1">
                        <a:latin typeface="Cambria Math" panose="02040503050406030204" pitchFamily="18" charset="0"/>
                      </a:rPr>
                      <m:t>=</m:t>
                    </m:r>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𝐷𝑖𝑣</m:t>
                            </m:r>
                          </m:e>
                          <m:sub>
                            <m:r>
                              <a:rPr lang="en-US" sz="2400" b="0" i="1">
                                <a:solidFill>
                                  <a:schemeClr val="tx1"/>
                                </a:solidFill>
                                <a:effectLst/>
                                <a:latin typeface="Cambria Math" panose="02040503050406030204" pitchFamily="18" charset="0"/>
                                <a:ea typeface="+mn-ea"/>
                                <a:cs typeface="+mn-cs"/>
                              </a:rPr>
                              <m:t>1</m:t>
                            </m:r>
                          </m:sub>
                        </m:sSub>
                      </m:num>
                      <m:den>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panose="02040503050406030204" pitchFamily="18" charset="0"/>
                                <a:ea typeface="+mn-ea"/>
                                <a:cs typeface="+mn-cs"/>
                              </a:rPr>
                              <m:t>1+</m:t>
                            </m:r>
                            <m:r>
                              <a:rPr lang="en-US" sz="2400" b="0" i="1">
                                <a:solidFill>
                                  <a:schemeClr val="tx1"/>
                                </a:solidFill>
                                <a:effectLst/>
                                <a:latin typeface="Cambria Math" panose="02040503050406030204" pitchFamily="18" charset="0"/>
                                <a:ea typeface="+mn-ea"/>
                                <a:cs typeface="+mn-cs"/>
                              </a:rPr>
                              <m:t>𝑟</m:t>
                            </m:r>
                          </m:e>
                        </m:d>
                      </m:den>
                    </m:f>
                    <m:r>
                      <a:rPr lang="en-US" sz="2400" b="0" i="1">
                        <a:solidFill>
                          <a:schemeClr val="tx1"/>
                        </a:solidFill>
                        <a:effectLst/>
                        <a:latin typeface="Cambria Math" panose="02040503050406030204" pitchFamily="18" charset="0"/>
                        <a:ea typeface="+mn-ea"/>
                        <a:cs typeface="+mn-cs"/>
                      </a:rPr>
                      <m:t>+</m:t>
                    </m:r>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𝐷𝑖𝑣</m:t>
                            </m:r>
                          </m:e>
                          <m:sub>
                            <m:r>
                              <a:rPr lang="en-US" sz="2400" b="0" i="1">
                                <a:solidFill>
                                  <a:schemeClr val="tx1"/>
                                </a:solidFill>
                                <a:effectLst/>
                                <a:latin typeface="Cambria Math" panose="02040503050406030204" pitchFamily="18" charset="0"/>
                                <a:ea typeface="+mn-ea"/>
                                <a:cs typeface="+mn-cs"/>
                              </a:rPr>
                              <m:t>2</m:t>
                            </m:r>
                          </m:sub>
                        </m:sSub>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panose="02040503050406030204" pitchFamily="18" charset="0"/>
                                    <a:ea typeface="+mn-ea"/>
                                    <a:cs typeface="+mn-cs"/>
                                  </a:rPr>
                                  <m:t>1+</m:t>
                                </m:r>
                                <m:r>
                                  <a:rPr lang="en-US" sz="2400" b="0" i="1">
                                    <a:solidFill>
                                      <a:schemeClr val="tx1"/>
                                    </a:solidFill>
                                    <a:effectLst/>
                                    <a:latin typeface="Cambria Math" panose="02040503050406030204" pitchFamily="18" charset="0"/>
                                    <a:ea typeface="+mn-ea"/>
                                    <a:cs typeface="+mn-cs"/>
                                  </a:rPr>
                                  <m:t>𝑟</m:t>
                                </m:r>
                              </m:e>
                            </m:d>
                          </m:e>
                          <m:sup>
                            <m:r>
                              <a:rPr lang="en-US" sz="2400" b="0" i="1">
                                <a:solidFill>
                                  <a:schemeClr val="tx1"/>
                                </a:solidFill>
                                <a:effectLst/>
                                <a:latin typeface="Cambria Math" panose="02040503050406030204" pitchFamily="18" charset="0"/>
                                <a:ea typeface="+mn-ea"/>
                                <a:cs typeface="+mn-cs"/>
                              </a:rPr>
                              <m:t>2</m:t>
                            </m:r>
                          </m:sup>
                        </m:sSup>
                      </m:den>
                    </m:f>
                    <m:r>
                      <a:rPr lang="en-US" sz="2400" b="0" i="1">
                        <a:solidFill>
                          <a:schemeClr val="tx1"/>
                        </a:solidFill>
                        <a:effectLst/>
                        <a:latin typeface="Cambria Math" panose="02040503050406030204" pitchFamily="18" charset="0"/>
                        <a:ea typeface="+mn-ea"/>
                        <a:cs typeface="+mn-cs"/>
                      </a:rPr>
                      <m:t>+</m:t>
                    </m:r>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𝐷𝑖𝑣</m:t>
                            </m:r>
                          </m:e>
                          <m:sub>
                            <m:r>
                              <a:rPr lang="en-US" sz="2400" b="0" i="1">
                                <a:solidFill>
                                  <a:schemeClr val="tx1"/>
                                </a:solidFill>
                                <a:effectLst/>
                                <a:latin typeface="Cambria Math" panose="02040503050406030204" pitchFamily="18" charset="0"/>
                                <a:ea typeface="+mn-ea"/>
                                <a:cs typeface="+mn-cs"/>
                              </a:rPr>
                              <m:t>3</m:t>
                            </m:r>
                          </m:sub>
                        </m:sSub>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panose="02040503050406030204" pitchFamily="18" charset="0"/>
                                    <a:ea typeface="+mn-ea"/>
                                    <a:cs typeface="+mn-cs"/>
                                  </a:rPr>
                                  <m:t>1+</m:t>
                                </m:r>
                                <m:r>
                                  <a:rPr lang="en-US" sz="2400" b="0" i="1">
                                    <a:solidFill>
                                      <a:schemeClr val="tx1"/>
                                    </a:solidFill>
                                    <a:effectLst/>
                                    <a:latin typeface="Cambria Math" panose="02040503050406030204" pitchFamily="18" charset="0"/>
                                    <a:ea typeface="+mn-ea"/>
                                    <a:cs typeface="+mn-cs"/>
                                  </a:rPr>
                                  <m:t>𝑟</m:t>
                                </m:r>
                              </m:e>
                            </m:d>
                          </m:e>
                          <m:sup>
                            <m:r>
                              <a:rPr lang="en-US" sz="2400" b="0" i="1">
                                <a:solidFill>
                                  <a:schemeClr val="tx1"/>
                                </a:solidFill>
                                <a:effectLst/>
                                <a:latin typeface="Cambria Math" panose="02040503050406030204" pitchFamily="18" charset="0"/>
                                <a:ea typeface="+mn-ea"/>
                                <a:cs typeface="+mn-cs"/>
                              </a:rPr>
                              <m:t>3</m:t>
                            </m:r>
                          </m:sup>
                        </m:sSup>
                      </m:den>
                    </m:f>
                    <m:r>
                      <a:rPr lang="en-US" sz="2400" b="0" i="1">
                        <a:solidFill>
                          <a:schemeClr val="tx1"/>
                        </a:solidFill>
                        <a:effectLst/>
                        <a:latin typeface="Cambria Math"/>
                        <a:ea typeface="+mn-ea"/>
                        <a:cs typeface="+mn-cs"/>
                      </a:rPr>
                      <m:t>+</m:t>
                    </m:r>
                    <m:f>
                      <m:fPr>
                        <m:ctrlPr>
                          <a:rPr lang="en-US" sz="2400" b="0" i="1">
                            <a:latin typeface="Cambria Math" panose="02040503050406030204" pitchFamily="18" charset="0"/>
                          </a:rPr>
                        </m:ctrlPr>
                      </m:fPr>
                      <m:num>
                        <m:sSub>
                          <m:sSubPr>
                            <m:ctrlPr>
                              <a:rPr lang="en-US" sz="2400" b="0" i="1">
                                <a:latin typeface="Cambria Math" panose="02040503050406030204" pitchFamily="18" charset="0"/>
                              </a:rPr>
                            </m:ctrlPr>
                          </m:sSubPr>
                          <m:e>
                            <m:r>
                              <a:rPr lang="en-US" sz="2400" b="0" i="1">
                                <a:latin typeface="Cambria Math" panose="02040503050406030204" pitchFamily="18" charset="0"/>
                              </a:rPr>
                              <m:t>𝐷𝑖𝑣</m:t>
                            </m:r>
                          </m:e>
                          <m:sub>
                            <m:r>
                              <a:rPr lang="en-US" sz="2400" b="0" i="1">
                                <a:latin typeface="Cambria Math"/>
                              </a:rPr>
                              <m:t>4</m:t>
                            </m:r>
                          </m:sub>
                        </m:sSub>
                      </m:num>
                      <m:den>
                        <m:d>
                          <m:dPr>
                            <m:ctrlPr>
                              <a:rPr lang="en-US" sz="2400" b="0" i="1">
                                <a:latin typeface="Cambria Math" panose="02040503050406030204" pitchFamily="18" charset="0"/>
                              </a:rPr>
                            </m:ctrlPr>
                          </m:dPr>
                          <m:e>
                            <m:r>
                              <a:rPr lang="en-US" sz="2400" b="0" i="1">
                                <a:solidFill>
                                  <a:schemeClr val="tx1"/>
                                </a:solidFill>
                                <a:effectLst/>
                                <a:latin typeface="Cambria Math" panose="02040503050406030204" pitchFamily="18" charset="0"/>
                                <a:ea typeface="+mn-ea"/>
                                <a:cs typeface="+mn-cs"/>
                              </a:rPr>
                              <m:t>𝑟</m:t>
                            </m:r>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𝑔</m:t>
                            </m:r>
                          </m:e>
                        </m:d>
                      </m:den>
                    </m:f>
                    <m:r>
                      <a:rPr lang="en-US" sz="2400" b="0" i="1">
                        <a:latin typeface="Cambria Math"/>
                      </a:rPr>
                      <m:t>∗</m:t>
                    </m:r>
                    <m:f>
                      <m:fPr>
                        <m:ctrlPr>
                          <a:rPr lang="en-US" sz="2400" b="0" i="1">
                            <a:solidFill>
                              <a:schemeClr val="tx1"/>
                            </a:solidFill>
                            <a:effectLst/>
                            <a:latin typeface="Cambria Math" panose="02040503050406030204" pitchFamily="18" charset="0"/>
                            <a:ea typeface="+mn-ea"/>
                            <a:cs typeface="+mn-cs"/>
                          </a:rPr>
                        </m:ctrlPr>
                      </m:fPr>
                      <m:num>
                        <m:r>
                          <a:rPr lang="en-US" sz="2400" b="0" i="1">
                            <a:solidFill>
                              <a:schemeClr val="tx1"/>
                            </a:solidFill>
                            <a:effectLst/>
                            <a:latin typeface="Cambria Math"/>
                            <a:ea typeface="+mn-ea"/>
                            <a:cs typeface="+mn-cs"/>
                          </a:rPr>
                          <m:t>1</m:t>
                        </m:r>
                      </m:num>
                      <m:den>
                        <m:sSup>
                          <m:sSupPr>
                            <m:ctrlPr>
                              <a:rPr lang="en-US" sz="2400" b="0" i="1">
                                <a:solidFill>
                                  <a:schemeClr val="tx1"/>
                                </a:solidFill>
                                <a:effectLst/>
                                <a:latin typeface="Cambria Math" panose="02040503050406030204" pitchFamily="18" charset="0"/>
                                <a:ea typeface="+mn-ea"/>
                                <a:cs typeface="+mn-cs"/>
                              </a:rPr>
                            </m:ctrlPr>
                          </m:sSupPr>
                          <m:e>
                            <m:d>
                              <m:dPr>
                                <m:ctrlPr>
                                  <a:rPr lang="en-US" sz="2400" b="0" i="1">
                                    <a:solidFill>
                                      <a:schemeClr val="tx1"/>
                                    </a:solidFill>
                                    <a:effectLst/>
                                    <a:latin typeface="Cambria Math" panose="02040503050406030204" pitchFamily="18" charset="0"/>
                                    <a:ea typeface="+mn-ea"/>
                                    <a:cs typeface="+mn-cs"/>
                                  </a:rPr>
                                </m:ctrlPr>
                              </m:dPr>
                              <m:e>
                                <m:r>
                                  <a:rPr lang="en-US" sz="2400" b="0" i="1">
                                    <a:solidFill>
                                      <a:schemeClr val="tx1"/>
                                    </a:solidFill>
                                    <a:effectLst/>
                                    <a:latin typeface="Cambria Math" panose="02040503050406030204" pitchFamily="18" charset="0"/>
                                    <a:ea typeface="+mn-ea"/>
                                    <a:cs typeface="+mn-cs"/>
                                  </a:rPr>
                                  <m:t>1+</m:t>
                                </m:r>
                                <m:r>
                                  <a:rPr lang="en-US" sz="2400" b="0" i="1">
                                    <a:solidFill>
                                      <a:schemeClr val="tx1"/>
                                    </a:solidFill>
                                    <a:effectLst/>
                                    <a:latin typeface="Cambria Math" panose="02040503050406030204" pitchFamily="18" charset="0"/>
                                    <a:ea typeface="+mn-ea"/>
                                    <a:cs typeface="+mn-cs"/>
                                  </a:rPr>
                                  <m:t>𝑟</m:t>
                                </m:r>
                              </m:e>
                            </m:d>
                          </m:e>
                          <m:sup>
                            <m:r>
                              <a:rPr lang="en-US" sz="2400" b="0" i="1">
                                <a:solidFill>
                                  <a:schemeClr val="tx1"/>
                                </a:solidFill>
                                <a:effectLst/>
                                <a:latin typeface="Cambria Math" panose="02040503050406030204" pitchFamily="18" charset="0"/>
                                <a:ea typeface="+mn-ea"/>
                                <a:cs typeface="+mn-cs"/>
                              </a:rPr>
                              <m:t>3</m:t>
                            </m:r>
                          </m:sup>
                        </m:sSup>
                      </m:den>
                    </m:f>
                  </m:oMath>
                </m:oMathPara>
              </a14:m>
              <a:endParaRPr lang="ru-RU" sz="2400">
                <a:latin typeface="+mn-lt"/>
              </a:endParaRPr>
            </a:p>
          </xdr:txBody>
        </xdr:sp>
      </mc:Choice>
      <mc:Fallback>
        <xdr:sp macro="" textlink="">
          <xdr:nvSpPr>
            <xdr:cNvPr id="9" name="TextBox 8">
              <a:extLst>
                <a:ext uri="{FF2B5EF4-FFF2-40B4-BE49-F238E27FC236}">
                  <a16:creationId xmlns:a16="http://schemas.microsoft.com/office/drawing/2014/main" id="{00000000-0008-0000-0200-00000A000000}"/>
                </a:ext>
              </a:extLst>
            </xdr:cNvPr>
            <xdr:cNvSpPr txBox="1"/>
          </xdr:nvSpPr>
          <xdr:spPr>
            <a:xfrm>
              <a:off x="2451652" y="12037115"/>
              <a:ext cx="9791699" cy="851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2400" b="0" i="0">
                  <a:latin typeface="Cambria Math" panose="02040503050406030204" pitchFamily="18" charset="0"/>
                </a:rPr>
                <a:t>𝑃𝑉(</a:t>
              </a:r>
              <a:r>
                <a:rPr lang="en-US" sz="2400" b="0" i="0">
                  <a:latin typeface="Cambria Math"/>
                </a:rPr>
                <a:t>𝑡𝑜𝑡𝑎𝑙</a:t>
              </a:r>
              <a:r>
                <a:rPr lang="en-US" sz="2400" b="0" i="0">
                  <a:latin typeface="Cambria Math" panose="02040503050406030204" pitchFamily="18" charset="0"/>
                </a:rPr>
                <a:t>)=</a:t>
              </a:r>
              <a:r>
                <a:rPr lang="en-US" sz="2400" b="0" i="0">
                  <a:solidFill>
                    <a:schemeClr val="tx1"/>
                  </a:solidFill>
                  <a:effectLst/>
                  <a:latin typeface="Cambria Math" panose="02040503050406030204" pitchFamily="18" charset="0"/>
                  <a:ea typeface="+mn-ea"/>
                  <a:cs typeface="+mn-cs"/>
                </a:rPr>
                <a:t>〖𝐷𝑖𝑣〗_1/((1+𝑟) )+〖𝐷𝑖𝑣〗_2/(1+𝑟)^2 +〖𝐷𝑖𝑣〗_3/(1+𝑟)^3 </a:t>
              </a:r>
              <a:r>
                <a:rPr lang="en-US" sz="2400" b="0" i="0">
                  <a:solidFill>
                    <a:schemeClr val="tx1"/>
                  </a:solidFill>
                  <a:effectLst/>
                  <a:latin typeface="Cambria Math"/>
                  <a:ea typeface="+mn-ea"/>
                  <a:cs typeface="+mn-cs"/>
                </a:rPr>
                <a:t>+</a:t>
              </a:r>
              <a:r>
                <a:rPr lang="en-US" sz="2400" b="0" i="0">
                  <a:latin typeface="Cambria Math" panose="02040503050406030204" pitchFamily="18" charset="0"/>
                </a:rPr>
                <a:t>〖𝐷𝑖𝑣〗_</a:t>
              </a:r>
              <a:r>
                <a:rPr lang="en-US" sz="2400" b="0" i="0">
                  <a:latin typeface="Cambria Math"/>
                </a:rPr>
                <a:t>4</a:t>
              </a:r>
              <a:r>
                <a:rPr lang="en-US" sz="2400" b="0" i="0">
                  <a:latin typeface="Cambria Math" panose="02040503050406030204" pitchFamily="18" charset="0"/>
                </a:rPr>
                <a:t>/((</a:t>
              </a:r>
              <a:r>
                <a:rPr lang="en-US" sz="2400" b="0" i="0">
                  <a:solidFill>
                    <a:schemeClr val="tx1"/>
                  </a:solidFill>
                  <a:effectLst/>
                  <a:latin typeface="Cambria Math" panose="02040503050406030204" pitchFamily="18" charset="0"/>
                  <a:ea typeface="+mn-ea"/>
                  <a:cs typeface="+mn-cs"/>
                </a:rPr>
                <a:t>𝑟−𝑔) )</a:t>
              </a:r>
              <a:r>
                <a:rPr lang="en-US" sz="2400" b="0" i="0">
                  <a:latin typeface="Cambria Math"/>
                </a:rPr>
                <a:t>∗</a:t>
              </a:r>
              <a:r>
                <a:rPr lang="en-US" sz="2400" b="0" i="0">
                  <a:solidFill>
                    <a:schemeClr val="tx1"/>
                  </a:solidFill>
                  <a:effectLst/>
                  <a:latin typeface="Cambria Math"/>
                  <a:ea typeface="+mn-ea"/>
                  <a:cs typeface="+mn-cs"/>
                </a:rPr>
                <a:t>1</a:t>
              </a:r>
              <a:r>
                <a:rPr lang="en-US" sz="2400" b="0" i="0">
                  <a:solidFill>
                    <a:schemeClr val="tx1"/>
                  </a:solidFill>
                  <a:effectLst/>
                  <a:latin typeface="Cambria Math" panose="02040503050406030204" pitchFamily="18" charset="0"/>
                  <a:ea typeface="+mn-ea"/>
                  <a:cs typeface="+mn-cs"/>
                </a:rPr>
                <a:t>/(1+𝑟)^3 </a:t>
              </a:r>
              <a:endParaRPr lang="ru-RU" sz="2400">
                <a:latin typeface="+mn-lt"/>
              </a:endParaRPr>
            </a:p>
          </xdr:txBody>
        </xdr:sp>
      </mc:Fallback>
    </mc:AlternateContent>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03"/>
  <sheetViews>
    <sheetView zoomScale="55" zoomScaleNormal="55" workbookViewId="0">
      <selection activeCell="F27" sqref="F27"/>
    </sheetView>
  </sheetViews>
  <sheetFormatPr defaultColWidth="11.5703125" defaultRowHeight="18.75" x14ac:dyDescent="0.3"/>
  <cols>
    <col min="1" max="1" width="10.85546875" style="83" customWidth="1"/>
    <col min="2" max="2" width="41.7109375" style="1" customWidth="1"/>
    <col min="3" max="3" width="31" style="1" customWidth="1"/>
    <col min="4" max="4" width="27.28515625" style="1" customWidth="1"/>
    <col min="5" max="5" width="20.5703125" style="1" customWidth="1"/>
    <col min="6" max="6" width="33.28515625" style="1" customWidth="1"/>
    <col min="7" max="7" width="36.5703125" style="1" customWidth="1"/>
    <col min="8" max="8" width="27" style="1" customWidth="1"/>
    <col min="9" max="9" width="26" style="1" customWidth="1"/>
    <col min="10" max="10" width="19.42578125" style="1" customWidth="1"/>
    <col min="11" max="11" width="22.140625" style="1" customWidth="1"/>
    <col min="12" max="12" width="19.140625" style="1" customWidth="1"/>
    <col min="13" max="13" width="17.140625" style="1" customWidth="1"/>
    <col min="14" max="15" width="19.7109375" style="1" bestFit="1" customWidth="1"/>
    <col min="16" max="16" width="17" style="1" customWidth="1"/>
    <col min="17" max="17" width="22.28515625" style="1" customWidth="1"/>
    <col min="18" max="18" width="23.28515625" style="1" customWidth="1"/>
    <col min="19" max="19" width="16.5703125" style="1" customWidth="1"/>
    <col min="20" max="20" width="18.140625" style="1" bestFit="1" customWidth="1"/>
    <col min="21" max="21" width="18.7109375" style="1" customWidth="1"/>
    <col min="22" max="22" width="19.140625" style="1" customWidth="1"/>
    <col min="23" max="23" width="18.140625" style="1" bestFit="1" customWidth="1"/>
    <col min="24" max="24" width="18.140625" style="1" customWidth="1"/>
    <col min="25" max="34" width="18.140625" style="1" bestFit="1" customWidth="1"/>
    <col min="35" max="35" width="17.85546875" style="1" customWidth="1"/>
    <col min="36" max="41" width="11.5703125" style="1"/>
    <col min="42" max="42" width="22.28515625" style="1" customWidth="1"/>
    <col min="43" max="16384" width="11.5703125" style="1"/>
  </cols>
  <sheetData>
    <row r="1" spans="1:13" x14ac:dyDescent="0.3">
      <c r="B1" s="129"/>
    </row>
    <row r="2" spans="1:13" x14ac:dyDescent="0.3">
      <c r="A2" s="83" t="s">
        <v>264</v>
      </c>
      <c r="B2" s="66" t="s">
        <v>1257</v>
      </c>
    </row>
    <row r="3" spans="1:13" x14ac:dyDescent="0.3">
      <c r="C3" s="124"/>
      <c r="D3" s="124"/>
      <c r="G3" s="124"/>
      <c r="H3" s="124"/>
    </row>
    <row r="4" spans="1:13" x14ac:dyDescent="0.3">
      <c r="B4" s="3" t="s">
        <v>4</v>
      </c>
      <c r="C4" s="21"/>
      <c r="F4" s="45"/>
    </row>
    <row r="5" spans="1:13" x14ac:dyDescent="0.3">
      <c r="B5" s="490" t="s">
        <v>1256</v>
      </c>
      <c r="C5" s="490"/>
      <c r="D5" s="489">
        <v>0.08</v>
      </c>
      <c r="G5" s="22"/>
      <c r="H5" s="22"/>
    </row>
    <row r="6" spans="1:13" x14ac:dyDescent="0.3">
      <c r="B6" s="488" t="s">
        <v>1255</v>
      </c>
      <c r="C6" s="488"/>
      <c r="D6" s="487">
        <v>0.08</v>
      </c>
      <c r="G6" s="22"/>
      <c r="H6" s="22"/>
    </row>
    <row r="7" spans="1:13" x14ac:dyDescent="0.3">
      <c r="B7" s="486" t="s">
        <v>1254</v>
      </c>
      <c r="C7" s="486"/>
      <c r="D7" s="485">
        <v>0.08</v>
      </c>
      <c r="G7" s="22"/>
      <c r="H7" s="22"/>
    </row>
    <row r="8" spans="1:13" x14ac:dyDescent="0.3">
      <c r="B8" s="484" t="s">
        <v>1253</v>
      </c>
      <c r="C8" s="484"/>
      <c r="D8" s="483">
        <v>0.08</v>
      </c>
      <c r="F8" s="128"/>
      <c r="G8" s="126"/>
      <c r="H8" s="126"/>
    </row>
    <row r="9" spans="1:13" x14ac:dyDescent="0.3">
      <c r="G9" s="22"/>
      <c r="H9" s="22"/>
    </row>
    <row r="10" spans="1:13" x14ac:dyDescent="0.3">
      <c r="B10" s="1" t="s">
        <v>1252</v>
      </c>
      <c r="F10" s="127"/>
      <c r="G10" s="126"/>
      <c r="H10" s="126"/>
    </row>
    <row r="11" spans="1:13" x14ac:dyDescent="0.3">
      <c r="D11" s="8"/>
      <c r="F11" s="44"/>
      <c r="G11" s="22"/>
      <c r="H11" s="22"/>
    </row>
    <row r="12" spans="1:13" x14ac:dyDescent="0.3">
      <c r="B12" s="26" t="s">
        <v>15</v>
      </c>
      <c r="F12" s="8"/>
      <c r="G12" s="8"/>
      <c r="H12" s="8"/>
      <c r="I12" s="8"/>
      <c r="J12" s="8"/>
      <c r="K12" s="8"/>
      <c r="L12" s="8"/>
      <c r="M12" s="8"/>
    </row>
    <row r="13" spans="1:13" x14ac:dyDescent="0.3">
      <c r="E13" s="6"/>
      <c r="F13" s="82" t="s">
        <v>1251</v>
      </c>
      <c r="G13" s="82" t="s">
        <v>1250</v>
      </c>
      <c r="H13" s="82" t="s">
        <v>1249</v>
      </c>
      <c r="I13" s="91"/>
      <c r="J13" s="91"/>
      <c r="K13" s="91"/>
      <c r="L13" s="16"/>
    </row>
    <row r="14" spans="1:13" x14ac:dyDescent="0.3">
      <c r="B14" s="1" t="s">
        <v>1248</v>
      </c>
      <c r="C14" s="595">
        <f>H14</f>
        <v>8.1600000000000117E-2</v>
      </c>
      <c r="D14" s="22"/>
      <c r="E14" s="65">
        <v>1</v>
      </c>
      <c r="F14" s="590">
        <f>D5</f>
        <v>0.08</v>
      </c>
      <c r="G14" s="594">
        <v>2</v>
      </c>
      <c r="H14" s="589">
        <f>(1+F14/G14)^G14-1</f>
        <v>8.1600000000000117E-2</v>
      </c>
      <c r="I14" s="64"/>
      <c r="J14" s="64"/>
      <c r="K14" s="64"/>
      <c r="L14" s="64"/>
      <c r="M14" s="122"/>
    </row>
    <row r="15" spans="1:13" x14ac:dyDescent="0.3">
      <c r="B15" s="1" t="s">
        <v>1247</v>
      </c>
      <c r="C15" s="593">
        <f>H15</f>
        <v>8.2432159999999977E-2</v>
      </c>
      <c r="D15" s="22"/>
      <c r="E15" s="65">
        <v>2</v>
      </c>
      <c r="F15" s="590">
        <f>D6</f>
        <v>0.08</v>
      </c>
      <c r="G15" s="94">
        <v>4</v>
      </c>
      <c r="H15" s="589">
        <f>(1+F15/G15)^G15-1</f>
        <v>8.2432159999999977E-2</v>
      </c>
      <c r="J15" s="16"/>
      <c r="K15" s="16"/>
      <c r="L15" s="16"/>
    </row>
    <row r="16" spans="1:13" x14ac:dyDescent="0.3">
      <c r="B16" s="1" t="s">
        <v>1246</v>
      </c>
      <c r="C16" s="592">
        <f>H16</f>
        <v>8.2999506807510004E-2</v>
      </c>
      <c r="E16" s="65">
        <v>3</v>
      </c>
      <c r="F16" s="590">
        <f>D7</f>
        <v>0.08</v>
      </c>
      <c r="G16" s="94">
        <v>12</v>
      </c>
      <c r="H16" s="589">
        <f>(1+F16/G16)^G16-1</f>
        <v>8.2999506807510004E-2</v>
      </c>
    </row>
    <row r="17" spans="1:13" x14ac:dyDescent="0.3">
      <c r="B17" s="1" t="s">
        <v>1245</v>
      </c>
      <c r="C17" s="591">
        <f>H17</f>
        <v>8.3277571792814031E-2</v>
      </c>
      <c r="E17" s="65">
        <v>4</v>
      </c>
      <c r="F17" s="590">
        <f>D8</f>
        <v>0.08</v>
      </c>
      <c r="G17" s="94">
        <v>365</v>
      </c>
      <c r="H17" s="589">
        <f>(1+F17/G17)^G17-1</f>
        <v>8.3277571792814031E-2</v>
      </c>
      <c r="I17" s="8"/>
      <c r="J17" s="8"/>
      <c r="K17" s="8"/>
      <c r="L17" s="8"/>
      <c r="M17" s="8"/>
    </row>
    <row r="23" spans="1:13" x14ac:dyDescent="0.3">
      <c r="C23" s="35"/>
    </row>
    <row r="24" spans="1:13" x14ac:dyDescent="0.3">
      <c r="A24" s="83" t="s">
        <v>260</v>
      </c>
      <c r="B24" s="2" t="s">
        <v>1244</v>
      </c>
      <c r="C24" s="120"/>
      <c r="D24" s="23"/>
    </row>
    <row r="25" spans="1:13" x14ac:dyDescent="0.3">
      <c r="C25" s="120"/>
      <c r="D25" s="23"/>
      <c r="I25" s="8"/>
      <c r="J25" s="8"/>
      <c r="K25" s="8"/>
      <c r="L25" s="8"/>
      <c r="M25" s="8"/>
    </row>
    <row r="26" spans="1:13" x14ac:dyDescent="0.3">
      <c r="B26" s="3" t="s">
        <v>4</v>
      </c>
      <c r="C26" s="21"/>
      <c r="F26" s="8"/>
      <c r="G26" s="8"/>
      <c r="H26" s="8"/>
      <c r="I26" s="8"/>
      <c r="J26" s="8"/>
      <c r="K26" s="8"/>
      <c r="L26" s="8"/>
      <c r="M26" s="8"/>
    </row>
    <row r="27" spans="1:13" x14ac:dyDescent="0.3">
      <c r="B27" s="27" t="s">
        <v>1243</v>
      </c>
      <c r="C27" s="490"/>
      <c r="D27" s="489">
        <v>0.1</v>
      </c>
      <c r="J27" s="16"/>
      <c r="K27" s="16"/>
      <c r="L27" s="16"/>
    </row>
    <row r="28" spans="1:13" x14ac:dyDescent="0.3">
      <c r="B28" s="488"/>
      <c r="C28" s="488"/>
      <c r="D28" s="487"/>
      <c r="F28" s="8"/>
      <c r="G28" s="64"/>
      <c r="H28" s="64"/>
      <c r="I28" s="64"/>
      <c r="J28" s="64"/>
      <c r="K28" s="64"/>
      <c r="L28" s="64"/>
      <c r="M28" s="122"/>
    </row>
    <row r="29" spans="1:13" x14ac:dyDescent="0.3">
      <c r="B29" s="1" t="s">
        <v>1242</v>
      </c>
      <c r="C29" s="486"/>
      <c r="D29" s="485"/>
      <c r="J29" s="16"/>
      <c r="K29" s="16"/>
      <c r="L29" s="16"/>
    </row>
    <row r="30" spans="1:13" x14ac:dyDescent="0.3">
      <c r="B30" s="484"/>
      <c r="C30" s="484"/>
      <c r="D30" s="483"/>
    </row>
    <row r="31" spans="1:13" x14ac:dyDescent="0.3">
      <c r="B31" s="26" t="s">
        <v>15</v>
      </c>
    </row>
    <row r="33" spans="1:42" x14ac:dyDescent="0.3">
      <c r="B33" s="1" t="s">
        <v>963</v>
      </c>
      <c r="C33" s="588">
        <f>EXP(D27)-1</f>
        <v>0.10517091807564771</v>
      </c>
      <c r="D33" s="24"/>
    </row>
    <row r="34" spans="1:42" x14ac:dyDescent="0.3">
      <c r="D34" s="24"/>
    </row>
    <row r="36" spans="1:42" x14ac:dyDescent="0.3">
      <c r="A36" s="83" t="s">
        <v>246</v>
      </c>
      <c r="B36" s="574" t="s">
        <v>1241</v>
      </c>
      <c r="C36" s="22"/>
      <c r="D36" s="8"/>
    </row>
    <row r="37" spans="1:42" x14ac:dyDescent="0.3">
      <c r="B37" s="1" t="s">
        <v>1240</v>
      </c>
    </row>
    <row r="38" spans="1:42" x14ac:dyDescent="0.3">
      <c r="B38" s="1" t="s">
        <v>1239</v>
      </c>
    </row>
    <row r="39" spans="1:42" x14ac:dyDescent="0.3">
      <c r="B39" s="26"/>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row>
    <row r="40" spans="1:42" x14ac:dyDescent="0.3">
      <c r="B40" s="3" t="s">
        <v>4</v>
      </c>
      <c r="C40" s="21"/>
      <c r="D40" s="22"/>
      <c r="F40" s="91"/>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row>
    <row r="41" spans="1:42" x14ac:dyDescent="0.3">
      <c r="B41" s="27" t="s">
        <v>927</v>
      </c>
      <c r="C41" s="446">
        <v>230</v>
      </c>
      <c r="D41" s="22"/>
    </row>
    <row r="42" spans="1:42" x14ac:dyDescent="0.3">
      <c r="B42" s="27" t="s">
        <v>5</v>
      </c>
      <c r="C42" s="27">
        <v>18</v>
      </c>
      <c r="D42" s="1" t="s">
        <v>6</v>
      </c>
      <c r="F42" s="9"/>
    </row>
    <row r="43" spans="1:42" x14ac:dyDescent="0.3">
      <c r="B43" s="1" t="s">
        <v>1238</v>
      </c>
      <c r="C43" s="1">
        <v>1</v>
      </c>
      <c r="D43" s="1" t="s">
        <v>1237</v>
      </c>
    </row>
    <row r="44" spans="1:42" x14ac:dyDescent="0.3">
      <c r="B44" s="1" t="s">
        <v>1236</v>
      </c>
      <c r="C44" s="1" t="s">
        <v>1078</v>
      </c>
      <c r="D44" s="22"/>
    </row>
    <row r="45" spans="1:42" x14ac:dyDescent="0.3">
      <c r="B45" s="1" t="s">
        <v>83</v>
      </c>
      <c r="C45" s="9">
        <v>0.13</v>
      </c>
    </row>
    <row r="46" spans="1:42" x14ac:dyDescent="0.3">
      <c r="D46" s="23"/>
    </row>
    <row r="47" spans="1:42" x14ac:dyDescent="0.3">
      <c r="D47" s="23"/>
    </row>
    <row r="48" spans="1:42" x14ac:dyDescent="0.3">
      <c r="B48" s="26" t="s">
        <v>15</v>
      </c>
      <c r="N48" s="8"/>
      <c r="O48" s="8"/>
      <c r="P48" s="8"/>
      <c r="Q48" s="8"/>
      <c r="R48" s="8"/>
      <c r="S48" s="8"/>
      <c r="T48" s="8"/>
      <c r="U48" s="8"/>
    </row>
    <row r="49" spans="2:22" x14ac:dyDescent="0.3">
      <c r="S49" s="8"/>
      <c r="T49" s="16"/>
    </row>
    <row r="50" spans="2:22" x14ac:dyDescent="0.3">
      <c r="B50" s="1" t="s">
        <v>1229</v>
      </c>
      <c r="S50" s="15"/>
      <c r="T50" s="64"/>
      <c r="U50" s="122"/>
    </row>
    <row r="51" spans="2:22" x14ac:dyDescent="0.3">
      <c r="E51" s="390">
        <v>0</v>
      </c>
      <c r="F51" s="390">
        <v>1</v>
      </c>
      <c r="G51" s="390">
        <v>2</v>
      </c>
      <c r="H51" s="390">
        <v>3</v>
      </c>
      <c r="I51" s="390">
        <v>4</v>
      </c>
      <c r="J51" s="390">
        <v>5</v>
      </c>
      <c r="K51" s="390">
        <v>6</v>
      </c>
      <c r="L51" s="390">
        <v>7</v>
      </c>
      <c r="M51" s="390">
        <v>8</v>
      </c>
      <c r="N51" s="390">
        <v>9</v>
      </c>
      <c r="O51" s="390">
        <v>10</v>
      </c>
      <c r="P51" s="390">
        <v>11</v>
      </c>
      <c r="Q51" s="390">
        <v>12</v>
      </c>
      <c r="R51" s="390">
        <v>13</v>
      </c>
      <c r="S51" s="390">
        <v>14</v>
      </c>
      <c r="T51" s="390">
        <v>15</v>
      </c>
      <c r="U51" s="390">
        <v>16</v>
      </c>
      <c r="V51" s="390">
        <v>17</v>
      </c>
    </row>
    <row r="52" spans="2:22" x14ac:dyDescent="0.3">
      <c r="B52" s="27"/>
      <c r="D52" s="6" t="s">
        <v>904</v>
      </c>
      <c r="E52" s="11">
        <f>$C$41</f>
        <v>230</v>
      </c>
      <c r="F52" s="11">
        <f>$C$41</f>
        <v>230</v>
      </c>
      <c r="G52" s="11">
        <f>$C$41</f>
        <v>230</v>
      </c>
      <c r="H52" s="11">
        <f>$C$41</f>
        <v>230</v>
      </c>
      <c r="I52" s="11">
        <f>$C$41</f>
        <v>230</v>
      </c>
      <c r="J52" s="11">
        <f>$C$41</f>
        <v>230</v>
      </c>
      <c r="K52" s="11">
        <f>$C$41</f>
        <v>230</v>
      </c>
      <c r="L52" s="11">
        <f>$C$41</f>
        <v>230</v>
      </c>
      <c r="M52" s="11">
        <f>$C$41</f>
        <v>230</v>
      </c>
      <c r="N52" s="11">
        <f>$C$41</f>
        <v>230</v>
      </c>
      <c r="O52" s="11">
        <f>$C$41</f>
        <v>230</v>
      </c>
      <c r="P52" s="11">
        <f>$C$41</f>
        <v>230</v>
      </c>
      <c r="Q52" s="11">
        <f>$C$41</f>
        <v>230</v>
      </c>
      <c r="R52" s="587">
        <f>$C$41</f>
        <v>230</v>
      </c>
      <c r="S52" s="11">
        <f>$C$41</f>
        <v>230</v>
      </c>
      <c r="T52" s="11">
        <f>$C$41</f>
        <v>230</v>
      </c>
      <c r="U52" s="11">
        <f>$C$41</f>
        <v>230</v>
      </c>
      <c r="V52" s="11">
        <f>$C$41</f>
        <v>230</v>
      </c>
    </row>
    <row r="53" spans="2:22" x14ac:dyDescent="0.3">
      <c r="D53" s="6" t="s">
        <v>38</v>
      </c>
      <c r="E53" s="65">
        <f>1/(1+$C$45)^E51</f>
        <v>1</v>
      </c>
      <c r="F53" s="13">
        <f>1/(1+$C$45)^F51</f>
        <v>0.88495575221238942</v>
      </c>
      <c r="G53" s="13">
        <f>1/(1+$C$45)^G51</f>
        <v>0.78314668337379612</v>
      </c>
      <c r="H53" s="13">
        <f>1/(1+$C$45)^H51</f>
        <v>0.69305016227769578</v>
      </c>
      <c r="I53" s="13">
        <f>1/(1+$C$45)^I51</f>
        <v>0.61331872767937679</v>
      </c>
      <c r="J53" s="13">
        <f>1/(1+$C$45)^J51</f>
        <v>0.54275993599944861</v>
      </c>
      <c r="K53" s="13">
        <f>1/(1+$C$45)^K51</f>
        <v>0.48031852743314046</v>
      </c>
      <c r="L53" s="13">
        <f>1/(1+$C$45)^L51</f>
        <v>0.425060643746142</v>
      </c>
      <c r="M53" s="13">
        <f>1/(1+$C$45)^M51</f>
        <v>0.37615986172224958</v>
      </c>
      <c r="N53" s="13">
        <f>1/(1+$C$45)^N51</f>
        <v>0.33288483338252178</v>
      </c>
      <c r="O53" s="13">
        <f>1/(1+$C$45)^O51</f>
        <v>0.2945883481261255</v>
      </c>
      <c r="P53" s="13">
        <f>1/(1+$C$45)^P51</f>
        <v>0.26069765320896066</v>
      </c>
      <c r="Q53" s="13">
        <f>1/(1+$C$45)^Q51</f>
        <v>0.23070588779554044</v>
      </c>
      <c r="R53" s="13">
        <f>1/(1+$C$45)^R51</f>
        <v>0.20416450247392959</v>
      </c>
      <c r="S53" s="13">
        <f>1/(1+$C$45)^S51</f>
        <v>0.18067655086188467</v>
      </c>
      <c r="T53" s="13">
        <f>1/(1+$C$45)^T51</f>
        <v>0.15989075297511918</v>
      </c>
      <c r="U53" s="13">
        <f>1/(1+$C$45)^U51</f>
        <v>0.14149624157090193</v>
      </c>
      <c r="V53" s="13">
        <f>1/(1+$C$45)^V51</f>
        <v>0.12521791289460349</v>
      </c>
    </row>
    <row r="54" spans="2:22" x14ac:dyDescent="0.3">
      <c r="D54" s="6" t="s">
        <v>39</v>
      </c>
      <c r="E54" s="11">
        <f>E52*E53</f>
        <v>230</v>
      </c>
      <c r="F54" s="11">
        <f>F52*F53</f>
        <v>203.53982300884957</v>
      </c>
      <c r="G54" s="11">
        <f>G52*G53</f>
        <v>180.1237371759731</v>
      </c>
      <c r="H54" s="11">
        <f>H52*H53</f>
        <v>159.40153732387003</v>
      </c>
      <c r="I54" s="11">
        <f>I52*I53</f>
        <v>141.06330736625665</v>
      </c>
      <c r="J54" s="11">
        <f>J52*J53</f>
        <v>124.83478527987317</v>
      </c>
      <c r="K54" s="11">
        <f>K52*K53</f>
        <v>110.4732613096223</v>
      </c>
      <c r="L54" s="11">
        <f>L52*L53</f>
        <v>97.763948061612666</v>
      </c>
      <c r="M54" s="11">
        <f>M52*M53</f>
        <v>86.516768196117397</v>
      </c>
      <c r="N54" s="11">
        <f>N52*N53</f>
        <v>76.563511677980017</v>
      </c>
      <c r="O54" s="11">
        <f>O52*O53</f>
        <v>67.75532006900886</v>
      </c>
      <c r="P54" s="11">
        <f>P52*P53</f>
        <v>59.960460238060953</v>
      </c>
      <c r="Q54" s="11">
        <f>Q52*Q53</f>
        <v>53.062354192974304</v>
      </c>
      <c r="R54" s="11">
        <f>R52*R53</f>
        <v>46.957835569003805</v>
      </c>
      <c r="S54" s="11">
        <f>S52*S53</f>
        <v>41.555606698233476</v>
      </c>
      <c r="T54" s="11">
        <f>T52*T53</f>
        <v>36.774873184277411</v>
      </c>
      <c r="U54" s="11">
        <f>U52*U53</f>
        <v>32.544135561307442</v>
      </c>
      <c r="V54" s="11">
        <f>V52*V53</f>
        <v>28.800119965758803</v>
      </c>
    </row>
    <row r="55" spans="2:22" x14ac:dyDescent="0.3">
      <c r="D55" s="22"/>
      <c r="N55" s="5"/>
    </row>
    <row r="56" spans="2:22" x14ac:dyDescent="0.3">
      <c r="B56" s="1" t="s">
        <v>1235</v>
      </c>
      <c r="C56" s="43">
        <f>SUM(E54:V54)</f>
        <v>1777.6913848787797</v>
      </c>
      <c r="D56" s="23"/>
    </row>
    <row r="59" spans="2:22" x14ac:dyDescent="0.3">
      <c r="B59" s="1" t="s">
        <v>1234</v>
      </c>
      <c r="C59" s="21"/>
      <c r="D59" s="22"/>
    </row>
    <row r="60" spans="2:22" x14ac:dyDescent="0.3">
      <c r="C60" s="35"/>
    </row>
    <row r="61" spans="2:22" x14ac:dyDescent="0.3">
      <c r="B61" s="1" t="s">
        <v>1183</v>
      </c>
      <c r="C61" s="115">
        <f>C41*((1/C45)-(1/(C45*(1+C45)^C42)))</f>
        <v>1573.1782167068834</v>
      </c>
      <c r="D61" s="23"/>
    </row>
    <row r="62" spans="2:22" x14ac:dyDescent="0.3">
      <c r="B62" s="24"/>
      <c r="C62" s="25"/>
    </row>
    <row r="63" spans="2:22" x14ac:dyDescent="0.3">
      <c r="B63" s="1" t="s">
        <v>1233</v>
      </c>
      <c r="C63" s="43">
        <f>C61*(1+C45)</f>
        <v>1777.6913848787781</v>
      </c>
    </row>
    <row r="64" spans="2:22" x14ac:dyDescent="0.3">
      <c r="C64" s="4"/>
      <c r="D64" s="24"/>
    </row>
    <row r="65" spans="1:18" x14ac:dyDescent="0.3">
      <c r="C65" s="95"/>
      <c r="D65" s="24"/>
    </row>
    <row r="66" spans="1:18" x14ac:dyDescent="0.3">
      <c r="A66" s="83" t="s">
        <v>236</v>
      </c>
      <c r="B66" s="574" t="s">
        <v>1232</v>
      </c>
    </row>
    <row r="67" spans="1:18" x14ac:dyDescent="0.3">
      <c r="B67" s="1" t="s">
        <v>1231</v>
      </c>
      <c r="D67" s="8"/>
    </row>
    <row r="68" spans="1:18" x14ac:dyDescent="0.3">
      <c r="B68" s="574" t="s">
        <v>1230</v>
      </c>
      <c r="C68" s="22"/>
    </row>
    <row r="69" spans="1:18" x14ac:dyDescent="0.3">
      <c r="B69" s="26"/>
      <c r="D69" s="121"/>
      <c r="F69" s="8"/>
      <c r="G69" s="8"/>
      <c r="H69" s="8"/>
      <c r="I69" s="8"/>
      <c r="J69" s="8"/>
      <c r="K69" s="8"/>
      <c r="L69" s="8"/>
      <c r="M69" s="8"/>
      <c r="N69" s="8"/>
      <c r="O69" s="8"/>
      <c r="P69" s="8"/>
      <c r="Q69" s="8"/>
      <c r="R69" s="8"/>
    </row>
    <row r="70" spans="1:18" x14ac:dyDescent="0.3">
      <c r="B70" s="3" t="s">
        <v>4</v>
      </c>
      <c r="C70" s="21"/>
      <c r="D70" s="23"/>
      <c r="F70" s="91"/>
      <c r="G70" s="16"/>
      <c r="H70" s="16"/>
      <c r="I70" s="16"/>
      <c r="J70" s="16"/>
      <c r="K70" s="16"/>
      <c r="L70" s="16"/>
      <c r="M70" s="16"/>
      <c r="N70" s="16"/>
      <c r="O70" s="16"/>
      <c r="P70" s="16"/>
      <c r="Q70" s="16"/>
      <c r="R70" s="16"/>
    </row>
    <row r="71" spans="1:18" x14ac:dyDescent="0.3">
      <c r="B71" s="27" t="s">
        <v>29</v>
      </c>
      <c r="C71" s="586">
        <v>30</v>
      </c>
      <c r="D71" s="23" t="s">
        <v>6</v>
      </c>
      <c r="F71" s="89"/>
      <c r="G71" s="15"/>
      <c r="H71" s="15"/>
      <c r="I71" s="15"/>
      <c r="J71" s="15"/>
      <c r="K71" s="15"/>
      <c r="L71" s="15"/>
      <c r="M71" s="15"/>
      <c r="N71" s="15"/>
      <c r="O71" s="15"/>
      <c r="P71" s="15"/>
      <c r="Q71" s="15"/>
      <c r="R71" s="15"/>
    </row>
    <row r="72" spans="1:18" x14ac:dyDescent="0.3">
      <c r="B72" s="1" t="s">
        <v>35</v>
      </c>
      <c r="C72" s="1">
        <v>60</v>
      </c>
      <c r="D72" s="1" t="s">
        <v>6</v>
      </c>
      <c r="F72" s="88"/>
      <c r="G72" s="87"/>
      <c r="H72" s="87"/>
      <c r="I72" s="87"/>
      <c r="J72" s="87"/>
      <c r="K72" s="87"/>
      <c r="L72" s="87"/>
      <c r="M72" s="87"/>
      <c r="N72" s="87"/>
      <c r="O72" s="87"/>
      <c r="P72" s="87"/>
      <c r="Q72" s="87"/>
      <c r="R72" s="87"/>
    </row>
    <row r="73" spans="1:18" x14ac:dyDescent="0.3">
      <c r="B73" s="27" t="s">
        <v>82</v>
      </c>
      <c r="C73" s="585">
        <v>0.05</v>
      </c>
      <c r="F73" s="88"/>
      <c r="G73" s="118"/>
      <c r="J73" s="5"/>
    </row>
    <row r="74" spans="1:18" x14ac:dyDescent="0.3">
      <c r="B74" s="1" t="s">
        <v>83</v>
      </c>
      <c r="C74" s="4">
        <v>0.08</v>
      </c>
      <c r="D74" s="22"/>
      <c r="G74" s="117"/>
    </row>
    <row r="75" spans="1:18" x14ac:dyDescent="0.3">
      <c r="B75" s="1" t="s">
        <v>951</v>
      </c>
      <c r="C75" s="5">
        <v>40000</v>
      </c>
    </row>
    <row r="76" spans="1:18" x14ac:dyDescent="0.3">
      <c r="B76" s="86"/>
      <c r="C76" s="5"/>
    </row>
    <row r="77" spans="1:18" x14ac:dyDescent="0.3">
      <c r="B77" s="26" t="s">
        <v>15</v>
      </c>
    </row>
    <row r="79" spans="1:18" x14ac:dyDescent="0.3">
      <c r="B79" s="1" t="s">
        <v>1223</v>
      </c>
    </row>
    <row r="80" spans="1:18" x14ac:dyDescent="0.3">
      <c r="B80" s="1" t="s">
        <v>1222</v>
      </c>
      <c r="C80" s="14">
        <f>C72-C71</f>
        <v>30</v>
      </c>
      <c r="D80" s="1" t="s">
        <v>6</v>
      </c>
    </row>
    <row r="81" spans="1:35" x14ac:dyDescent="0.3">
      <c r="B81" s="27"/>
    </row>
    <row r="82" spans="1:35" x14ac:dyDescent="0.3">
      <c r="B82" s="1" t="s">
        <v>1229</v>
      </c>
      <c r="E82" s="390">
        <v>0</v>
      </c>
      <c r="F82" s="390">
        <v>1</v>
      </c>
      <c r="G82" s="390">
        <v>2</v>
      </c>
      <c r="H82" s="390">
        <v>3</v>
      </c>
      <c r="I82" s="390">
        <v>4</v>
      </c>
      <c r="J82" s="390">
        <v>5</v>
      </c>
      <c r="K82" s="390">
        <v>6</v>
      </c>
      <c r="L82" s="390">
        <v>7</v>
      </c>
      <c r="M82" s="390">
        <v>8</v>
      </c>
      <c r="N82" s="390">
        <v>9</v>
      </c>
      <c r="O82" s="390">
        <v>10</v>
      </c>
      <c r="P82" s="390">
        <v>11</v>
      </c>
      <c r="Q82" s="390">
        <v>12</v>
      </c>
      <c r="R82" s="390">
        <v>13</v>
      </c>
      <c r="S82" s="390">
        <v>14</v>
      </c>
      <c r="T82" s="390">
        <v>15</v>
      </c>
      <c r="U82" s="390">
        <v>16</v>
      </c>
      <c r="V82" s="390">
        <v>17</v>
      </c>
      <c r="W82" s="390">
        <v>18</v>
      </c>
      <c r="X82" s="390">
        <v>19</v>
      </c>
      <c r="Y82" s="390">
        <v>20</v>
      </c>
      <c r="Z82" s="390">
        <v>21</v>
      </c>
      <c r="AA82" s="390">
        <v>22</v>
      </c>
      <c r="AB82" s="390">
        <v>23</v>
      </c>
      <c r="AC82" s="390">
        <v>24</v>
      </c>
      <c r="AD82" s="390">
        <v>25</v>
      </c>
      <c r="AE82" s="390">
        <v>26</v>
      </c>
      <c r="AF82" s="390">
        <v>27</v>
      </c>
      <c r="AG82" s="390">
        <v>28</v>
      </c>
      <c r="AH82" s="390">
        <v>29</v>
      </c>
      <c r="AI82" s="390">
        <v>30</v>
      </c>
    </row>
    <row r="83" spans="1:35" x14ac:dyDescent="0.3">
      <c r="D83" s="6" t="s">
        <v>904</v>
      </c>
      <c r="E83" s="11"/>
      <c r="F83" s="11">
        <f>C75</f>
        <v>40000</v>
      </c>
      <c r="G83" s="11">
        <f>F83*(1+$C$73)</f>
        <v>42000</v>
      </c>
      <c r="H83" s="11">
        <f>G83*(1+$C$73)</f>
        <v>44100</v>
      </c>
      <c r="I83" s="11">
        <f>H83*(1+$C$73)</f>
        <v>46305</v>
      </c>
      <c r="J83" s="11">
        <f>I83*(1+$C$73)</f>
        <v>48620.25</v>
      </c>
      <c r="K83" s="11">
        <f>J83*(1+$C$73)</f>
        <v>51051.262500000004</v>
      </c>
      <c r="L83" s="11">
        <f>K83*(1+$C$73)</f>
        <v>53603.825625000005</v>
      </c>
      <c r="M83" s="11">
        <f>L83*(1+$C$73)</f>
        <v>56284.016906250006</v>
      </c>
      <c r="N83" s="11">
        <f>M83*(1+$C$73)</f>
        <v>59098.217751562508</v>
      </c>
      <c r="O83" s="11">
        <f>N83*(1+$C$73)</f>
        <v>62053.128639140639</v>
      </c>
      <c r="P83" s="11">
        <f>O83*(1+$C$73)</f>
        <v>65155.785071097671</v>
      </c>
      <c r="Q83" s="11">
        <f>P83*(1+$C$73)</f>
        <v>68413.574324652553</v>
      </c>
      <c r="R83" s="11">
        <f>Q83*(1+$C$73)</f>
        <v>71834.253040885189</v>
      </c>
      <c r="S83" s="11">
        <f>R83*(1+$C$73)</f>
        <v>75425.965692929458</v>
      </c>
      <c r="T83" s="11">
        <f>S83*(1+$C$73)</f>
        <v>79197.263977575931</v>
      </c>
      <c r="U83" s="11">
        <f>T83*(1+$C$73)</f>
        <v>83157.127176454727</v>
      </c>
      <c r="V83" s="11">
        <f>U83*(1+$C$73)</f>
        <v>87314.983535277468</v>
      </c>
      <c r="W83" s="11">
        <f>V83*(1+$C$73)</f>
        <v>91680.732712041339</v>
      </c>
      <c r="X83" s="11">
        <f>W83*(1+$C$73)</f>
        <v>96264.769347643407</v>
      </c>
      <c r="Y83" s="11">
        <f>X83*(1+$C$73)</f>
        <v>101078.00781502559</v>
      </c>
      <c r="Z83" s="11">
        <f>Y83*(1+$C$73)</f>
        <v>106131.90820577687</v>
      </c>
      <c r="AA83" s="11">
        <f>Z83*(1+$C$73)</f>
        <v>111438.50361606572</v>
      </c>
      <c r="AB83" s="11">
        <f>AA83*(1+$C$73)</f>
        <v>117010.428796869</v>
      </c>
      <c r="AC83" s="11">
        <f>AB83*(1+$C$73)</f>
        <v>122860.95023671247</v>
      </c>
      <c r="AD83" s="11">
        <f>AC83*(1+$C$73)</f>
        <v>129003.99774854809</v>
      </c>
      <c r="AE83" s="11">
        <f>AD83*(1+$C$73)</f>
        <v>135454.19763597549</v>
      </c>
      <c r="AF83" s="11">
        <f>AE83*(1+$C$73)</f>
        <v>142226.90751777426</v>
      </c>
      <c r="AG83" s="11">
        <f>AF83*(1+$C$73)</f>
        <v>149338.25289366298</v>
      </c>
      <c r="AH83" s="11">
        <f>AG83*(1+$C$73)</f>
        <v>156805.16553834613</v>
      </c>
      <c r="AI83" s="11">
        <f>AH83*(1+$C$73)</f>
        <v>164645.42381526344</v>
      </c>
    </row>
    <row r="84" spans="1:35" x14ac:dyDescent="0.3">
      <c r="D84" s="6" t="s">
        <v>38</v>
      </c>
      <c r="E84" s="65">
        <f>1/(1+$C$74)^E82</f>
        <v>1</v>
      </c>
      <c r="F84" s="12">
        <f>1/(1+$C$74)^F82</f>
        <v>0.92592592592592582</v>
      </c>
      <c r="G84" s="12">
        <f>1/(1+$C$74)^G82</f>
        <v>0.85733882030178321</v>
      </c>
      <c r="H84" s="12">
        <f>1/(1+$C$74)^H82</f>
        <v>0.79383224102016958</v>
      </c>
      <c r="I84" s="12">
        <f>1/(1+$C$74)^I82</f>
        <v>0.73502985279645328</v>
      </c>
      <c r="J84" s="12">
        <f>1/(1+$C$74)^J82</f>
        <v>0.68058319703375303</v>
      </c>
      <c r="K84" s="12">
        <f>1/(1+$C$74)^K82</f>
        <v>0.63016962688310452</v>
      </c>
      <c r="L84" s="12">
        <f>1/(1+$C$74)^L82</f>
        <v>0.58349039526213387</v>
      </c>
      <c r="M84" s="12">
        <f>1/(1+$C$74)^M82</f>
        <v>0.54026888450197574</v>
      </c>
      <c r="N84" s="12">
        <f>1/(1+$C$74)^N82</f>
        <v>0.50024896713145905</v>
      </c>
      <c r="O84" s="12">
        <f>1/(1+$C$74)^O82</f>
        <v>0.46319348808468425</v>
      </c>
      <c r="P84" s="12">
        <f>1/(1+$C$74)^P82</f>
        <v>0.42888285933767062</v>
      </c>
      <c r="Q84" s="12">
        <f>1/(1+$C$74)^Q82</f>
        <v>0.39711375864599124</v>
      </c>
      <c r="R84" s="12">
        <f>1/(1+$C$74)^R82</f>
        <v>0.36769792467221413</v>
      </c>
      <c r="S84" s="12">
        <f>1/(1+$C$74)^S82</f>
        <v>0.34046104136316119</v>
      </c>
      <c r="T84" s="12">
        <f>1/(1+$C$74)^T82</f>
        <v>0.31524170496588994</v>
      </c>
      <c r="U84" s="12">
        <f>1/(1+$C$74)^U82</f>
        <v>0.29189046756100923</v>
      </c>
      <c r="V84" s="12">
        <f>1/(1+$C$74)^V82</f>
        <v>0.27026895144537894</v>
      </c>
      <c r="W84" s="12">
        <f>1/(1+$C$74)^W82</f>
        <v>0.25024902911609154</v>
      </c>
      <c r="X84" s="12">
        <f>1/(1+$C$74)^X82</f>
        <v>0.23171206399638106</v>
      </c>
      <c r="Y84" s="12">
        <f>1/(1+$C$74)^Y82</f>
        <v>0.21454820740405653</v>
      </c>
      <c r="Z84" s="12">
        <f>1/(1+$C$74)^Z82</f>
        <v>0.19865574759634863</v>
      </c>
      <c r="AA84" s="12">
        <f>1/(1+$C$74)^AA82</f>
        <v>0.18394050703365611</v>
      </c>
      <c r="AB84" s="12">
        <f>1/(1+$C$74)^AB82</f>
        <v>0.17031528429042234</v>
      </c>
      <c r="AC84" s="12">
        <f>1/(1+$C$74)^AC82</f>
        <v>0.1576993373059466</v>
      </c>
      <c r="AD84" s="12">
        <f>1/(1+$C$74)^AD82</f>
        <v>0.1460179049129135</v>
      </c>
      <c r="AE84" s="12">
        <f>1/(1+$C$74)^AE82</f>
        <v>0.13520176380825324</v>
      </c>
      <c r="AF84" s="12">
        <f>1/(1+$C$74)^AF82</f>
        <v>0.12518681834097523</v>
      </c>
      <c r="AG84" s="12">
        <f>1/(1+$C$74)^AG82</f>
        <v>0.11591372068608817</v>
      </c>
      <c r="AH84" s="12">
        <f>1/(1+$C$74)^AH82</f>
        <v>0.10732751915378534</v>
      </c>
      <c r="AI84" s="12">
        <f>1/(1+$C$74)^AI82</f>
        <v>9.9377332549801231E-2</v>
      </c>
    </row>
    <row r="85" spans="1:35" x14ac:dyDescent="0.3">
      <c r="C85" s="5"/>
      <c r="D85" s="6" t="s">
        <v>39</v>
      </c>
      <c r="E85" s="11"/>
      <c r="F85" s="11">
        <f>F83*F84</f>
        <v>37037.037037037029</v>
      </c>
      <c r="G85" s="11">
        <f>G83*G84</f>
        <v>36008.230452674892</v>
      </c>
      <c r="H85" s="11">
        <f>H83*H84</f>
        <v>35008.00182898948</v>
      </c>
      <c r="I85" s="11">
        <f>I83*I84</f>
        <v>34035.557333739765</v>
      </c>
      <c r="J85" s="11">
        <f>J83*J84</f>
        <v>33090.125185580328</v>
      </c>
      <c r="K85" s="11">
        <f>K83*K84</f>
        <v>32170.955041536428</v>
      </c>
      <c r="L85" s="11">
        <f>L83*L84</f>
        <v>31277.317401493754</v>
      </c>
      <c r="M85" s="11">
        <f>M83*M84</f>
        <v>30408.503029230036</v>
      </c>
      <c r="N85" s="11">
        <f>N83*N84</f>
        <v>29563.822389529203</v>
      </c>
      <c r="O85" s="11">
        <f>O83*O84</f>
        <v>28742.605100931167</v>
      </c>
      <c r="P85" s="11">
        <f>P83*P84</f>
        <v>27944.19940368308</v>
      </c>
      <c r="Q85" s="11">
        <f>Q83*Q84</f>
        <v>27167.971642469656</v>
      </c>
      <c r="R85" s="11">
        <f>R83*R84</f>
        <v>26413.30576351217</v>
      </c>
      <c r="S85" s="11">
        <f>S83*S84</f>
        <v>25679.602825636834</v>
      </c>
      <c r="T85" s="11">
        <f>T83*T84</f>
        <v>24966.280524924696</v>
      </c>
      <c r="U85" s="11">
        <f>U83*U84</f>
        <v>24272.772732565678</v>
      </c>
      <c r="V85" s="11">
        <f>V83*V84</f>
        <v>23598.529045549967</v>
      </c>
      <c r="W85" s="11">
        <f>W83*W84</f>
        <v>22943.014349840239</v>
      </c>
      <c r="X85" s="11">
        <f>X83*X84</f>
        <v>22305.708395678012</v>
      </c>
      <c r="Y85" s="11">
        <f>Y83*Y84</f>
        <v>21686.105384686954</v>
      </c>
      <c r="Z85" s="11">
        <f>Z83*Z84</f>
        <v>21083.713568445652</v>
      </c>
      <c r="AA85" s="11">
        <f>AA83*AA84</f>
        <v>20498.05485821105</v>
      </c>
      <c r="AB85" s="11">
        <f>AB83*AB84</f>
        <v>19928.664445482966</v>
      </c>
      <c r="AC85" s="11">
        <f>AC83*AC84</f>
        <v>19375.090433108438</v>
      </c>
      <c r="AD85" s="11">
        <f>AD83*AD84</f>
        <v>18836.893476633202</v>
      </c>
      <c r="AE85" s="11">
        <f>AE83*AE84</f>
        <v>18313.646435615614</v>
      </c>
      <c r="AF85" s="11">
        <f>AF83*AF84</f>
        <v>17804.934034626291</v>
      </c>
      <c r="AG85" s="11">
        <f>AG83*AG84</f>
        <v>17310.352533664449</v>
      </c>
      <c r="AH85" s="11">
        <f>AH83*AH84</f>
        <v>16829.509407729325</v>
      </c>
      <c r="AI85" s="11">
        <f>AI83*AI84</f>
        <v>16362.023035292397</v>
      </c>
    </row>
    <row r="87" spans="1:35" x14ac:dyDescent="0.3">
      <c r="B87" s="1" t="s">
        <v>1228</v>
      </c>
      <c r="C87" s="43">
        <f>SUM(F85:AI85)</f>
        <v>760662.52709809877</v>
      </c>
    </row>
    <row r="88" spans="1:35" x14ac:dyDescent="0.3">
      <c r="C88" s="21"/>
    </row>
    <row r="89" spans="1:35" x14ac:dyDescent="0.3">
      <c r="C89" s="21"/>
    </row>
    <row r="90" spans="1:35" x14ac:dyDescent="0.3">
      <c r="B90" s="1" t="s">
        <v>1227</v>
      </c>
      <c r="C90" s="113"/>
    </row>
    <row r="91" spans="1:35" x14ac:dyDescent="0.3">
      <c r="B91" s="112"/>
      <c r="C91" s="106"/>
    </row>
    <row r="92" spans="1:35" x14ac:dyDescent="0.3">
      <c r="B92" s="112"/>
      <c r="C92" s="106"/>
    </row>
    <row r="93" spans="1:35" x14ac:dyDescent="0.3">
      <c r="B93" s="1" t="s">
        <v>903</v>
      </c>
      <c r="C93" s="43">
        <f>C75*((1/(C74-C73)-((1/(C74-C73)*((1+C73)/(1+C74))^C80))))</f>
        <v>760662.52709809958</v>
      </c>
    </row>
    <row r="94" spans="1:35" x14ac:dyDescent="0.3">
      <c r="B94" s="3"/>
      <c r="C94" s="21"/>
      <c r="D94" s="22"/>
    </row>
    <row r="95" spans="1:35" x14ac:dyDescent="0.3">
      <c r="C95" s="35"/>
    </row>
    <row r="96" spans="1:35" x14ac:dyDescent="0.3">
      <c r="A96" s="83" t="s">
        <v>1226</v>
      </c>
      <c r="B96" s="1" t="s">
        <v>1225</v>
      </c>
      <c r="C96" s="92"/>
      <c r="D96" s="23"/>
    </row>
    <row r="97" spans="2:16" x14ac:dyDescent="0.3">
      <c r="B97" s="24" t="s">
        <v>1224</v>
      </c>
      <c r="C97" s="25"/>
    </row>
    <row r="99" spans="2:16" x14ac:dyDescent="0.3">
      <c r="B99" s="3" t="s">
        <v>4</v>
      </c>
      <c r="C99" s="21"/>
      <c r="D99" s="23"/>
    </row>
    <row r="100" spans="2:16" x14ac:dyDescent="0.3">
      <c r="B100" s="27" t="s">
        <v>29</v>
      </c>
      <c r="C100" s="586">
        <v>27</v>
      </c>
      <c r="D100" s="23" t="s">
        <v>6</v>
      </c>
    </row>
    <row r="101" spans="2:16" x14ac:dyDescent="0.3">
      <c r="B101" s="1" t="s">
        <v>35</v>
      </c>
      <c r="C101" s="1">
        <v>62</v>
      </c>
      <c r="D101" s="1" t="s">
        <v>6</v>
      </c>
    </row>
    <row r="102" spans="2:16" x14ac:dyDescent="0.3">
      <c r="B102" s="27" t="s">
        <v>82</v>
      </c>
      <c r="C102" s="585">
        <v>7.0000000000000007E-2</v>
      </c>
    </row>
    <row r="103" spans="2:16" x14ac:dyDescent="0.3">
      <c r="B103" s="1" t="s">
        <v>83</v>
      </c>
      <c r="C103" s="4">
        <v>0.09</v>
      </c>
      <c r="D103" s="22"/>
    </row>
    <row r="104" spans="2:16" x14ac:dyDescent="0.3">
      <c r="B104" s="1" t="s">
        <v>951</v>
      </c>
      <c r="C104" s="5">
        <v>35000</v>
      </c>
    </row>
    <row r="105" spans="2:16" x14ac:dyDescent="0.3">
      <c r="B105" s="86"/>
      <c r="C105" s="5"/>
    </row>
    <row r="106" spans="2:16" x14ac:dyDescent="0.3">
      <c r="B106" s="26" t="s">
        <v>15</v>
      </c>
    </row>
    <row r="108" spans="2:16" x14ac:dyDescent="0.3">
      <c r="B108" s="1" t="s">
        <v>1223</v>
      </c>
    </row>
    <row r="109" spans="2:16" x14ac:dyDescent="0.3">
      <c r="B109" s="1" t="s">
        <v>1222</v>
      </c>
      <c r="C109" s="14">
        <f>C101-C100</f>
        <v>35</v>
      </c>
      <c r="D109" s="1" t="s">
        <v>6</v>
      </c>
    </row>
    <row r="110" spans="2:16" x14ac:dyDescent="0.3">
      <c r="B110" s="107"/>
      <c r="C110" s="106"/>
    </row>
    <row r="111" spans="2:16" x14ac:dyDescent="0.3">
      <c r="C111" s="35"/>
      <c r="F111" s="8"/>
      <c r="G111" s="8"/>
      <c r="H111" s="8"/>
      <c r="I111" s="8"/>
      <c r="J111" s="8"/>
      <c r="K111" s="8"/>
      <c r="L111" s="8"/>
      <c r="M111" s="8"/>
      <c r="N111" s="8"/>
      <c r="O111" s="8"/>
      <c r="P111" s="8"/>
    </row>
    <row r="112" spans="2:16" x14ac:dyDescent="0.3">
      <c r="B112" s="1" t="s">
        <v>903</v>
      </c>
      <c r="C112" s="5">
        <f>C104*((1/(C103-C102)-((1/(C103-C102)*((1+C102)/(1+C103))^C109))))</f>
        <v>834743.46228741622</v>
      </c>
      <c r="F112" s="91"/>
      <c r="G112" s="16"/>
      <c r="H112" s="16"/>
      <c r="I112" s="16"/>
      <c r="J112" s="16"/>
      <c r="K112" s="16"/>
      <c r="L112" s="16"/>
      <c r="M112" s="16"/>
      <c r="N112" s="16"/>
      <c r="O112" s="16"/>
      <c r="P112" s="16"/>
    </row>
    <row r="113" spans="1:16" x14ac:dyDescent="0.3">
      <c r="B113" s="66"/>
      <c r="C113" s="90"/>
      <c r="F113" s="89"/>
      <c r="G113" s="15"/>
      <c r="H113" s="15"/>
      <c r="I113" s="15"/>
      <c r="J113" s="15"/>
      <c r="K113" s="15"/>
      <c r="L113" s="15"/>
      <c r="M113" s="15"/>
      <c r="N113" s="15"/>
      <c r="O113" s="15"/>
      <c r="P113" s="15"/>
    </row>
    <row r="114" spans="1:16" x14ac:dyDescent="0.3">
      <c r="B114" s="1" t="s">
        <v>1221</v>
      </c>
      <c r="C114" s="43">
        <f>C112*(1+C103)^C109</f>
        <v>17040426.259326566</v>
      </c>
      <c r="F114" s="88"/>
      <c r="G114" s="87"/>
      <c r="H114" s="87"/>
      <c r="I114" s="87"/>
      <c r="J114" s="87"/>
      <c r="K114" s="87"/>
      <c r="L114" s="87"/>
      <c r="M114" s="87"/>
      <c r="N114" s="87"/>
      <c r="O114" s="87"/>
      <c r="P114" s="87"/>
    </row>
    <row r="115" spans="1:16" x14ac:dyDescent="0.3">
      <c r="B115" s="31"/>
    </row>
    <row r="116" spans="1:16" x14ac:dyDescent="0.3">
      <c r="B116" s="107"/>
      <c r="C116" s="106"/>
    </row>
    <row r="117" spans="1:16" x14ac:dyDescent="0.3">
      <c r="C117" s="35"/>
      <c r="F117" s="8"/>
      <c r="G117" s="8"/>
      <c r="H117" s="8"/>
      <c r="I117" s="8"/>
      <c r="J117" s="8"/>
      <c r="K117" s="8"/>
      <c r="L117" s="8"/>
      <c r="M117" s="8"/>
      <c r="N117" s="8"/>
      <c r="O117" s="8"/>
      <c r="P117" s="8"/>
    </row>
    <row r="118" spans="1:16" x14ac:dyDescent="0.3">
      <c r="A118" s="83" t="s">
        <v>201</v>
      </c>
      <c r="B118" s="2" t="s">
        <v>1220</v>
      </c>
      <c r="C118" s="102"/>
      <c r="F118" s="91"/>
      <c r="G118" s="16"/>
      <c r="H118" s="16"/>
      <c r="I118" s="16"/>
      <c r="J118" s="16"/>
      <c r="K118" s="16"/>
      <c r="L118" s="16"/>
      <c r="M118" s="16"/>
      <c r="N118" s="16"/>
      <c r="O118" s="16"/>
      <c r="P118" s="16"/>
    </row>
    <row r="119" spans="1:16" x14ac:dyDescent="0.3">
      <c r="B119" s="2"/>
      <c r="F119" s="89"/>
      <c r="G119" s="15"/>
      <c r="H119" s="15"/>
      <c r="I119" s="15"/>
      <c r="J119" s="15"/>
      <c r="K119" s="15"/>
      <c r="L119" s="15"/>
      <c r="M119" s="15"/>
      <c r="N119" s="15"/>
      <c r="O119" s="15"/>
      <c r="P119" s="15"/>
    </row>
    <row r="120" spans="1:16" x14ac:dyDescent="0.3">
      <c r="B120" s="2" t="s">
        <v>1219</v>
      </c>
      <c r="F120" s="88"/>
      <c r="G120" s="87"/>
      <c r="H120" s="87"/>
      <c r="I120" s="87"/>
      <c r="J120" s="87"/>
      <c r="K120" s="87"/>
      <c r="L120" s="87"/>
      <c r="M120" s="87"/>
      <c r="N120" s="87"/>
      <c r="O120" s="87"/>
      <c r="P120" s="87"/>
    </row>
    <row r="121" spans="1:16" x14ac:dyDescent="0.3">
      <c r="B121" s="2" t="s">
        <v>1218</v>
      </c>
      <c r="C121" s="22"/>
    </row>
    <row r="122" spans="1:16" x14ac:dyDescent="0.3">
      <c r="B122" s="2" t="s">
        <v>1217</v>
      </c>
      <c r="C122" s="22"/>
    </row>
    <row r="123" spans="1:16" x14ac:dyDescent="0.3">
      <c r="B123" s="2" t="s">
        <v>1216</v>
      </c>
    </row>
    <row r="124" spans="1:16" x14ac:dyDescent="0.3">
      <c r="B124" s="2" t="s">
        <v>1215</v>
      </c>
      <c r="C124" s="35"/>
    </row>
    <row r="125" spans="1:16" x14ac:dyDescent="0.3">
      <c r="B125" s="2" t="s">
        <v>1214</v>
      </c>
    </row>
    <row r="126" spans="1:16" x14ac:dyDescent="0.3">
      <c r="B126" s="2"/>
    </row>
    <row r="127" spans="1:16" x14ac:dyDescent="0.3">
      <c r="B127" s="2" t="s">
        <v>1213</v>
      </c>
      <c r="C127" s="106"/>
      <c r="F127" s="8"/>
      <c r="G127" s="8"/>
      <c r="H127" s="8"/>
      <c r="I127" s="8"/>
      <c r="J127" s="8"/>
      <c r="K127" s="8"/>
      <c r="L127" s="8"/>
      <c r="M127" s="8"/>
      <c r="N127" s="8"/>
      <c r="O127" s="8"/>
      <c r="P127" s="8"/>
    </row>
    <row r="128" spans="1:16" x14ac:dyDescent="0.3">
      <c r="B128" s="10"/>
      <c r="F128" s="91"/>
      <c r="G128" s="16"/>
      <c r="H128" s="16"/>
      <c r="I128" s="16"/>
      <c r="J128" s="16"/>
      <c r="K128" s="16"/>
      <c r="L128" s="16"/>
      <c r="M128" s="16"/>
      <c r="N128" s="16"/>
      <c r="O128" s="16"/>
      <c r="P128" s="16"/>
    </row>
    <row r="129" spans="2:26" x14ac:dyDescent="0.3">
      <c r="B129" s="3" t="s">
        <v>4</v>
      </c>
      <c r="C129" s="21"/>
      <c r="D129" s="23"/>
      <c r="F129" s="89"/>
      <c r="G129" s="15"/>
      <c r="H129" s="15"/>
      <c r="I129" s="15"/>
      <c r="J129" s="15"/>
      <c r="K129" s="15"/>
      <c r="L129" s="15"/>
      <c r="M129" s="15"/>
      <c r="N129" s="15"/>
      <c r="O129" s="15"/>
      <c r="P129" s="15"/>
    </row>
    <row r="130" spans="2:26" x14ac:dyDescent="0.3">
      <c r="B130" s="27" t="s">
        <v>29</v>
      </c>
      <c r="C130" s="586">
        <v>27</v>
      </c>
      <c r="D130" s="23" t="s">
        <v>6</v>
      </c>
      <c r="F130" s="88"/>
      <c r="G130" s="87"/>
      <c r="H130" s="87"/>
      <c r="I130" s="87"/>
      <c r="J130" s="87"/>
      <c r="K130" s="87"/>
      <c r="L130" s="87"/>
      <c r="M130" s="87"/>
      <c r="N130" s="87"/>
      <c r="O130" s="87"/>
      <c r="P130" s="87"/>
    </row>
    <row r="131" spans="2:26" x14ac:dyDescent="0.3">
      <c r="B131" s="1" t="s">
        <v>35</v>
      </c>
      <c r="C131" s="1">
        <v>69</v>
      </c>
      <c r="D131" s="1" t="s">
        <v>6</v>
      </c>
    </row>
    <row r="132" spans="2:26" x14ac:dyDescent="0.3">
      <c r="B132" s="1" t="s">
        <v>1212</v>
      </c>
      <c r="C132" s="1">
        <v>95</v>
      </c>
      <c r="D132" s="1" t="s">
        <v>6</v>
      </c>
    </row>
    <row r="133" spans="2:26" x14ac:dyDescent="0.3">
      <c r="F133" s="8"/>
      <c r="G133" s="8"/>
      <c r="H133" s="8"/>
      <c r="I133" s="8"/>
      <c r="J133" s="8"/>
      <c r="K133" s="8"/>
      <c r="L133" s="8"/>
      <c r="M133" s="8"/>
      <c r="N133" s="8"/>
      <c r="O133" s="8"/>
      <c r="P133" s="8"/>
      <c r="Q133" s="8"/>
      <c r="R133" s="8"/>
      <c r="S133" s="8"/>
      <c r="T133" s="8"/>
      <c r="U133" s="8"/>
      <c r="V133" s="8"/>
      <c r="W133" s="8"/>
      <c r="X133" s="8"/>
      <c r="Y133" s="8"/>
      <c r="Z133" s="8"/>
    </row>
    <row r="134" spans="2:26" x14ac:dyDescent="0.3">
      <c r="B134" s="27" t="s">
        <v>82</v>
      </c>
      <c r="C134" s="585">
        <v>0.09</v>
      </c>
      <c r="F134" s="91"/>
      <c r="G134" s="16"/>
      <c r="H134" s="16"/>
      <c r="I134" s="16"/>
      <c r="J134" s="16"/>
      <c r="K134" s="16"/>
      <c r="L134" s="16"/>
      <c r="M134" s="16"/>
      <c r="N134" s="16"/>
      <c r="O134" s="16"/>
      <c r="P134" s="16"/>
      <c r="Q134" s="16"/>
      <c r="R134" s="16"/>
      <c r="S134" s="16"/>
      <c r="T134" s="16"/>
      <c r="U134" s="16"/>
      <c r="V134" s="16"/>
      <c r="W134" s="16"/>
      <c r="X134" s="16"/>
      <c r="Y134" s="16"/>
      <c r="Z134" s="16"/>
    </row>
    <row r="135" spans="2:26" x14ac:dyDescent="0.3">
      <c r="B135" s="1" t="s">
        <v>1211</v>
      </c>
      <c r="C135" s="584">
        <v>3.5000000000000003E-2</v>
      </c>
      <c r="D135" s="22"/>
      <c r="F135" s="89"/>
      <c r="G135" s="15"/>
      <c r="H135" s="15"/>
      <c r="I135" s="15"/>
      <c r="J135" s="15"/>
      <c r="K135" s="15"/>
      <c r="L135" s="15"/>
      <c r="M135" s="15"/>
      <c r="N135" s="15"/>
      <c r="O135" s="15"/>
      <c r="P135" s="15"/>
      <c r="Q135" s="15"/>
      <c r="R135" s="15"/>
      <c r="S135" s="15"/>
      <c r="T135" s="15"/>
      <c r="U135" s="15"/>
      <c r="V135" s="15"/>
      <c r="W135" s="15"/>
      <c r="X135" s="15"/>
      <c r="Y135" s="15"/>
      <c r="Z135" s="15"/>
    </row>
    <row r="136" spans="2:26" x14ac:dyDescent="0.3">
      <c r="B136" s="1" t="s">
        <v>951</v>
      </c>
      <c r="C136" s="5">
        <v>35000</v>
      </c>
      <c r="F136" s="88"/>
      <c r="G136" s="87"/>
      <c r="H136" s="87"/>
      <c r="I136" s="87"/>
      <c r="J136" s="87"/>
      <c r="K136" s="87"/>
      <c r="L136" s="87"/>
      <c r="M136" s="87"/>
      <c r="N136" s="87"/>
      <c r="O136" s="87"/>
      <c r="P136" s="87"/>
      <c r="Q136" s="87"/>
      <c r="R136" s="87"/>
      <c r="S136" s="87"/>
      <c r="T136" s="87"/>
      <c r="U136" s="87"/>
      <c r="V136" s="87"/>
      <c r="W136" s="87"/>
      <c r="X136" s="87"/>
      <c r="Y136" s="87"/>
      <c r="Z136" s="87"/>
    </row>
    <row r="137" spans="2:26" x14ac:dyDescent="0.3">
      <c r="B137" s="86"/>
      <c r="C137" s="5"/>
    </row>
    <row r="138" spans="2:26" x14ac:dyDescent="0.3">
      <c r="F138" s="5"/>
    </row>
    <row r="139" spans="2:26" x14ac:dyDescent="0.3">
      <c r="B139" s="26" t="s">
        <v>15</v>
      </c>
      <c r="F139" s="5"/>
    </row>
    <row r="140" spans="2:26" x14ac:dyDescent="0.3">
      <c r="F140" s="108"/>
      <c r="G140" s="108"/>
      <c r="H140" s="108"/>
      <c r="I140" s="108"/>
      <c r="J140" s="108"/>
      <c r="K140" s="108"/>
    </row>
    <row r="141" spans="2:26" x14ac:dyDescent="0.3">
      <c r="B141" s="1" t="s">
        <v>1073</v>
      </c>
      <c r="C141" s="14"/>
      <c r="F141" s="108"/>
      <c r="G141" s="85"/>
      <c r="H141" s="108"/>
      <c r="I141" s="108"/>
      <c r="J141" s="108"/>
      <c r="K141" s="108"/>
    </row>
    <row r="142" spans="2:26" x14ac:dyDescent="0.3">
      <c r="B142" s="3" t="s">
        <v>1210</v>
      </c>
      <c r="C142" s="583">
        <f>C131-C130</f>
        <v>42</v>
      </c>
      <c r="D142" s="1" t="s">
        <v>1209</v>
      </c>
    </row>
    <row r="143" spans="2:26" x14ac:dyDescent="0.3">
      <c r="B143" s="3" t="s">
        <v>1208</v>
      </c>
      <c r="C143" s="21">
        <f>C136*(1+C135)^C142</f>
        <v>148444.0298184625</v>
      </c>
    </row>
    <row r="144" spans="2:26" x14ac:dyDescent="0.3">
      <c r="C144" s="5"/>
    </row>
    <row r="145" spans="1:24" x14ac:dyDescent="0.3">
      <c r="B145" s="66"/>
      <c r="C145" s="90"/>
    </row>
    <row r="146" spans="1:24" x14ac:dyDescent="0.3">
      <c r="B146" s="1" t="s">
        <v>1076</v>
      </c>
      <c r="C146" s="14"/>
    </row>
    <row r="147" spans="1:24" x14ac:dyDescent="0.3">
      <c r="B147" s="10" t="s">
        <v>927</v>
      </c>
      <c r="C147" s="5">
        <f>C143</f>
        <v>148444.0298184625</v>
      </c>
    </row>
    <row r="148" spans="1:24" x14ac:dyDescent="0.3">
      <c r="B148" s="10" t="s">
        <v>1207</v>
      </c>
      <c r="C148" s="46">
        <f>C132-C131</f>
        <v>26</v>
      </c>
      <c r="D148" s="1" t="s">
        <v>6</v>
      </c>
      <c r="F148" s="8"/>
      <c r="G148" s="8"/>
      <c r="H148" s="8"/>
      <c r="I148" s="8"/>
      <c r="J148" s="8"/>
      <c r="K148" s="8"/>
      <c r="L148" s="8"/>
      <c r="M148" s="8"/>
      <c r="N148" s="8"/>
      <c r="O148" s="8"/>
      <c r="P148" s="8"/>
    </row>
    <row r="149" spans="1:24" x14ac:dyDescent="0.3">
      <c r="F149" s="91"/>
      <c r="G149" s="16"/>
      <c r="H149" s="16"/>
      <c r="I149" s="16"/>
      <c r="J149" s="16"/>
      <c r="K149" s="16"/>
      <c r="L149" s="16"/>
      <c r="M149" s="16"/>
      <c r="N149" s="16"/>
      <c r="O149" s="16"/>
      <c r="P149" s="16"/>
    </row>
    <row r="150" spans="1:24" x14ac:dyDescent="0.3">
      <c r="B150" s="1" t="s">
        <v>1206</v>
      </c>
      <c r="C150" s="432">
        <f>(1/C134)-(1/((C134*(1+C134)^C148)))</f>
        <v>9.928972114631641</v>
      </c>
      <c r="F150" s="89"/>
      <c r="G150" s="15"/>
      <c r="H150" s="15"/>
      <c r="I150" s="15"/>
      <c r="J150" s="15"/>
      <c r="K150" s="15"/>
      <c r="L150" s="15"/>
      <c r="M150" s="15"/>
      <c r="N150" s="15"/>
      <c r="O150" s="15"/>
      <c r="P150" s="15"/>
    </row>
    <row r="151" spans="1:24" x14ac:dyDescent="0.3">
      <c r="C151" s="21"/>
      <c r="F151" s="88"/>
      <c r="G151" s="87"/>
      <c r="H151" s="87"/>
      <c r="I151" s="87"/>
      <c r="J151" s="87"/>
      <c r="K151" s="87"/>
      <c r="L151" s="87"/>
      <c r="M151" s="87"/>
      <c r="N151" s="87"/>
      <c r="O151" s="87"/>
      <c r="P151" s="87"/>
    </row>
    <row r="152" spans="1:24" x14ac:dyDescent="0.3">
      <c r="B152" s="66" t="s">
        <v>1183</v>
      </c>
      <c r="C152" s="43">
        <f>C147*C150</f>
        <v>1473896.632651062</v>
      </c>
    </row>
    <row r="154" spans="1:24" x14ac:dyDescent="0.3">
      <c r="C154" s="1">
        <v>1473896.6326510599</v>
      </c>
      <c r="F154" s="8"/>
      <c r="G154" s="8"/>
      <c r="H154" s="8"/>
      <c r="I154" s="8"/>
      <c r="J154" s="8"/>
      <c r="K154" s="8"/>
      <c r="L154" s="8"/>
      <c r="M154" s="8"/>
      <c r="N154" s="8"/>
      <c r="O154" s="8"/>
      <c r="P154" s="8"/>
      <c r="Q154" s="8"/>
      <c r="R154" s="8"/>
      <c r="S154" s="8"/>
      <c r="T154" s="8"/>
      <c r="U154" s="8"/>
      <c r="V154" s="8"/>
      <c r="W154" s="8"/>
      <c r="X154" s="8"/>
    </row>
    <row r="155" spans="1:24" x14ac:dyDescent="0.3">
      <c r="F155" s="91"/>
      <c r="G155" s="16"/>
      <c r="H155" s="16"/>
      <c r="I155" s="16"/>
      <c r="J155" s="16"/>
      <c r="K155" s="16"/>
      <c r="L155" s="16"/>
      <c r="M155" s="16"/>
      <c r="N155" s="16"/>
      <c r="O155" s="16"/>
      <c r="P155" s="16"/>
      <c r="Q155" s="16"/>
      <c r="R155" s="16"/>
      <c r="S155" s="16"/>
      <c r="T155" s="16"/>
      <c r="U155" s="16"/>
      <c r="V155" s="16"/>
      <c r="W155" s="16"/>
      <c r="X155" s="16"/>
    </row>
    <row r="156" spans="1:24" x14ac:dyDescent="0.3">
      <c r="A156" s="83" t="s">
        <v>942</v>
      </c>
      <c r="B156" s="2" t="s">
        <v>1205</v>
      </c>
      <c r="F156" s="89"/>
      <c r="G156" s="15"/>
      <c r="H156" s="15"/>
      <c r="I156" s="15"/>
      <c r="J156" s="15"/>
      <c r="K156" s="15"/>
      <c r="L156" s="15"/>
      <c r="M156" s="15"/>
      <c r="N156" s="15"/>
      <c r="O156" s="15"/>
      <c r="P156" s="15"/>
      <c r="Q156" s="15"/>
      <c r="R156" s="15"/>
      <c r="S156" s="15"/>
      <c r="T156" s="15"/>
      <c r="U156" s="15"/>
      <c r="V156" s="15"/>
      <c r="W156" s="15"/>
      <c r="X156" s="15"/>
    </row>
    <row r="157" spans="1:24" x14ac:dyDescent="0.3">
      <c r="B157" s="582" t="s">
        <v>1204</v>
      </c>
      <c r="C157" s="21"/>
      <c r="F157" s="88"/>
      <c r="G157" s="87"/>
      <c r="H157" s="87"/>
      <c r="I157" s="87"/>
      <c r="J157" s="87"/>
      <c r="K157" s="87"/>
      <c r="L157" s="87"/>
      <c r="M157" s="87"/>
      <c r="N157" s="87"/>
      <c r="O157" s="87"/>
      <c r="P157" s="87"/>
      <c r="Q157" s="87"/>
      <c r="R157" s="87"/>
      <c r="S157" s="87"/>
      <c r="T157" s="87"/>
      <c r="U157" s="87"/>
      <c r="V157" s="87"/>
      <c r="W157" s="87"/>
      <c r="X157" s="87"/>
    </row>
    <row r="158" spans="1:24" x14ac:dyDescent="0.3">
      <c r="B158" s="582" t="s">
        <v>1203</v>
      </c>
    </row>
    <row r="159" spans="1:24" x14ac:dyDescent="0.3">
      <c r="B159" s="582" t="s">
        <v>1202</v>
      </c>
    </row>
    <row r="160" spans="1:24" x14ac:dyDescent="0.3">
      <c r="B160" s="582" t="s">
        <v>1201</v>
      </c>
    </row>
    <row r="161" spans="2:24" x14ac:dyDescent="0.3">
      <c r="B161" s="582" t="s">
        <v>1200</v>
      </c>
      <c r="F161" s="8"/>
      <c r="G161" s="8"/>
      <c r="H161" s="8"/>
      <c r="I161" s="8"/>
      <c r="J161" s="8"/>
      <c r="K161" s="8"/>
      <c r="L161" s="8"/>
      <c r="M161" s="8"/>
      <c r="N161" s="8"/>
      <c r="O161" s="8"/>
      <c r="P161" s="8"/>
    </row>
    <row r="162" spans="2:24" x14ac:dyDescent="0.3">
      <c r="B162" s="2" t="s">
        <v>1199</v>
      </c>
      <c r="C162" s="106"/>
      <c r="F162" s="91"/>
      <c r="G162" s="16"/>
      <c r="H162" s="16"/>
      <c r="I162" s="16"/>
      <c r="J162" s="16"/>
      <c r="K162" s="16"/>
      <c r="L162" s="16"/>
      <c r="M162" s="16"/>
      <c r="N162" s="16"/>
      <c r="O162" s="16"/>
      <c r="P162" s="16"/>
    </row>
    <row r="163" spans="2:24" x14ac:dyDescent="0.3">
      <c r="F163" s="89"/>
      <c r="G163" s="15"/>
      <c r="H163" s="15"/>
      <c r="I163" s="15"/>
      <c r="J163" s="15"/>
      <c r="K163" s="15"/>
      <c r="L163" s="15"/>
      <c r="M163" s="15"/>
      <c r="N163" s="15"/>
      <c r="O163" s="15"/>
      <c r="P163" s="15"/>
    </row>
    <row r="164" spans="2:24" x14ac:dyDescent="0.3">
      <c r="B164" s="3" t="s">
        <v>4</v>
      </c>
      <c r="C164" s="21"/>
      <c r="F164" s="88"/>
      <c r="G164" s="87"/>
      <c r="H164" s="87"/>
      <c r="I164" s="87"/>
      <c r="J164" s="87"/>
      <c r="K164" s="87"/>
      <c r="L164" s="87"/>
      <c r="M164" s="87"/>
      <c r="N164" s="87"/>
      <c r="O164" s="87"/>
      <c r="P164" s="87"/>
    </row>
    <row r="165" spans="2:24" x14ac:dyDescent="0.3">
      <c r="B165" s="83" t="s">
        <v>155</v>
      </c>
      <c r="C165" s="66" t="s">
        <v>97</v>
      </c>
      <c r="D165" s="43">
        <v>100000</v>
      </c>
    </row>
    <row r="166" spans="2:24" x14ac:dyDescent="0.3">
      <c r="C166" s="22"/>
    </row>
    <row r="167" spans="2:24" x14ac:dyDescent="0.3">
      <c r="B167" s="83" t="s">
        <v>150</v>
      </c>
      <c r="C167" s="1" t="s">
        <v>957</v>
      </c>
      <c r="D167" s="5">
        <v>180000</v>
      </c>
      <c r="F167" s="8"/>
      <c r="G167" s="8"/>
      <c r="H167" s="8"/>
      <c r="I167" s="8"/>
      <c r="J167" s="8"/>
      <c r="K167" s="8"/>
      <c r="L167" s="8"/>
      <c r="M167" s="8"/>
      <c r="N167" s="8"/>
      <c r="O167" s="8"/>
      <c r="P167" s="8"/>
      <c r="Q167" s="8"/>
      <c r="R167" s="8"/>
      <c r="S167" s="8"/>
      <c r="T167" s="8"/>
      <c r="U167" s="8"/>
      <c r="V167" s="8"/>
      <c r="W167" s="8"/>
      <c r="X167" s="8"/>
    </row>
    <row r="168" spans="2:24" x14ac:dyDescent="0.3">
      <c r="C168" s="1" t="s">
        <v>5</v>
      </c>
      <c r="D168" s="1">
        <v>5</v>
      </c>
      <c r="E168" s="1" t="s">
        <v>6</v>
      </c>
      <c r="F168" s="91"/>
      <c r="G168" s="16"/>
      <c r="H168" s="16"/>
      <c r="I168" s="16"/>
      <c r="J168" s="16"/>
      <c r="K168" s="16"/>
      <c r="L168" s="16"/>
      <c r="M168" s="16"/>
      <c r="N168" s="16"/>
      <c r="O168" s="16"/>
      <c r="P168" s="16"/>
      <c r="Q168" s="16"/>
      <c r="R168" s="16"/>
      <c r="S168" s="16"/>
      <c r="T168" s="16"/>
      <c r="U168" s="16"/>
      <c r="V168" s="16"/>
      <c r="W168" s="16"/>
      <c r="X168" s="16"/>
    </row>
    <row r="169" spans="2:24" x14ac:dyDescent="0.3">
      <c r="C169" s="23" t="s">
        <v>83</v>
      </c>
      <c r="D169" s="4">
        <v>0.12</v>
      </c>
      <c r="F169" s="89"/>
      <c r="G169" s="15"/>
      <c r="H169" s="15"/>
      <c r="I169" s="15"/>
      <c r="J169" s="15"/>
      <c r="K169" s="15"/>
      <c r="L169" s="15"/>
      <c r="M169" s="15"/>
      <c r="N169" s="15"/>
      <c r="O169" s="15"/>
      <c r="P169" s="15"/>
      <c r="Q169" s="15"/>
      <c r="R169" s="15"/>
      <c r="S169" s="15"/>
      <c r="T169" s="15"/>
      <c r="U169" s="15"/>
      <c r="V169" s="15"/>
      <c r="W169" s="15"/>
      <c r="X169" s="15"/>
    </row>
    <row r="170" spans="2:24" x14ac:dyDescent="0.3">
      <c r="F170" s="88"/>
      <c r="G170" s="87"/>
      <c r="H170" s="87"/>
      <c r="I170" s="87"/>
      <c r="J170" s="87"/>
      <c r="K170" s="87"/>
      <c r="L170" s="87"/>
      <c r="M170" s="87"/>
      <c r="N170" s="87"/>
      <c r="O170" s="87"/>
      <c r="P170" s="87"/>
      <c r="Q170" s="87"/>
      <c r="R170" s="87"/>
      <c r="S170" s="87"/>
      <c r="T170" s="87"/>
      <c r="U170" s="87"/>
      <c r="V170" s="87"/>
      <c r="W170" s="87"/>
      <c r="X170" s="87"/>
    </row>
    <row r="171" spans="2:24" x14ac:dyDescent="0.3">
      <c r="B171" s="80" t="s">
        <v>1198</v>
      </c>
      <c r="C171" s="581" t="s">
        <v>97</v>
      </c>
      <c r="D171" s="43">
        <f>D167/(1+D169)^D168</f>
        <v>102136.83402934785</v>
      </c>
    </row>
    <row r="173" spans="2:24" x14ac:dyDescent="0.3">
      <c r="B173" s="83" t="s">
        <v>174</v>
      </c>
      <c r="C173" s="1" t="s">
        <v>927</v>
      </c>
      <c r="D173" s="5">
        <v>11400</v>
      </c>
      <c r="G173" s="8"/>
      <c r="H173" s="8"/>
      <c r="I173" s="8"/>
      <c r="J173" s="8"/>
    </row>
    <row r="174" spans="2:24" x14ac:dyDescent="0.3">
      <c r="C174" s="1" t="s">
        <v>5</v>
      </c>
      <c r="D174" s="120" t="s">
        <v>1194</v>
      </c>
      <c r="E174" s="1" t="s">
        <v>6</v>
      </c>
      <c r="G174" s="16"/>
      <c r="H174" s="16"/>
      <c r="I174" s="16"/>
      <c r="J174" s="16"/>
    </row>
    <row r="175" spans="2:24" x14ac:dyDescent="0.3">
      <c r="C175" s="23" t="s">
        <v>83</v>
      </c>
      <c r="D175" s="4">
        <v>0.12</v>
      </c>
      <c r="G175" s="15"/>
      <c r="H175" s="15"/>
      <c r="I175" s="15"/>
      <c r="J175" s="89"/>
    </row>
    <row r="176" spans="2:24" x14ac:dyDescent="0.3">
      <c r="G176" s="16"/>
      <c r="H176" s="16"/>
      <c r="I176" s="16"/>
      <c r="J176" s="16"/>
    </row>
    <row r="177" spans="2:5" x14ac:dyDescent="0.3">
      <c r="C177" s="581" t="s">
        <v>97</v>
      </c>
      <c r="D177" s="43">
        <f>D173/D175</f>
        <v>95000</v>
      </c>
    </row>
    <row r="179" spans="2:5" x14ac:dyDescent="0.3">
      <c r="B179" s="83" t="s">
        <v>174</v>
      </c>
      <c r="C179" s="1" t="s">
        <v>1197</v>
      </c>
      <c r="D179" s="5">
        <v>19000</v>
      </c>
    </row>
    <row r="180" spans="2:5" x14ac:dyDescent="0.3">
      <c r="C180" s="1" t="s">
        <v>1196</v>
      </c>
      <c r="D180" s="5">
        <f>D179/10</f>
        <v>1900</v>
      </c>
    </row>
    <row r="181" spans="2:5" x14ac:dyDescent="0.3">
      <c r="C181" s="1" t="s">
        <v>5</v>
      </c>
      <c r="D181" s="120" t="s">
        <v>1194</v>
      </c>
      <c r="E181" s="1" t="s">
        <v>6</v>
      </c>
    </row>
    <row r="182" spans="2:5" x14ac:dyDescent="0.3">
      <c r="C182" s="23" t="s">
        <v>83</v>
      </c>
      <c r="D182" s="4">
        <v>0.12</v>
      </c>
    </row>
    <row r="184" spans="2:5" x14ac:dyDescent="0.3">
      <c r="C184" s="581" t="s">
        <v>97</v>
      </c>
      <c r="D184" s="43">
        <f>D180/D182</f>
        <v>15833.333333333334</v>
      </c>
    </row>
    <row r="185" spans="2:5" x14ac:dyDescent="0.3">
      <c r="B185" s="24"/>
      <c r="C185" s="25"/>
    </row>
    <row r="186" spans="2:5" x14ac:dyDescent="0.3">
      <c r="B186" s="83" t="s">
        <v>622</v>
      </c>
      <c r="C186" s="1" t="s">
        <v>1195</v>
      </c>
      <c r="D186" s="5">
        <v>6500</v>
      </c>
    </row>
    <row r="187" spans="2:5" x14ac:dyDescent="0.3">
      <c r="C187" s="1" t="s">
        <v>5</v>
      </c>
      <c r="D187" s="120" t="s">
        <v>1194</v>
      </c>
      <c r="E187" s="1" t="s">
        <v>6</v>
      </c>
    </row>
    <row r="188" spans="2:5" x14ac:dyDescent="0.3">
      <c r="C188" s="1" t="s">
        <v>82</v>
      </c>
      <c r="D188" s="4">
        <v>0.05</v>
      </c>
    </row>
    <row r="189" spans="2:5" x14ac:dyDescent="0.3">
      <c r="C189" s="23" t="s">
        <v>83</v>
      </c>
      <c r="D189" s="4">
        <v>0.12</v>
      </c>
    </row>
    <row r="191" spans="2:5" x14ac:dyDescent="0.3">
      <c r="C191" s="581" t="s">
        <v>97</v>
      </c>
      <c r="D191" s="43">
        <f>D186/(D189-D188)</f>
        <v>92857.14285714287</v>
      </c>
    </row>
    <row r="195" spans="1:14" x14ac:dyDescent="0.3">
      <c r="A195" s="83" t="s">
        <v>1193</v>
      </c>
      <c r="B195" s="1" t="s">
        <v>1192</v>
      </c>
      <c r="C195" s="28"/>
      <c r="D195" s="3"/>
      <c r="F195" s="8"/>
      <c r="G195" s="8"/>
      <c r="H195" s="8"/>
      <c r="I195" s="8"/>
      <c r="J195" s="8"/>
      <c r="K195" s="8"/>
      <c r="L195" s="8"/>
      <c r="M195" s="8"/>
      <c r="N195" s="8"/>
    </row>
    <row r="196" spans="1:14" x14ac:dyDescent="0.3">
      <c r="B196" s="1" t="s">
        <v>1191</v>
      </c>
      <c r="C196" s="10"/>
      <c r="D196" s="3"/>
      <c r="F196" s="91"/>
      <c r="G196" s="34"/>
      <c r="H196" s="34"/>
      <c r="I196" s="34"/>
      <c r="J196" s="34"/>
      <c r="K196" s="34"/>
      <c r="L196" s="34"/>
      <c r="M196" s="34"/>
      <c r="N196" s="34"/>
    </row>
    <row r="197" spans="1:14" x14ac:dyDescent="0.3">
      <c r="B197" s="1" t="s">
        <v>1190</v>
      </c>
      <c r="C197" s="10"/>
      <c r="D197" s="3"/>
      <c r="F197" s="89"/>
      <c r="G197" s="15"/>
      <c r="H197" s="15"/>
      <c r="I197" s="15"/>
      <c r="J197" s="15"/>
      <c r="K197" s="15"/>
      <c r="L197" s="15"/>
      <c r="M197" s="15"/>
      <c r="N197" s="15"/>
    </row>
    <row r="198" spans="1:14" x14ac:dyDescent="0.3">
      <c r="B198" s="1" t="s">
        <v>1189</v>
      </c>
      <c r="C198" s="10"/>
      <c r="D198" s="3"/>
      <c r="F198" s="88"/>
      <c r="G198" s="580"/>
      <c r="H198" s="580"/>
      <c r="I198" s="580"/>
      <c r="J198" s="580"/>
      <c r="K198" s="580"/>
      <c r="L198" s="580"/>
      <c r="M198" s="580"/>
      <c r="N198" s="580"/>
    </row>
    <row r="199" spans="1:14" x14ac:dyDescent="0.3">
      <c r="B199" s="10"/>
      <c r="C199" s="10"/>
      <c r="D199" s="3"/>
      <c r="E199" s="10"/>
      <c r="G199" s="34"/>
      <c r="H199" s="34"/>
      <c r="I199" s="34"/>
      <c r="J199" s="34"/>
      <c r="K199" s="34"/>
      <c r="L199" s="34"/>
      <c r="M199" s="34"/>
      <c r="N199" s="34"/>
    </row>
    <row r="200" spans="1:14" x14ac:dyDescent="0.3">
      <c r="B200" s="45" t="s">
        <v>1188</v>
      </c>
    </row>
    <row r="201" spans="1:14" x14ac:dyDescent="0.3">
      <c r="B201" s="1" t="s">
        <v>927</v>
      </c>
      <c r="C201" s="579">
        <v>1000000000</v>
      </c>
      <c r="G201" s="10"/>
      <c r="H201" s="10"/>
      <c r="I201" s="10"/>
      <c r="J201" s="10"/>
    </row>
    <row r="202" spans="1:14" x14ac:dyDescent="0.3">
      <c r="B202" s="1" t="s">
        <v>1187</v>
      </c>
      <c r="C202" s="9">
        <v>0.1</v>
      </c>
      <c r="G202" s="10"/>
      <c r="H202" s="10"/>
      <c r="I202" s="10"/>
      <c r="J202" s="10"/>
    </row>
    <row r="203" spans="1:14" ht="23.25" x14ac:dyDescent="0.35">
      <c r="B203" s="1" t="s">
        <v>5</v>
      </c>
      <c r="C203" s="1">
        <v>20</v>
      </c>
      <c r="D203" s="1" t="s">
        <v>6</v>
      </c>
      <c r="L203" s="8"/>
      <c r="M203" s="8"/>
      <c r="N203" s="101"/>
    </row>
    <row r="204" spans="1:14" ht="23.25" x14ac:dyDescent="0.35">
      <c r="B204" s="45" t="s">
        <v>1080</v>
      </c>
      <c r="L204" s="8"/>
      <c r="M204" s="8"/>
      <c r="N204" s="101"/>
    </row>
    <row r="205" spans="1:14" ht="23.25" x14ac:dyDescent="0.35">
      <c r="G205" s="15"/>
      <c r="H205" s="15"/>
      <c r="I205" s="15"/>
      <c r="J205" s="15"/>
      <c r="K205" s="15"/>
      <c r="L205" s="15"/>
      <c r="M205" s="15"/>
      <c r="N205" s="101"/>
    </row>
    <row r="206" spans="1:14" ht="19.5" customHeight="1" x14ac:dyDescent="0.35">
      <c r="B206" s="1" t="s">
        <v>1186</v>
      </c>
      <c r="G206" s="8"/>
      <c r="H206" s="8"/>
      <c r="I206" s="8"/>
      <c r="J206" s="16"/>
      <c r="K206" s="16"/>
      <c r="L206" s="16"/>
      <c r="M206" s="16"/>
      <c r="N206" s="101"/>
    </row>
    <row r="208" spans="1:14" x14ac:dyDescent="0.3">
      <c r="B208" s="45" t="s">
        <v>15</v>
      </c>
    </row>
    <row r="210" spans="1:14" x14ac:dyDescent="0.3">
      <c r="B210" s="1" t="s">
        <v>1185</v>
      </c>
      <c r="C210" s="578">
        <f>EXP(C202)-1</f>
        <v>0.10517091807564771</v>
      </c>
    </row>
    <row r="212" spans="1:14" x14ac:dyDescent="0.3">
      <c r="B212" s="1" t="s">
        <v>1184</v>
      </c>
    </row>
    <row r="213" spans="1:14" x14ac:dyDescent="0.3">
      <c r="B213"/>
      <c r="C213"/>
    </row>
    <row r="216" spans="1:14" x14ac:dyDescent="0.3">
      <c r="B216"/>
      <c r="G216" s="8"/>
      <c r="H216" s="8"/>
      <c r="I216" s="8"/>
      <c r="J216" s="8"/>
      <c r="K216" s="8"/>
      <c r="L216" s="8">
        <v>6</v>
      </c>
      <c r="M216" s="8">
        <v>7</v>
      </c>
      <c r="N216" s="8">
        <v>8</v>
      </c>
    </row>
    <row r="217" spans="1:14" x14ac:dyDescent="0.3">
      <c r="G217" s="34"/>
      <c r="H217" s="34"/>
      <c r="I217" s="34"/>
      <c r="J217" s="34"/>
      <c r="K217" s="34"/>
      <c r="L217" s="34" t="str">
        <f>$C$191</f>
        <v>PV=</v>
      </c>
      <c r="M217" s="34" t="str">
        <f>$C$191</f>
        <v>PV=</v>
      </c>
      <c r="N217" s="34" t="e">
        <f>$C$191+#REF!</f>
        <v>#VALUE!</v>
      </c>
    </row>
    <row r="219" spans="1:14" x14ac:dyDescent="0.3">
      <c r="B219" s="235" t="s">
        <v>1183</v>
      </c>
      <c r="C219" s="577">
        <f>C201*(1/C210-(1/(C210*EXP(C210*C203))))</f>
        <v>8347948972.0510216</v>
      </c>
    </row>
    <row r="220" spans="1:14" x14ac:dyDescent="0.3">
      <c r="C220" s="98"/>
    </row>
    <row r="222" spans="1:14" x14ac:dyDescent="0.3">
      <c r="I222" s="8"/>
    </row>
    <row r="223" spans="1:14" x14ac:dyDescent="0.3">
      <c r="A223" s="83" t="s">
        <v>1182</v>
      </c>
      <c r="B223" s="575" t="s">
        <v>1181</v>
      </c>
      <c r="C223" s="28"/>
      <c r="D223" s="3"/>
    </row>
    <row r="224" spans="1:14" x14ac:dyDescent="0.3">
      <c r="B224" s="574" t="s">
        <v>1180</v>
      </c>
      <c r="C224" s="21"/>
    </row>
    <row r="225" spans="2:11" x14ac:dyDescent="0.3">
      <c r="B225" s="29" t="s">
        <v>1179</v>
      </c>
      <c r="C225" s="30"/>
    </row>
    <row r="226" spans="2:11" x14ac:dyDescent="0.3">
      <c r="B226" s="1" t="s">
        <v>1178</v>
      </c>
      <c r="F226" s="8"/>
      <c r="G226" s="8"/>
      <c r="H226" s="8"/>
      <c r="I226" s="8"/>
    </row>
    <row r="227" spans="2:11" x14ac:dyDescent="0.3">
      <c r="G227" s="96"/>
      <c r="H227" s="96"/>
      <c r="I227" s="96"/>
    </row>
    <row r="228" spans="2:11" x14ac:dyDescent="0.3">
      <c r="B228" s="3" t="s">
        <v>1177</v>
      </c>
      <c r="F228" s="8"/>
      <c r="G228" s="8"/>
      <c r="H228" s="8"/>
      <c r="I228" s="8"/>
    </row>
    <row r="229" spans="2:11" x14ac:dyDescent="0.3">
      <c r="B229" s="1" t="s">
        <v>97</v>
      </c>
      <c r="C229" s="5">
        <v>50000</v>
      </c>
      <c r="F229" s="8"/>
      <c r="G229" s="16"/>
      <c r="H229" s="16"/>
      <c r="I229" s="16"/>
      <c r="K229" s="5"/>
    </row>
    <row r="230" spans="2:11" x14ac:dyDescent="0.3">
      <c r="B230" s="1" t="s">
        <v>5</v>
      </c>
      <c r="C230" s="1">
        <v>5</v>
      </c>
      <c r="D230" s="1" t="s">
        <v>6</v>
      </c>
    </row>
    <row r="231" spans="2:11" x14ac:dyDescent="0.3">
      <c r="B231" s="1" t="s">
        <v>83</v>
      </c>
      <c r="C231" s="9">
        <v>0.09</v>
      </c>
    </row>
    <row r="232" spans="2:11" x14ac:dyDescent="0.3">
      <c r="B232" s="3" t="s">
        <v>1080</v>
      </c>
    </row>
    <row r="234" spans="2:11" x14ac:dyDescent="0.3">
      <c r="B234" s="1" t="s">
        <v>938</v>
      </c>
    </row>
    <row r="236" spans="2:11" x14ac:dyDescent="0.3">
      <c r="B236" s="3" t="s">
        <v>15</v>
      </c>
    </row>
    <row r="242" spans="1:18" x14ac:dyDescent="0.3">
      <c r="C242" s="90">
        <f>(1/C231)-(1/(C231*(1+C231)^C230))</f>
        <v>3.8896512633517188</v>
      </c>
      <c r="E242" s="6"/>
      <c r="F242" s="65" t="s">
        <v>1176</v>
      </c>
      <c r="G242" s="65" t="s">
        <v>1175</v>
      </c>
      <c r="H242" s="65" t="s">
        <v>1174</v>
      </c>
      <c r="I242" s="65" t="s">
        <v>997</v>
      </c>
      <c r="J242" s="65" t="s">
        <v>1173</v>
      </c>
    </row>
    <row r="243" spans="1:18" x14ac:dyDescent="0.3">
      <c r="E243" s="65">
        <v>1</v>
      </c>
      <c r="F243" s="11">
        <f>C229</f>
        <v>50000</v>
      </c>
      <c r="G243" s="11">
        <f>F243*$C$231</f>
        <v>4500</v>
      </c>
      <c r="H243" s="11">
        <f>I243-G243</f>
        <v>8354.6228478372432</v>
      </c>
      <c r="I243" s="17">
        <f>$C$245</f>
        <v>12854.622847837243</v>
      </c>
      <c r="J243" s="11">
        <f>F243-H243</f>
        <v>41645.377152162757</v>
      </c>
    </row>
    <row r="244" spans="1:18" x14ac:dyDescent="0.3">
      <c r="E244" s="65">
        <v>2</v>
      </c>
      <c r="F244" s="11">
        <f>J243</f>
        <v>41645.377152162757</v>
      </c>
      <c r="G244" s="11">
        <f>F244*$C$231</f>
        <v>3748.083943694648</v>
      </c>
      <c r="H244" s="11">
        <f>I244-G244</f>
        <v>9106.5389041425951</v>
      </c>
      <c r="I244" s="17">
        <f>$C$245</f>
        <v>12854.622847837243</v>
      </c>
      <c r="J244" s="11">
        <f>F244-H244</f>
        <v>32538.838248020162</v>
      </c>
    </row>
    <row r="245" spans="1:18" x14ac:dyDescent="0.3">
      <c r="B245" s="235" t="s">
        <v>1172</v>
      </c>
      <c r="C245" s="43">
        <f>C229/C242</f>
        <v>12854.622847837243</v>
      </c>
      <c r="E245" s="65">
        <v>3</v>
      </c>
      <c r="F245" s="11">
        <f>J244</f>
        <v>32538.838248020162</v>
      </c>
      <c r="G245" s="11">
        <f>F245*$C$231</f>
        <v>2928.4954423218146</v>
      </c>
      <c r="H245" s="11">
        <f>I245-G245</f>
        <v>9926.1274055154281</v>
      </c>
      <c r="I245" s="17">
        <f>$C$245</f>
        <v>12854.622847837243</v>
      </c>
      <c r="J245" s="11">
        <f>F245-H245</f>
        <v>22612.710842504734</v>
      </c>
    </row>
    <row r="246" spans="1:18" x14ac:dyDescent="0.3">
      <c r="B246" s="26"/>
      <c r="C246" s="22"/>
      <c r="E246" s="65">
        <v>4</v>
      </c>
      <c r="F246" s="11">
        <f>J245</f>
        <v>22612.710842504734</v>
      </c>
      <c r="G246" s="11">
        <f>F246*$C$231</f>
        <v>2035.143975825426</v>
      </c>
      <c r="H246" s="11">
        <f>I246-G246</f>
        <v>10819.478872011818</v>
      </c>
      <c r="I246" s="17">
        <f>$C$245</f>
        <v>12854.622847837243</v>
      </c>
      <c r="J246" s="11">
        <f>F246-H246</f>
        <v>11793.231970492916</v>
      </c>
    </row>
    <row r="247" spans="1:18" x14ac:dyDescent="0.3">
      <c r="B247" s="26"/>
      <c r="C247" s="22"/>
      <c r="D247" s="22"/>
      <c r="E247" s="65">
        <v>5</v>
      </c>
      <c r="F247" s="11">
        <f>J246</f>
        <v>11793.231970492916</v>
      </c>
      <c r="G247" s="11">
        <f>F247*$C$231</f>
        <v>1061.3908773443625</v>
      </c>
      <c r="H247" s="11">
        <f>I247-G247</f>
        <v>11793.231970492881</v>
      </c>
      <c r="I247" s="17">
        <f>$C$245</f>
        <v>12854.622847837243</v>
      </c>
      <c r="J247" s="576">
        <f>F247-H247</f>
        <v>3.4560798667371273E-11</v>
      </c>
    </row>
    <row r="248" spans="1:18" x14ac:dyDescent="0.3">
      <c r="C248" s="37"/>
    </row>
    <row r="250" spans="1:18" x14ac:dyDescent="0.3">
      <c r="A250" s="83" t="s">
        <v>1171</v>
      </c>
      <c r="B250" s="575" t="s">
        <v>1170</v>
      </c>
      <c r="C250" s="28"/>
    </row>
    <row r="251" spans="1:18" x14ac:dyDescent="0.3">
      <c r="B251" s="574"/>
      <c r="C251" s="21"/>
      <c r="F251" s="8"/>
      <c r="G251" s="8"/>
      <c r="H251" s="8"/>
      <c r="I251" s="8"/>
      <c r="J251" s="8"/>
      <c r="K251" s="8"/>
      <c r="L251" s="8"/>
      <c r="M251" s="8"/>
      <c r="N251" s="8"/>
      <c r="O251" s="8"/>
      <c r="P251" s="8"/>
      <c r="Q251" s="8"/>
      <c r="R251" s="8"/>
    </row>
    <row r="252" spans="1:18" x14ac:dyDescent="0.3">
      <c r="B252" s="29" t="s">
        <v>97</v>
      </c>
      <c r="C252" s="5">
        <v>10000</v>
      </c>
      <c r="F252" s="91"/>
      <c r="G252" s="16"/>
      <c r="H252" s="16"/>
      <c r="I252" s="16"/>
      <c r="J252" s="16"/>
      <c r="K252" s="16"/>
      <c r="L252" s="16"/>
      <c r="M252" s="16"/>
      <c r="N252" s="16"/>
      <c r="O252" s="16"/>
      <c r="P252" s="16"/>
      <c r="Q252" s="16"/>
      <c r="R252" s="16"/>
    </row>
    <row r="253" spans="1:18" x14ac:dyDescent="0.3">
      <c r="B253" s="1" t="s">
        <v>957</v>
      </c>
      <c r="C253" s="5">
        <v>30000</v>
      </c>
      <c r="D253" s="10"/>
      <c r="F253" s="89"/>
      <c r="G253" s="15"/>
      <c r="H253" s="15"/>
      <c r="I253" s="15"/>
      <c r="J253" s="15"/>
      <c r="K253" s="15"/>
      <c r="L253" s="15"/>
      <c r="M253" s="15"/>
      <c r="N253" s="15"/>
      <c r="O253" s="15"/>
      <c r="P253" s="15"/>
      <c r="Q253" s="15"/>
      <c r="R253" s="15"/>
    </row>
    <row r="254" spans="1:18" x14ac:dyDescent="0.3">
      <c r="B254" s="1" t="s">
        <v>83</v>
      </c>
      <c r="C254" s="92">
        <v>0.13</v>
      </c>
      <c r="F254" s="88"/>
      <c r="G254" s="87"/>
      <c r="H254" s="87"/>
      <c r="I254" s="87"/>
      <c r="J254" s="87"/>
      <c r="K254" s="87"/>
      <c r="L254" s="87"/>
      <c r="M254" s="87"/>
      <c r="N254" s="87"/>
      <c r="O254" s="87"/>
      <c r="P254" s="87"/>
      <c r="Q254" s="87"/>
      <c r="R254" s="87"/>
    </row>
    <row r="255" spans="1:18" x14ac:dyDescent="0.3">
      <c r="B255" s="27"/>
      <c r="C255" s="90"/>
      <c r="E255" s="10"/>
      <c r="G255" s="16"/>
      <c r="H255" s="16"/>
      <c r="I255" s="16"/>
      <c r="J255" s="16"/>
      <c r="K255" s="16"/>
      <c r="L255" s="16"/>
      <c r="M255" s="16"/>
      <c r="N255" s="16"/>
      <c r="O255" s="16"/>
      <c r="P255" s="16"/>
      <c r="Q255" s="16"/>
      <c r="R255" s="16"/>
    </row>
    <row r="256" spans="1:18" x14ac:dyDescent="0.3">
      <c r="B256" s="1" t="s">
        <v>984</v>
      </c>
    </row>
    <row r="257" spans="2:10" x14ac:dyDescent="0.3">
      <c r="B257" s="29"/>
      <c r="C257" s="30"/>
      <c r="E257" s="86"/>
      <c r="F257" s="85"/>
      <c r="G257" s="10"/>
      <c r="H257" s="10"/>
      <c r="I257" s="10"/>
      <c r="J257" s="10"/>
    </row>
    <row r="258" spans="2:10" x14ac:dyDescent="0.3">
      <c r="B258" s="3" t="s">
        <v>15</v>
      </c>
      <c r="E258" s="86"/>
      <c r="F258" s="85"/>
      <c r="G258" s="10"/>
      <c r="H258" s="10"/>
      <c r="I258" s="10"/>
      <c r="J258" s="10"/>
    </row>
    <row r="259" spans="2:10" x14ac:dyDescent="0.3">
      <c r="C259" s="48"/>
    </row>
    <row r="260" spans="2:10" x14ac:dyDescent="0.3">
      <c r="B260" s="1" t="s">
        <v>983</v>
      </c>
      <c r="C260" s="1">
        <f>C253/C252</f>
        <v>3</v>
      </c>
    </row>
    <row r="261" spans="2:10" x14ac:dyDescent="0.3">
      <c r="B261" s="32"/>
      <c r="C261" s="84"/>
    </row>
    <row r="263" spans="2:10" x14ac:dyDescent="0.3">
      <c r="B263" s="66" t="s">
        <v>5</v>
      </c>
      <c r="C263" s="573">
        <f>LN(C260)/LN(1+C254)</f>
        <v>8.9889835384623265</v>
      </c>
      <c r="D263" s="1" t="s">
        <v>6</v>
      </c>
    </row>
    <row r="265" spans="2:10" x14ac:dyDescent="0.3">
      <c r="B265" s="3"/>
      <c r="C265" s="21"/>
      <c r="D265" s="22"/>
    </row>
    <row r="266" spans="2:10" x14ac:dyDescent="0.3">
      <c r="C266" s="35"/>
    </row>
    <row r="267" spans="2:10" x14ac:dyDescent="0.3">
      <c r="C267" s="35"/>
    </row>
    <row r="268" spans="2:10" x14ac:dyDescent="0.3">
      <c r="C268" s="92"/>
      <c r="D268" s="23"/>
    </row>
    <row r="269" spans="2:10" x14ac:dyDescent="0.3">
      <c r="C269" s="4"/>
    </row>
    <row r="270" spans="2:10" x14ac:dyDescent="0.3">
      <c r="B270" s="24"/>
      <c r="C270" s="25"/>
    </row>
    <row r="274" spans="2:18" x14ac:dyDescent="0.3">
      <c r="C274" s="4"/>
      <c r="D274" s="24"/>
    </row>
    <row r="275" spans="2:18" x14ac:dyDescent="0.3">
      <c r="C275" s="4"/>
      <c r="D275" s="24"/>
    </row>
    <row r="276" spans="2:18" x14ac:dyDescent="0.3">
      <c r="B276" s="26"/>
      <c r="C276" s="22"/>
    </row>
    <row r="277" spans="2:18" x14ac:dyDescent="0.3">
      <c r="B277" s="26"/>
      <c r="C277" s="22"/>
      <c r="D277" s="22"/>
    </row>
    <row r="278" spans="2:18" x14ac:dyDescent="0.3">
      <c r="C278" s="37"/>
    </row>
    <row r="281" spans="2:18" x14ac:dyDescent="0.3">
      <c r="B281" s="27"/>
      <c r="C281" s="28"/>
      <c r="D281" s="10"/>
      <c r="F281" s="8"/>
      <c r="G281" s="8"/>
      <c r="H281" s="8"/>
      <c r="I281" s="8"/>
      <c r="J281" s="8"/>
      <c r="K281" s="8"/>
      <c r="L281" s="8"/>
      <c r="M281" s="8"/>
      <c r="N281" s="8"/>
      <c r="O281" s="8"/>
      <c r="P281" s="8"/>
      <c r="Q281" s="8"/>
      <c r="R281" s="8"/>
    </row>
    <row r="282" spans="2:18" x14ac:dyDescent="0.3">
      <c r="C282" s="21"/>
      <c r="F282" s="91"/>
      <c r="G282" s="16"/>
      <c r="H282" s="16"/>
      <c r="I282" s="16"/>
      <c r="J282" s="16"/>
      <c r="K282" s="16"/>
      <c r="L282" s="16"/>
      <c r="M282" s="16"/>
      <c r="N282" s="16"/>
      <c r="O282" s="16"/>
      <c r="P282" s="16"/>
      <c r="Q282" s="16"/>
      <c r="R282" s="16"/>
    </row>
    <row r="283" spans="2:18" x14ac:dyDescent="0.3">
      <c r="B283" s="27"/>
      <c r="C283" s="90"/>
      <c r="F283" s="89"/>
      <c r="G283" s="15"/>
      <c r="H283" s="15"/>
      <c r="I283" s="15"/>
      <c r="J283" s="15"/>
      <c r="K283" s="15"/>
      <c r="L283" s="15"/>
      <c r="M283" s="15"/>
      <c r="N283" s="15"/>
      <c r="O283" s="15"/>
      <c r="P283" s="15"/>
      <c r="Q283" s="15"/>
      <c r="R283" s="15"/>
    </row>
    <row r="284" spans="2:18" x14ac:dyDescent="0.3">
      <c r="F284" s="88"/>
      <c r="G284" s="87"/>
      <c r="H284" s="87"/>
      <c r="I284" s="87"/>
      <c r="J284" s="87"/>
      <c r="K284" s="87"/>
      <c r="L284" s="87"/>
      <c r="M284" s="87"/>
      <c r="N284" s="87"/>
      <c r="O284" s="87"/>
      <c r="P284" s="87"/>
      <c r="Q284" s="87"/>
      <c r="R284" s="87"/>
    </row>
    <row r="285" spans="2:18" x14ac:dyDescent="0.3">
      <c r="B285" s="29"/>
      <c r="C285" s="30"/>
      <c r="E285" s="10"/>
      <c r="G285" s="16"/>
      <c r="H285" s="16"/>
      <c r="I285" s="16"/>
      <c r="J285" s="16"/>
      <c r="K285" s="16"/>
      <c r="L285" s="16"/>
      <c r="M285" s="16"/>
      <c r="N285" s="16"/>
      <c r="O285" s="16"/>
      <c r="P285" s="16"/>
      <c r="Q285" s="16"/>
      <c r="R285" s="16"/>
    </row>
    <row r="286" spans="2:18" x14ac:dyDescent="0.3">
      <c r="B286" s="31"/>
    </row>
    <row r="287" spans="2:18" x14ac:dyDescent="0.3">
      <c r="C287" s="572"/>
      <c r="E287" s="86"/>
      <c r="F287" s="85"/>
      <c r="G287" s="10"/>
      <c r="H287" s="10"/>
      <c r="I287" s="10"/>
      <c r="J287" s="10"/>
    </row>
    <row r="288" spans="2:18" x14ac:dyDescent="0.3">
      <c r="E288" s="86"/>
      <c r="F288" s="85"/>
      <c r="G288" s="10"/>
      <c r="H288" s="10"/>
      <c r="I288" s="10"/>
      <c r="J288" s="10"/>
    </row>
    <row r="289" spans="2:18" x14ac:dyDescent="0.3">
      <c r="B289" s="32"/>
      <c r="C289" s="84"/>
    </row>
    <row r="294" spans="2:18" x14ac:dyDescent="0.3">
      <c r="B294" s="27"/>
      <c r="C294" s="28"/>
      <c r="D294" s="10"/>
      <c r="F294" s="8"/>
      <c r="G294" s="8"/>
      <c r="H294" s="8"/>
      <c r="I294" s="8"/>
      <c r="J294" s="8"/>
      <c r="K294" s="8"/>
      <c r="L294" s="8"/>
      <c r="M294" s="8"/>
      <c r="N294" s="8"/>
      <c r="O294" s="8"/>
      <c r="P294" s="8"/>
      <c r="Q294" s="8"/>
      <c r="R294" s="8"/>
    </row>
    <row r="295" spans="2:18" x14ac:dyDescent="0.3">
      <c r="C295" s="21"/>
      <c r="F295" s="91"/>
      <c r="G295" s="16"/>
      <c r="H295" s="16"/>
      <c r="I295" s="16"/>
      <c r="J295" s="16"/>
      <c r="K295" s="16"/>
      <c r="L295" s="16"/>
      <c r="M295" s="16"/>
      <c r="N295" s="16"/>
      <c r="O295" s="16"/>
      <c r="P295" s="16"/>
      <c r="Q295" s="16"/>
      <c r="R295" s="16"/>
    </row>
    <row r="296" spans="2:18" x14ac:dyDescent="0.3">
      <c r="B296" s="27"/>
      <c r="C296" s="90"/>
      <c r="F296" s="89"/>
      <c r="G296" s="15"/>
      <c r="H296" s="15"/>
      <c r="I296" s="15"/>
      <c r="J296" s="15"/>
      <c r="K296" s="15"/>
      <c r="L296" s="15"/>
      <c r="M296" s="15"/>
      <c r="N296" s="15"/>
      <c r="O296" s="15"/>
      <c r="P296" s="15"/>
      <c r="Q296" s="15"/>
      <c r="R296" s="15"/>
    </row>
    <row r="297" spans="2:18" x14ac:dyDescent="0.3">
      <c r="F297" s="88"/>
      <c r="G297" s="16"/>
      <c r="H297" s="16"/>
      <c r="I297" s="16"/>
      <c r="J297" s="16"/>
      <c r="K297" s="16"/>
      <c r="L297" s="16"/>
      <c r="M297" s="16"/>
      <c r="N297" s="16"/>
      <c r="O297" s="16"/>
      <c r="P297" s="16"/>
      <c r="Q297" s="16"/>
      <c r="R297" s="87"/>
    </row>
    <row r="298" spans="2:18" x14ac:dyDescent="0.3">
      <c r="B298" s="29"/>
      <c r="C298" s="30"/>
      <c r="E298" s="10"/>
      <c r="G298" s="16"/>
      <c r="H298" s="16"/>
      <c r="I298" s="16"/>
      <c r="J298" s="16"/>
      <c r="K298" s="16"/>
      <c r="L298" s="16"/>
      <c r="M298" s="16"/>
      <c r="N298" s="16"/>
      <c r="O298" s="16"/>
      <c r="P298" s="16"/>
      <c r="Q298" s="16"/>
      <c r="R298" s="16"/>
    </row>
    <row r="301" spans="2:18" x14ac:dyDescent="0.3">
      <c r="E301" s="86"/>
      <c r="F301" s="85"/>
    </row>
    <row r="302" spans="2:18" x14ac:dyDescent="0.3">
      <c r="E302" s="86"/>
      <c r="F302" s="85"/>
    </row>
    <row r="303" spans="2:18" x14ac:dyDescent="0.3">
      <c r="B303" s="32"/>
      <c r="C303" s="84"/>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2"/>
  <sheetViews>
    <sheetView topLeftCell="A58" zoomScale="70" zoomScaleNormal="70" workbookViewId="0">
      <selection activeCell="E62" sqref="E62"/>
    </sheetView>
  </sheetViews>
  <sheetFormatPr defaultColWidth="11.5703125" defaultRowHeight="18.75" x14ac:dyDescent="0.3"/>
  <cols>
    <col min="1" max="1" width="10.85546875" style="83" customWidth="1"/>
    <col min="2" max="2" width="41.7109375" style="1" customWidth="1"/>
    <col min="3" max="3" width="19.42578125" style="1" customWidth="1"/>
    <col min="4" max="4" width="14.28515625" style="1" customWidth="1"/>
    <col min="5" max="5" width="29.28515625" style="1" customWidth="1"/>
    <col min="6" max="6" width="21.42578125" style="1" customWidth="1"/>
    <col min="7" max="7" width="19.140625" style="1" customWidth="1"/>
    <col min="8" max="8" width="15.85546875" style="1" customWidth="1"/>
    <col min="9" max="9" width="18.28515625" style="1" customWidth="1"/>
    <col min="10" max="10" width="19.42578125" style="1" customWidth="1"/>
    <col min="11" max="11" width="22.140625" style="1" customWidth="1"/>
    <col min="12" max="12" width="19.140625" style="1" customWidth="1"/>
    <col min="13" max="13" width="17.140625" style="1" customWidth="1"/>
    <col min="14" max="14" width="17.7109375" style="1" bestFit="1" customWidth="1"/>
    <col min="15" max="15" width="22.42578125" style="1" bestFit="1" customWidth="1"/>
    <col min="16" max="16" width="23.28515625" style="1" customWidth="1"/>
    <col min="17" max="17" width="22.28515625" style="1" customWidth="1"/>
    <col min="18" max="18" width="19.7109375" style="1" customWidth="1"/>
    <col min="19" max="19" width="23.140625" style="1" customWidth="1"/>
    <col min="20" max="16384" width="11.5703125" style="1"/>
  </cols>
  <sheetData>
    <row r="1" spans="1:12" x14ac:dyDescent="0.3">
      <c r="B1" s="400"/>
      <c r="C1" s="256"/>
      <c r="D1" s="256"/>
      <c r="E1" s="256"/>
      <c r="F1" s="256"/>
      <c r="G1" s="256"/>
      <c r="H1" s="256"/>
    </row>
    <row r="2" spans="1:12" x14ac:dyDescent="0.3">
      <c r="A2" s="83" t="s">
        <v>923</v>
      </c>
      <c r="B2" s="261" t="s">
        <v>922</v>
      </c>
      <c r="C2" s="256"/>
      <c r="D2" s="256"/>
      <c r="E2" s="256"/>
      <c r="F2" s="256"/>
      <c r="G2" s="256"/>
      <c r="H2" s="256"/>
      <c r="I2" s="256"/>
      <c r="J2" s="256"/>
      <c r="K2" s="256"/>
      <c r="L2" s="256"/>
    </row>
    <row r="3" spans="1:12" x14ac:dyDescent="0.3">
      <c r="B3" s="256" t="s">
        <v>921</v>
      </c>
      <c r="C3" s="387"/>
      <c r="D3" s="387"/>
      <c r="E3" s="256"/>
      <c r="F3" s="256"/>
      <c r="G3" s="387"/>
      <c r="H3" s="387"/>
      <c r="I3" s="256"/>
      <c r="J3" s="256"/>
      <c r="K3" s="256"/>
      <c r="L3" s="256"/>
    </row>
    <row r="4" spans="1:12" x14ac:dyDescent="0.3">
      <c r="B4" s="399" t="s">
        <v>920</v>
      </c>
      <c r="C4" s="256"/>
      <c r="D4" s="256"/>
      <c r="E4" s="256"/>
      <c r="F4" s="399"/>
      <c r="G4" s="256"/>
      <c r="H4" s="256"/>
      <c r="I4" s="256"/>
      <c r="J4" s="256"/>
      <c r="K4" s="256"/>
      <c r="L4" s="256"/>
    </row>
    <row r="5" spans="1:12" x14ac:dyDescent="0.3">
      <c r="B5" s="355"/>
      <c r="C5" s="353"/>
      <c r="D5" s="353"/>
      <c r="E5" s="256"/>
      <c r="F5" s="256"/>
      <c r="G5" s="353"/>
      <c r="H5" s="353"/>
      <c r="I5" s="256"/>
      <c r="J5" s="256"/>
      <c r="K5" s="256"/>
      <c r="L5" s="256"/>
    </row>
    <row r="6" spans="1:12" x14ac:dyDescent="0.3">
      <c r="B6" s="257" t="s">
        <v>4</v>
      </c>
      <c r="C6" s="351"/>
      <c r="D6" s="353"/>
      <c r="E6" s="256"/>
      <c r="F6" s="256"/>
      <c r="G6" s="353"/>
      <c r="H6" s="353"/>
      <c r="I6" s="256"/>
      <c r="J6" s="256"/>
      <c r="K6" s="256"/>
      <c r="L6" s="256"/>
    </row>
    <row r="7" spans="1:12" x14ac:dyDescent="0.3">
      <c r="B7" s="256" t="s">
        <v>905</v>
      </c>
      <c r="C7" s="370">
        <v>1000000</v>
      </c>
      <c r="D7" s="353"/>
      <c r="E7" s="256"/>
      <c r="F7" s="256"/>
      <c r="G7" s="353"/>
      <c r="H7" s="353"/>
      <c r="I7" s="256"/>
      <c r="J7" s="256"/>
      <c r="K7" s="256"/>
      <c r="L7" s="256"/>
    </row>
    <row r="8" spans="1:12" x14ac:dyDescent="0.3">
      <c r="B8" s="369" t="s">
        <v>83</v>
      </c>
      <c r="C8" s="357">
        <v>0.1</v>
      </c>
      <c r="D8" s="372"/>
      <c r="E8" s="256"/>
      <c r="F8" s="398"/>
      <c r="G8" s="397"/>
      <c r="H8" s="397"/>
      <c r="I8" s="256"/>
      <c r="J8" s="256"/>
      <c r="K8" s="256"/>
      <c r="L8" s="256"/>
    </row>
    <row r="9" spans="1:12" x14ac:dyDescent="0.3">
      <c r="B9" s="378" t="s">
        <v>82</v>
      </c>
      <c r="C9" s="357">
        <v>0.04</v>
      </c>
      <c r="D9" s="353"/>
      <c r="E9" s="256"/>
      <c r="F9" s="256"/>
      <c r="G9" s="353"/>
      <c r="H9" s="353"/>
      <c r="I9" s="256"/>
      <c r="J9" s="256"/>
      <c r="K9" s="256"/>
      <c r="L9" s="256"/>
    </row>
    <row r="10" spans="1:12" x14ac:dyDescent="0.3">
      <c r="B10" s="355"/>
      <c r="C10" s="256"/>
      <c r="D10" s="256"/>
      <c r="E10" s="256"/>
      <c r="F10" s="392"/>
      <c r="G10" s="397"/>
      <c r="H10" s="397"/>
      <c r="I10" s="256"/>
      <c r="J10" s="256"/>
      <c r="K10" s="256"/>
      <c r="L10" s="256"/>
    </row>
    <row r="11" spans="1:12" x14ac:dyDescent="0.3">
      <c r="B11" s="365" t="s">
        <v>36</v>
      </c>
      <c r="C11" s="353"/>
      <c r="D11" s="353"/>
      <c r="E11" s="256"/>
      <c r="F11" s="394"/>
      <c r="G11" s="353"/>
      <c r="H11" s="353"/>
      <c r="I11" s="256"/>
      <c r="J11" s="256"/>
      <c r="K11" s="256"/>
      <c r="L11" s="256"/>
    </row>
    <row r="12" spans="1:12" x14ac:dyDescent="0.3">
      <c r="B12" s="396"/>
      <c r="C12" s="351"/>
      <c r="D12" s="353"/>
      <c r="E12" s="256"/>
      <c r="F12" s="395"/>
      <c r="G12" s="353"/>
      <c r="H12" s="353"/>
      <c r="I12" s="256"/>
      <c r="J12" s="256"/>
      <c r="K12" s="256"/>
      <c r="L12" s="256"/>
    </row>
    <row r="13" spans="1:12" x14ac:dyDescent="0.3">
      <c r="B13" s="368" t="s">
        <v>15</v>
      </c>
      <c r="C13" s="353"/>
      <c r="D13" s="353"/>
      <c r="E13" s="256"/>
      <c r="F13" s="394"/>
      <c r="G13" s="353"/>
      <c r="H13" s="353"/>
      <c r="I13" s="256"/>
      <c r="J13" s="256"/>
      <c r="K13" s="256"/>
      <c r="L13" s="256"/>
    </row>
    <row r="14" spans="1:12" x14ac:dyDescent="0.3">
      <c r="B14" s="256"/>
      <c r="C14" s="256"/>
      <c r="D14" s="256"/>
      <c r="E14" s="256"/>
      <c r="F14" s="393"/>
      <c r="G14" s="387"/>
      <c r="H14" s="387"/>
      <c r="I14" s="256"/>
      <c r="J14" s="256"/>
      <c r="K14" s="256"/>
      <c r="L14" s="256"/>
    </row>
    <row r="15" spans="1:12" x14ac:dyDescent="0.3">
      <c r="B15" s="256" t="s">
        <v>910</v>
      </c>
      <c r="C15" s="370">
        <f>C7/(C8-C9)</f>
        <v>16666666.666666666</v>
      </c>
      <c r="D15" s="256"/>
      <c r="E15" s="256"/>
      <c r="F15" s="392"/>
      <c r="G15" s="262"/>
      <c r="H15" s="262"/>
      <c r="I15" s="256"/>
      <c r="J15" s="256"/>
      <c r="K15" s="256"/>
      <c r="L15" s="256"/>
    </row>
    <row r="16" spans="1:12" x14ac:dyDescent="0.3">
      <c r="B16" s="256"/>
      <c r="C16" s="353"/>
      <c r="D16" s="353"/>
      <c r="E16" s="256"/>
      <c r="F16" s="256"/>
      <c r="G16" s="256"/>
      <c r="H16" s="256"/>
      <c r="I16" s="256"/>
      <c r="J16" s="256"/>
      <c r="K16" s="256"/>
      <c r="L16" s="256"/>
    </row>
    <row r="17" spans="1:13" x14ac:dyDescent="0.3">
      <c r="B17" s="256"/>
      <c r="C17" s="387"/>
      <c r="D17" s="387"/>
      <c r="E17" s="256"/>
      <c r="F17" s="256"/>
      <c r="G17" s="256"/>
      <c r="H17" s="256"/>
      <c r="I17" s="256"/>
      <c r="J17" s="256"/>
      <c r="K17" s="256"/>
      <c r="L17" s="256"/>
    </row>
    <row r="18" spans="1:13" x14ac:dyDescent="0.3">
      <c r="A18" s="83" t="s">
        <v>919</v>
      </c>
      <c r="B18" s="261" t="s">
        <v>918</v>
      </c>
      <c r="C18" s="353"/>
      <c r="D18" s="353"/>
      <c r="E18" s="256"/>
      <c r="F18" s="256"/>
      <c r="G18" s="256"/>
      <c r="H18" s="256"/>
      <c r="I18" s="256"/>
      <c r="J18" s="256"/>
      <c r="K18" s="256"/>
      <c r="L18" s="256"/>
    </row>
    <row r="19" spans="1:13" x14ac:dyDescent="0.3">
      <c r="B19" s="256" t="s">
        <v>917</v>
      </c>
      <c r="C19" s="351"/>
      <c r="D19" s="353"/>
      <c r="E19" s="256"/>
      <c r="F19" s="256"/>
      <c r="G19" s="256"/>
      <c r="H19" s="256"/>
      <c r="I19" s="256"/>
      <c r="J19" s="256"/>
      <c r="K19" s="256"/>
      <c r="L19" s="256"/>
    </row>
    <row r="20" spans="1:13" x14ac:dyDescent="0.3">
      <c r="B20" s="256" t="s">
        <v>916</v>
      </c>
      <c r="C20" s="357"/>
      <c r="D20" s="353"/>
      <c r="E20" s="256"/>
      <c r="F20" s="256"/>
      <c r="G20" s="256"/>
      <c r="H20" s="256"/>
      <c r="I20" s="256"/>
      <c r="J20" s="256"/>
      <c r="K20" s="256"/>
      <c r="L20" s="256"/>
    </row>
    <row r="21" spans="1:13" x14ac:dyDescent="0.3">
      <c r="B21" s="369"/>
      <c r="C21" s="391"/>
      <c r="D21" s="372"/>
      <c r="E21" s="256"/>
      <c r="F21" s="256"/>
      <c r="G21" s="256"/>
      <c r="H21" s="256"/>
      <c r="I21" s="256"/>
      <c r="J21" s="256"/>
      <c r="K21" s="256"/>
      <c r="L21" s="256"/>
    </row>
    <row r="22" spans="1:13" x14ac:dyDescent="0.3">
      <c r="B22" s="257" t="s">
        <v>4</v>
      </c>
      <c r="C22" s="351"/>
      <c r="D22" s="353"/>
      <c r="E22" s="256"/>
      <c r="F22" s="256"/>
      <c r="G22" s="256"/>
      <c r="H22" s="256"/>
      <c r="I22" s="256"/>
      <c r="J22" s="256"/>
      <c r="K22" s="256"/>
      <c r="L22" s="256"/>
    </row>
    <row r="23" spans="1:13" x14ac:dyDescent="0.3">
      <c r="B23" s="256" t="s">
        <v>905</v>
      </c>
      <c r="C23" s="370">
        <v>1000000</v>
      </c>
      <c r="D23" s="256"/>
      <c r="E23" s="256"/>
      <c r="F23" s="256"/>
      <c r="G23" s="256"/>
      <c r="H23" s="256"/>
      <c r="I23" s="256"/>
      <c r="J23" s="256"/>
      <c r="K23" s="256"/>
      <c r="L23" s="256"/>
    </row>
    <row r="24" spans="1:13" x14ac:dyDescent="0.3">
      <c r="B24" s="1" t="s">
        <v>915</v>
      </c>
      <c r="C24" s="120" t="s">
        <v>914</v>
      </c>
      <c r="D24" s="372" t="s">
        <v>911</v>
      </c>
      <c r="E24" s="256"/>
      <c r="F24" s="256"/>
      <c r="G24" s="256"/>
      <c r="H24" s="256"/>
      <c r="I24" s="256"/>
      <c r="J24" s="256"/>
      <c r="K24" s="256"/>
      <c r="L24" s="256"/>
    </row>
    <row r="25" spans="1:13" x14ac:dyDescent="0.3">
      <c r="B25" s="1" t="s">
        <v>913</v>
      </c>
      <c r="C25" s="120" t="s">
        <v>912</v>
      </c>
      <c r="D25" s="372" t="s">
        <v>911</v>
      </c>
      <c r="E25" s="256"/>
      <c r="F25" s="382"/>
      <c r="G25" s="382"/>
      <c r="H25" s="382"/>
      <c r="I25" s="19">
        <v>0</v>
      </c>
      <c r="J25" s="19">
        <v>1</v>
      </c>
      <c r="K25" s="19">
        <v>2</v>
      </c>
      <c r="L25" s="19">
        <v>3</v>
      </c>
      <c r="M25" s="19">
        <v>4</v>
      </c>
    </row>
    <row r="26" spans="1:13" x14ac:dyDescent="0.3">
      <c r="D26" s="256"/>
      <c r="E26" s="256"/>
      <c r="F26" s="390">
        <v>0</v>
      </c>
      <c r="G26" s="390">
        <v>1</v>
      </c>
      <c r="H26" s="390">
        <v>2</v>
      </c>
      <c r="I26" s="390">
        <v>3</v>
      </c>
      <c r="J26" s="390">
        <v>4</v>
      </c>
      <c r="K26" s="390">
        <v>5</v>
      </c>
      <c r="L26" s="390">
        <v>6</v>
      </c>
      <c r="M26" s="390">
        <v>7</v>
      </c>
    </row>
    <row r="27" spans="1:13" x14ac:dyDescent="0.3">
      <c r="B27" s="369" t="s">
        <v>83</v>
      </c>
      <c r="C27" s="357">
        <v>0.1</v>
      </c>
      <c r="D27" s="387"/>
      <c r="E27" s="382" t="s">
        <v>904</v>
      </c>
      <c r="F27" s="382"/>
      <c r="G27" s="382"/>
      <c r="H27" s="382"/>
      <c r="I27" s="382"/>
      <c r="J27" s="381">
        <f>$C$23*(1+$C$28)^J26</f>
        <v>1169858.5600000003</v>
      </c>
      <c r="K27" s="381">
        <f>$C$23*(1+$C$28)^K26</f>
        <v>1216652.9024000003</v>
      </c>
      <c r="L27" s="381">
        <f>$C$23*(1+$C$28)^L26</f>
        <v>1265319.0184960004</v>
      </c>
      <c r="M27" s="6" t="s">
        <v>94</v>
      </c>
    </row>
    <row r="28" spans="1:13" x14ac:dyDescent="0.3">
      <c r="B28" s="378" t="s">
        <v>82</v>
      </c>
      <c r="C28" s="357">
        <v>0.04</v>
      </c>
      <c r="D28" s="262"/>
      <c r="E28" s="382" t="s">
        <v>38</v>
      </c>
      <c r="F28" s="386">
        <f t="shared" ref="F28:L28" si="0">1/(1+$C$27)^F26</f>
        <v>1</v>
      </c>
      <c r="G28" s="389">
        <f t="shared" si="0"/>
        <v>0.90909090909090906</v>
      </c>
      <c r="H28" s="389">
        <f t="shared" si="0"/>
        <v>0.82644628099173545</v>
      </c>
      <c r="I28" s="389">
        <f t="shared" si="0"/>
        <v>0.75131480090157754</v>
      </c>
      <c r="J28" s="389">
        <f t="shared" si="0"/>
        <v>0.68301345536507052</v>
      </c>
      <c r="K28" s="389">
        <f t="shared" si="0"/>
        <v>0.62092132305915493</v>
      </c>
      <c r="L28" s="389">
        <f t="shared" si="0"/>
        <v>0.56447393005377722</v>
      </c>
      <c r="M28" s="388" t="s">
        <v>94</v>
      </c>
    </row>
    <row r="29" spans="1:13" x14ac:dyDescent="0.3">
      <c r="D29" s="256"/>
      <c r="E29" s="382" t="s">
        <v>39</v>
      </c>
      <c r="F29" s="382"/>
      <c r="G29" s="382"/>
      <c r="H29" s="382"/>
      <c r="I29" s="382"/>
      <c r="J29" s="381">
        <f>J27*J28</f>
        <v>799029.13735400583</v>
      </c>
      <c r="K29" s="381">
        <f>K27*K28</f>
        <v>755445.72986196901</v>
      </c>
      <c r="L29" s="381">
        <f>L27*L28</f>
        <v>714239.59914222534</v>
      </c>
      <c r="M29" s="6" t="s">
        <v>94</v>
      </c>
    </row>
    <row r="30" spans="1:13" x14ac:dyDescent="0.3">
      <c r="B30" s="365" t="s">
        <v>36</v>
      </c>
      <c r="C30" s="256"/>
      <c r="D30" s="256"/>
      <c r="E30" s="256"/>
      <c r="F30" s="256"/>
      <c r="G30" s="256"/>
      <c r="H30" s="256"/>
      <c r="I30" s="256"/>
      <c r="J30" s="256"/>
      <c r="K30" s="256"/>
      <c r="L30" s="256"/>
    </row>
    <row r="31" spans="1:13" x14ac:dyDescent="0.3">
      <c r="C31" s="353"/>
      <c r="D31" s="353"/>
      <c r="E31" s="256"/>
      <c r="F31" s="256"/>
      <c r="G31" s="256"/>
      <c r="H31" s="256"/>
      <c r="I31" s="256"/>
      <c r="J31" s="256"/>
      <c r="K31" s="256"/>
      <c r="L31" s="256"/>
    </row>
    <row r="32" spans="1:13" x14ac:dyDescent="0.3">
      <c r="B32" s="368" t="s">
        <v>15</v>
      </c>
      <c r="C32" s="351"/>
      <c r="D32" s="353"/>
      <c r="E32" s="256"/>
      <c r="F32" s="256"/>
      <c r="G32" s="256"/>
      <c r="H32" s="256"/>
      <c r="I32" s="256"/>
      <c r="J32" s="256"/>
      <c r="K32" s="256"/>
      <c r="L32" s="256"/>
    </row>
    <row r="33" spans="1:21" x14ac:dyDescent="0.3">
      <c r="C33" s="353"/>
      <c r="D33" s="353"/>
      <c r="E33" s="256"/>
      <c r="F33" s="256"/>
      <c r="G33" s="256"/>
      <c r="H33" s="256"/>
      <c r="I33" s="256"/>
      <c r="J33" s="256"/>
      <c r="K33" s="256"/>
      <c r="L33" s="256"/>
    </row>
    <row r="34" spans="1:21" x14ac:dyDescent="0.3">
      <c r="B34" s="256" t="s">
        <v>910</v>
      </c>
      <c r="C34" s="370">
        <f>(C23*(1+C28)^I26/((C27-C28)*(1+C27)^3))</f>
        <v>14085449.536689201</v>
      </c>
      <c r="D34" s="372"/>
      <c r="E34" s="256"/>
      <c r="F34" s="256"/>
      <c r="G34" s="256"/>
      <c r="H34" s="256"/>
      <c r="I34" s="256"/>
      <c r="J34" s="256"/>
      <c r="K34" s="256"/>
      <c r="L34" s="256"/>
    </row>
    <row r="35" spans="1:21" x14ac:dyDescent="0.3">
      <c r="D35" s="353"/>
      <c r="E35" s="256"/>
      <c r="F35" s="256"/>
      <c r="G35" s="256"/>
      <c r="H35" s="256"/>
      <c r="I35" s="256"/>
      <c r="J35" s="256"/>
      <c r="K35" s="256"/>
      <c r="L35" s="256"/>
    </row>
    <row r="36" spans="1:21" x14ac:dyDescent="0.3">
      <c r="D36" s="256"/>
      <c r="E36" s="256"/>
      <c r="F36" s="256"/>
      <c r="G36" s="256"/>
      <c r="H36" s="256"/>
      <c r="I36" s="256"/>
      <c r="J36" s="256"/>
      <c r="K36" s="256"/>
      <c r="L36" s="256"/>
    </row>
    <row r="37" spans="1:21" x14ac:dyDescent="0.3">
      <c r="A37" s="83" t="s">
        <v>260</v>
      </c>
      <c r="B37" s="261" t="s">
        <v>909</v>
      </c>
      <c r="C37" s="256"/>
      <c r="D37" s="353"/>
      <c r="E37" s="256"/>
      <c r="F37" s="256"/>
      <c r="G37" s="256"/>
      <c r="H37" s="256"/>
      <c r="I37" s="256"/>
      <c r="J37" s="256"/>
      <c r="K37" s="256"/>
      <c r="L37" s="256"/>
    </row>
    <row r="38" spans="1:21" x14ac:dyDescent="0.3">
      <c r="B38" s="1" t="s">
        <v>908</v>
      </c>
      <c r="D38" s="353"/>
      <c r="E38" s="256"/>
      <c r="F38" s="256"/>
      <c r="G38" s="256"/>
      <c r="H38" s="256"/>
      <c r="I38" s="256"/>
      <c r="J38" s="256"/>
      <c r="K38" s="256"/>
      <c r="L38" s="256"/>
    </row>
    <row r="39" spans="1:21" x14ac:dyDescent="0.3">
      <c r="B39" s="256" t="s">
        <v>907</v>
      </c>
      <c r="C39" s="256"/>
      <c r="D39" s="256"/>
      <c r="E39" s="256"/>
      <c r="F39" s="256"/>
      <c r="G39" s="256"/>
      <c r="H39" s="256"/>
      <c r="I39" s="256"/>
      <c r="J39" s="256"/>
      <c r="K39" s="256"/>
      <c r="L39" s="256"/>
    </row>
    <row r="40" spans="1:21" x14ac:dyDescent="0.3">
      <c r="B40" s="256" t="s">
        <v>906</v>
      </c>
      <c r="C40" s="262"/>
      <c r="D40" s="256"/>
      <c r="E40" s="256"/>
      <c r="F40" s="256"/>
      <c r="G40" s="256"/>
      <c r="H40" s="256"/>
      <c r="I40" s="256"/>
      <c r="J40" s="256"/>
      <c r="K40" s="256"/>
      <c r="L40" s="256"/>
    </row>
    <row r="41" spans="1:21" x14ac:dyDescent="0.3">
      <c r="B41" s="358"/>
      <c r="C41" s="262"/>
      <c r="D41" s="256"/>
      <c r="E41" s="256"/>
      <c r="F41" s="256"/>
      <c r="G41" s="256"/>
      <c r="H41" s="256"/>
      <c r="I41" s="256"/>
      <c r="J41" s="256"/>
      <c r="K41" s="256"/>
      <c r="L41" s="256"/>
    </row>
    <row r="42" spans="1:21" x14ac:dyDescent="0.3">
      <c r="B42" s="257" t="s">
        <v>4</v>
      </c>
      <c r="C42" s="351"/>
      <c r="D42" s="353"/>
      <c r="E42" s="256"/>
      <c r="F42" s="256"/>
      <c r="G42" s="256"/>
      <c r="H42" s="256"/>
      <c r="I42" s="256"/>
      <c r="J42" s="256"/>
      <c r="K42" s="256"/>
      <c r="L42" s="256"/>
    </row>
    <row r="43" spans="1:21" x14ac:dyDescent="0.3">
      <c r="B43" s="256" t="s">
        <v>905</v>
      </c>
      <c r="C43" s="370">
        <v>1500000</v>
      </c>
      <c r="D43" s="256"/>
      <c r="E43" s="256"/>
      <c r="F43" s="256"/>
      <c r="G43" s="256"/>
      <c r="H43" s="256"/>
      <c r="I43" s="256"/>
      <c r="J43" s="256"/>
      <c r="K43" s="256"/>
      <c r="L43" s="256"/>
    </row>
    <row r="44" spans="1:21" x14ac:dyDescent="0.3">
      <c r="B44" s="1" t="s">
        <v>5</v>
      </c>
      <c r="C44" s="120">
        <v>5</v>
      </c>
      <c r="D44" s="372" t="s">
        <v>6</v>
      </c>
      <c r="E44" s="256"/>
      <c r="F44" s="256"/>
      <c r="G44" s="256"/>
      <c r="H44" s="256"/>
      <c r="I44" s="256"/>
      <c r="J44" s="256"/>
      <c r="K44" s="256"/>
      <c r="L44" s="256"/>
    </row>
    <row r="45" spans="1:21" x14ac:dyDescent="0.3">
      <c r="B45" s="369" t="s">
        <v>83</v>
      </c>
      <c r="C45" s="357">
        <v>0.1</v>
      </c>
      <c r="D45" s="372"/>
      <c r="E45" s="256"/>
      <c r="F45" s="256"/>
      <c r="G45" s="256"/>
      <c r="H45" s="256"/>
      <c r="I45" s="256"/>
      <c r="J45" s="256"/>
      <c r="K45" s="256"/>
      <c r="L45" s="256"/>
    </row>
    <row r="46" spans="1:21" x14ac:dyDescent="0.3">
      <c r="B46" s="378" t="s">
        <v>82</v>
      </c>
      <c r="C46" s="357">
        <v>0.05</v>
      </c>
      <c r="D46" s="256"/>
      <c r="E46" s="256"/>
      <c r="F46" s="256"/>
      <c r="G46" s="256"/>
      <c r="H46" s="256"/>
      <c r="I46" s="256"/>
      <c r="J46" s="256"/>
      <c r="K46" s="256"/>
      <c r="L46" s="256"/>
    </row>
    <row r="47" spans="1:21" x14ac:dyDescent="0.3">
      <c r="D47" s="387"/>
      <c r="E47" s="256"/>
      <c r="F47" s="256"/>
      <c r="G47" s="256"/>
      <c r="H47" s="256"/>
      <c r="I47" s="256"/>
      <c r="J47" s="256"/>
      <c r="K47" s="256"/>
      <c r="L47" s="256"/>
    </row>
    <row r="48" spans="1:21" x14ac:dyDescent="0.3">
      <c r="B48" s="365" t="s">
        <v>36</v>
      </c>
      <c r="C48" s="256"/>
      <c r="D48" s="262"/>
      <c r="E48" s="256"/>
      <c r="F48" s="256"/>
      <c r="G48" s="256"/>
      <c r="H48" s="256"/>
      <c r="I48" s="256"/>
      <c r="J48" s="256"/>
      <c r="K48" s="256"/>
      <c r="L48" s="256"/>
      <c r="M48" s="382"/>
      <c r="N48" s="33">
        <v>0</v>
      </c>
      <c r="O48" s="33">
        <v>1</v>
      </c>
      <c r="P48" s="33">
        <v>2</v>
      </c>
      <c r="Q48" s="33">
        <v>3</v>
      </c>
      <c r="R48" s="33">
        <v>4</v>
      </c>
      <c r="S48" s="33">
        <v>5</v>
      </c>
      <c r="T48" s="262"/>
      <c r="U48" s="262"/>
    </row>
    <row r="49" spans="1:21" x14ac:dyDescent="0.3">
      <c r="C49" s="353"/>
      <c r="D49" s="256"/>
      <c r="E49" s="256"/>
      <c r="F49" s="256"/>
      <c r="G49" s="256"/>
      <c r="H49" s="256"/>
      <c r="I49" s="256"/>
      <c r="J49" s="256"/>
      <c r="K49" s="256"/>
      <c r="L49" s="256"/>
      <c r="M49" s="382" t="s">
        <v>904</v>
      </c>
      <c r="N49" s="382"/>
      <c r="O49" s="381">
        <f>C43</f>
        <v>1500000</v>
      </c>
      <c r="P49" s="381">
        <f>O49*(1+$C$46)</f>
        <v>1575000</v>
      </c>
      <c r="Q49" s="381">
        <f>P49*(1+$C$46)</f>
        <v>1653750</v>
      </c>
      <c r="R49" s="381">
        <f>Q49*(1+$C$46)</f>
        <v>1736437.5</v>
      </c>
      <c r="S49" s="381">
        <f>R49*(1+$C$46)</f>
        <v>1823259.375</v>
      </c>
      <c r="T49" s="243"/>
      <c r="U49" s="256"/>
    </row>
    <row r="50" spans="1:21" x14ac:dyDescent="0.3">
      <c r="B50" s="368" t="s">
        <v>15</v>
      </c>
      <c r="C50" s="351"/>
      <c r="D50" s="256"/>
      <c r="E50" s="256"/>
      <c r="F50" s="256"/>
      <c r="G50" s="256"/>
      <c r="H50" s="256"/>
      <c r="I50" s="256"/>
      <c r="J50" s="256"/>
      <c r="K50" s="256"/>
      <c r="L50" s="256"/>
      <c r="M50" s="382" t="s">
        <v>38</v>
      </c>
      <c r="N50" s="386">
        <f t="shared" ref="N50:S50" si="1">1/(1+$C$45)^N48</f>
        <v>1</v>
      </c>
      <c r="O50" s="385">
        <f t="shared" si="1"/>
        <v>0.90909090909090906</v>
      </c>
      <c r="P50" s="385">
        <f t="shared" si="1"/>
        <v>0.82644628099173545</v>
      </c>
      <c r="Q50" s="385">
        <f t="shared" si="1"/>
        <v>0.75131480090157754</v>
      </c>
      <c r="R50" s="385">
        <f t="shared" si="1"/>
        <v>0.68301345536507052</v>
      </c>
      <c r="S50" s="385">
        <f t="shared" si="1"/>
        <v>0.62092132305915493</v>
      </c>
      <c r="T50" s="384"/>
      <c r="U50" s="383"/>
    </row>
    <row r="51" spans="1:21" x14ac:dyDescent="0.3">
      <c r="C51" s="353"/>
      <c r="D51" s="353"/>
      <c r="E51" s="256"/>
      <c r="F51" s="256"/>
      <c r="G51" s="256"/>
      <c r="H51" s="256"/>
      <c r="I51" s="256"/>
      <c r="J51" s="256"/>
      <c r="K51" s="256"/>
      <c r="L51" s="256"/>
      <c r="M51" s="382" t="s">
        <v>39</v>
      </c>
      <c r="N51" s="382"/>
      <c r="O51" s="381">
        <f>O49*O50</f>
        <v>1363636.3636363635</v>
      </c>
      <c r="P51" s="381">
        <f>P49*P50</f>
        <v>1301652.8925619833</v>
      </c>
      <c r="Q51" s="381">
        <f>Q49*Q50</f>
        <v>1242486.8519909838</v>
      </c>
      <c r="R51" s="381">
        <f>R49*R50</f>
        <v>1186010.1769004846</v>
      </c>
      <c r="S51" s="381">
        <f>S49*S50</f>
        <v>1132100.6234050079</v>
      </c>
      <c r="T51" s="243"/>
      <c r="U51" s="256"/>
    </row>
    <row r="52" spans="1:21" x14ac:dyDescent="0.3">
      <c r="B52" s="256" t="s">
        <v>903</v>
      </c>
      <c r="C52" s="351">
        <f>C43*((1/(C45-C46)-((1+C46)^C44)/((C45-C46)*(1+C45)^C44)))</f>
        <v>6225886.9084948301</v>
      </c>
      <c r="D52" s="353"/>
      <c r="E52" s="256"/>
      <c r="F52" s="256"/>
      <c r="G52" s="256"/>
      <c r="H52" s="256"/>
      <c r="I52" s="256"/>
      <c r="J52" s="256"/>
      <c r="K52" s="256"/>
      <c r="L52" s="256"/>
    </row>
    <row r="53" spans="1:21" x14ac:dyDescent="0.3">
      <c r="D53" s="353"/>
      <c r="E53" s="256"/>
      <c r="F53" s="256"/>
      <c r="G53" s="256"/>
      <c r="H53" s="256"/>
      <c r="I53" s="256"/>
      <c r="J53" s="256"/>
      <c r="K53" s="256"/>
      <c r="L53" s="256"/>
      <c r="M53" s="1" t="s">
        <v>97</v>
      </c>
      <c r="N53" s="5">
        <f>SUM(O51:S51)</f>
        <v>6225886.9084948227</v>
      </c>
    </row>
    <row r="54" spans="1:21" x14ac:dyDescent="0.3">
      <c r="D54" s="372"/>
      <c r="E54" s="256"/>
      <c r="F54" s="256"/>
      <c r="G54" s="256"/>
      <c r="H54" s="256"/>
      <c r="I54" s="256"/>
      <c r="J54" s="256"/>
      <c r="K54" s="256"/>
      <c r="L54" s="256"/>
    </row>
    <row r="55" spans="1:21" x14ac:dyDescent="0.3">
      <c r="A55" s="83" t="s">
        <v>246</v>
      </c>
      <c r="B55" s="256" t="s">
        <v>902</v>
      </c>
      <c r="C55" s="256"/>
      <c r="D55" s="256"/>
      <c r="E55" s="256"/>
      <c r="F55" s="256"/>
      <c r="G55" s="256"/>
      <c r="H55" s="256"/>
      <c r="I55" s="256"/>
      <c r="J55" s="256"/>
      <c r="K55" s="256"/>
      <c r="L55" s="256"/>
    </row>
    <row r="56" spans="1:21" x14ac:dyDescent="0.3">
      <c r="B56" s="256" t="s">
        <v>901</v>
      </c>
      <c r="C56" s="256"/>
      <c r="D56" s="256"/>
      <c r="E56" s="256"/>
      <c r="F56" s="256"/>
      <c r="G56" s="256"/>
      <c r="H56" s="256"/>
      <c r="I56" s="256"/>
      <c r="J56" s="256"/>
      <c r="K56" s="256"/>
      <c r="L56" s="256"/>
    </row>
    <row r="57" spans="1:21" x14ac:dyDescent="0.3">
      <c r="B57" s="1" t="s">
        <v>900</v>
      </c>
      <c r="C57" s="256"/>
      <c r="D57" s="256"/>
      <c r="E57" s="256"/>
      <c r="F57" s="256"/>
      <c r="G57" s="256"/>
      <c r="H57" s="256"/>
      <c r="I57" s="256"/>
      <c r="J57" s="256"/>
      <c r="K57" s="256"/>
      <c r="L57" s="256"/>
    </row>
    <row r="58" spans="1:21" x14ac:dyDescent="0.3">
      <c r="B58" s="1" t="s">
        <v>899</v>
      </c>
      <c r="C58" s="256"/>
      <c r="D58" s="256"/>
      <c r="E58" s="256"/>
      <c r="F58" s="256"/>
      <c r="G58" s="256"/>
      <c r="H58" s="256"/>
      <c r="I58" s="256"/>
      <c r="J58" s="256"/>
      <c r="K58" s="256"/>
      <c r="L58" s="256"/>
    </row>
    <row r="59" spans="1:21" x14ac:dyDescent="0.3">
      <c r="C59" s="256"/>
      <c r="D59" s="256"/>
      <c r="E59" s="256"/>
      <c r="F59" s="256"/>
      <c r="G59" s="256"/>
      <c r="H59" s="256"/>
      <c r="I59" s="256"/>
      <c r="J59" s="256"/>
      <c r="K59" s="256"/>
      <c r="L59" s="256"/>
    </row>
    <row r="60" spans="1:21" x14ac:dyDescent="0.3">
      <c r="B60" s="256" t="s">
        <v>898</v>
      </c>
      <c r="C60" s="256"/>
      <c r="D60" s="256"/>
      <c r="E60" s="256"/>
      <c r="F60" s="256"/>
      <c r="G60" s="256"/>
      <c r="H60" s="256"/>
      <c r="I60" s="256"/>
      <c r="J60" s="256"/>
      <c r="K60" s="256"/>
      <c r="L60" s="256"/>
    </row>
    <row r="61" spans="1:21" x14ac:dyDescent="0.3">
      <c r="B61" s="256" t="s">
        <v>897</v>
      </c>
      <c r="C61" s="256"/>
      <c r="D61" s="256"/>
      <c r="E61" s="256"/>
      <c r="F61" s="256"/>
      <c r="G61" s="256"/>
      <c r="H61" s="256"/>
      <c r="I61" s="256"/>
      <c r="J61" s="256"/>
      <c r="K61" s="256"/>
      <c r="L61" s="256"/>
    </row>
    <row r="62" spans="1:21" x14ac:dyDescent="0.3">
      <c r="B62" s="256" t="s">
        <v>896</v>
      </c>
      <c r="C62" s="256"/>
      <c r="D62" s="256"/>
      <c r="E62" s="256"/>
      <c r="F62" s="256"/>
      <c r="G62" s="256"/>
      <c r="H62" s="256"/>
      <c r="I62" s="256"/>
      <c r="J62" s="256"/>
      <c r="K62" s="256"/>
      <c r="L62" s="256"/>
    </row>
    <row r="63" spans="1:21" x14ac:dyDescent="0.3">
      <c r="B63" s="256"/>
      <c r="C63" s="256"/>
      <c r="D63" s="256"/>
      <c r="E63" s="256"/>
      <c r="F63" s="256"/>
      <c r="G63" s="256"/>
      <c r="H63" s="256"/>
      <c r="I63" s="256"/>
      <c r="J63" s="256"/>
      <c r="K63" s="256"/>
      <c r="L63" s="256"/>
    </row>
    <row r="64" spans="1:21" x14ac:dyDescent="0.3">
      <c r="B64" s="257" t="s">
        <v>4</v>
      </c>
      <c r="C64" s="351"/>
      <c r="D64" s="353"/>
      <c r="E64" s="256"/>
      <c r="F64" s="256"/>
      <c r="G64" s="256"/>
      <c r="H64" s="256"/>
      <c r="I64" s="256"/>
      <c r="J64" s="256"/>
      <c r="K64" s="256"/>
      <c r="L64" s="256"/>
    </row>
    <row r="65" spans="2:12" x14ac:dyDescent="0.3">
      <c r="B65" s="256" t="s">
        <v>895</v>
      </c>
      <c r="C65" s="357">
        <v>0.02</v>
      </c>
      <c r="D65" s="256" t="s">
        <v>894</v>
      </c>
      <c r="E65" s="256"/>
      <c r="F65" s="256"/>
      <c r="G65" s="256"/>
      <c r="H65" s="256"/>
      <c r="I65" s="256"/>
      <c r="J65" s="256"/>
      <c r="K65" s="256"/>
      <c r="L65" s="256"/>
    </row>
    <row r="66" spans="2:12" x14ac:dyDescent="0.3">
      <c r="B66" s="1" t="s">
        <v>893</v>
      </c>
      <c r="C66" s="380">
        <v>0.03</v>
      </c>
      <c r="D66" s="372"/>
      <c r="E66" s="256"/>
      <c r="F66" s="256"/>
      <c r="G66" s="256"/>
      <c r="H66" s="256"/>
      <c r="I66" s="256"/>
      <c r="J66" s="256"/>
      <c r="K66" s="256"/>
      <c r="L66" s="256"/>
    </row>
    <row r="67" spans="2:12" x14ac:dyDescent="0.3">
      <c r="B67" s="369" t="s">
        <v>892</v>
      </c>
      <c r="C67" s="379">
        <v>3.5000000000000003E-2</v>
      </c>
      <c r="D67" s="372"/>
      <c r="E67" s="256"/>
      <c r="F67" s="256"/>
      <c r="G67" s="256"/>
      <c r="H67" s="256"/>
      <c r="I67" s="256"/>
      <c r="J67" s="256"/>
      <c r="K67" s="256"/>
      <c r="L67" s="256"/>
    </row>
    <row r="68" spans="2:12" x14ac:dyDescent="0.3">
      <c r="B68" s="378" t="s">
        <v>891</v>
      </c>
      <c r="C68" s="357">
        <v>0.04</v>
      </c>
      <c r="D68" s="256"/>
      <c r="E68" s="256"/>
      <c r="F68" s="256"/>
      <c r="G68" s="256"/>
      <c r="H68" s="256"/>
      <c r="I68" s="256"/>
      <c r="J68" s="256"/>
      <c r="K68" s="256"/>
      <c r="L68" s="256"/>
    </row>
    <row r="69" spans="2:12" x14ac:dyDescent="0.3">
      <c r="B69" s="1" t="s">
        <v>811</v>
      </c>
      <c r="C69" s="120" t="s">
        <v>890</v>
      </c>
      <c r="D69" s="377" t="s">
        <v>889</v>
      </c>
      <c r="E69" s="256"/>
      <c r="F69" s="376"/>
      <c r="G69" s="262"/>
      <c r="H69" s="256"/>
      <c r="I69" s="256"/>
      <c r="J69" s="256"/>
      <c r="K69" s="256"/>
      <c r="L69" s="256"/>
    </row>
    <row r="70" spans="2:12" x14ac:dyDescent="0.3">
      <c r="B70" s="1" t="s">
        <v>878</v>
      </c>
      <c r="C70" s="48">
        <v>2.5000000000000001E-3</v>
      </c>
      <c r="D70" s="262"/>
      <c r="E70" s="256"/>
      <c r="F70" s="376"/>
      <c r="G70" s="118"/>
      <c r="H70" s="256"/>
      <c r="I70" s="256"/>
      <c r="J70" s="269"/>
      <c r="K70" s="256"/>
      <c r="L70" s="256"/>
    </row>
    <row r="71" spans="2:12" x14ac:dyDescent="0.3">
      <c r="B71" s="1" t="s">
        <v>888</v>
      </c>
      <c r="C71" s="288">
        <v>6.0000000000000001E-3</v>
      </c>
      <c r="D71" s="256"/>
      <c r="E71" s="256"/>
      <c r="F71" s="376"/>
      <c r="G71" s="118"/>
      <c r="H71" s="256"/>
      <c r="I71" s="256"/>
      <c r="J71" s="256"/>
      <c r="K71" s="256"/>
      <c r="L71" s="256"/>
    </row>
    <row r="72" spans="2:12" x14ac:dyDescent="0.3">
      <c r="D72" s="256"/>
      <c r="E72" s="256"/>
      <c r="F72" s="376"/>
      <c r="G72" s="118"/>
      <c r="H72" s="256"/>
      <c r="I72" s="256"/>
      <c r="J72" s="269"/>
      <c r="K72" s="256"/>
      <c r="L72" s="256"/>
    </row>
    <row r="73" spans="2:12" x14ac:dyDescent="0.3">
      <c r="B73" s="365" t="s">
        <v>887</v>
      </c>
      <c r="C73" s="256"/>
      <c r="D73" s="353"/>
      <c r="E73" s="256"/>
      <c r="F73" s="376"/>
      <c r="G73" s="118"/>
      <c r="H73" s="256"/>
      <c r="I73" s="256"/>
      <c r="J73" s="269"/>
      <c r="K73" s="256"/>
      <c r="L73" s="256"/>
    </row>
    <row r="74" spans="2:12" x14ac:dyDescent="0.3">
      <c r="B74" s="1" t="s">
        <v>886</v>
      </c>
      <c r="C74" s="353"/>
      <c r="D74" s="353"/>
      <c r="E74" s="256"/>
      <c r="F74" s="256"/>
      <c r="G74" s="375"/>
      <c r="H74" s="256"/>
      <c r="I74" s="256"/>
      <c r="J74" s="256"/>
      <c r="K74" s="256"/>
      <c r="L74" s="256"/>
    </row>
    <row r="75" spans="2:12" x14ac:dyDescent="0.3">
      <c r="B75" s="1" t="s">
        <v>885</v>
      </c>
      <c r="D75" s="256"/>
      <c r="E75" s="256"/>
      <c r="F75" s="256"/>
      <c r="G75" s="256"/>
      <c r="H75" s="256"/>
      <c r="I75" s="256"/>
      <c r="J75" s="256"/>
      <c r="K75" s="256"/>
      <c r="L75" s="256"/>
    </row>
    <row r="76" spans="2:12" x14ac:dyDescent="0.3">
      <c r="D76" s="256"/>
      <c r="E76" s="256"/>
      <c r="F76" s="256"/>
      <c r="G76" s="256"/>
      <c r="H76" s="256"/>
      <c r="I76" s="256"/>
      <c r="J76" s="256"/>
      <c r="K76" s="256"/>
      <c r="L76" s="256"/>
    </row>
    <row r="77" spans="2:12" x14ac:dyDescent="0.3">
      <c r="B77" s="368" t="s">
        <v>15</v>
      </c>
      <c r="D77" s="256"/>
      <c r="E77" s="256"/>
      <c r="F77" s="256"/>
      <c r="G77" s="256"/>
      <c r="H77" s="256"/>
      <c r="I77" s="256"/>
      <c r="J77" s="256"/>
      <c r="K77" s="256"/>
      <c r="L77" s="256"/>
    </row>
    <row r="78" spans="2:12" x14ac:dyDescent="0.3">
      <c r="B78" s="256"/>
      <c r="C78" s="351"/>
      <c r="D78" s="256"/>
      <c r="E78" s="256"/>
      <c r="F78" s="256"/>
      <c r="G78" s="256"/>
      <c r="H78" s="256"/>
      <c r="I78" s="256"/>
      <c r="J78" s="256"/>
      <c r="K78" s="256"/>
      <c r="L78" s="256"/>
    </row>
    <row r="79" spans="2:12" x14ac:dyDescent="0.3">
      <c r="B79" s="1" t="s">
        <v>155</v>
      </c>
      <c r="C79" s="351"/>
      <c r="D79" s="256"/>
      <c r="E79" s="256"/>
      <c r="F79" s="256"/>
      <c r="G79" s="256"/>
      <c r="H79" s="256"/>
      <c r="I79" s="256"/>
      <c r="J79" s="256"/>
      <c r="K79" s="256"/>
      <c r="L79" s="256"/>
    </row>
    <row r="80" spans="2:12" x14ac:dyDescent="0.3">
      <c r="B80" s="1" t="s">
        <v>884</v>
      </c>
      <c r="C80" s="92">
        <f>0.1*0</f>
        <v>0</v>
      </c>
      <c r="D80" s="256"/>
      <c r="E80" s="256"/>
      <c r="F80" s="256"/>
      <c r="G80" s="256"/>
      <c r="H80" s="256"/>
      <c r="I80" s="256"/>
      <c r="J80" s="256"/>
      <c r="K80" s="256"/>
      <c r="L80" s="256"/>
    </row>
    <row r="81" spans="2:12" x14ac:dyDescent="0.3">
      <c r="B81" s="1" t="s">
        <v>883</v>
      </c>
      <c r="C81" s="374">
        <f>C65+C66</f>
        <v>0.05</v>
      </c>
      <c r="D81" s="256"/>
      <c r="E81" s="256"/>
      <c r="F81" s="256"/>
      <c r="G81" s="256"/>
      <c r="H81" s="256"/>
      <c r="I81" s="256"/>
      <c r="J81" s="256"/>
      <c r="K81" s="256"/>
      <c r="L81" s="256"/>
    </row>
    <row r="82" spans="2:12" x14ac:dyDescent="0.3">
      <c r="C82" s="256"/>
      <c r="D82" s="256"/>
      <c r="E82" s="256"/>
      <c r="F82" s="256"/>
      <c r="G82" s="256"/>
      <c r="H82" s="256"/>
      <c r="I82" s="256"/>
      <c r="J82" s="256"/>
      <c r="K82" s="256"/>
      <c r="L82" s="256"/>
    </row>
    <row r="83" spans="2:12" x14ac:dyDescent="0.3">
      <c r="B83" s="1" t="s">
        <v>150</v>
      </c>
      <c r="C83" s="351"/>
      <c r="D83" s="256"/>
      <c r="E83" s="256"/>
      <c r="F83" s="256"/>
      <c r="G83" s="256"/>
      <c r="H83" s="256"/>
      <c r="I83" s="256"/>
      <c r="J83" s="256"/>
      <c r="K83" s="256"/>
      <c r="L83" s="256"/>
    </row>
    <row r="84" spans="2:12" x14ac:dyDescent="0.3">
      <c r="B84" s="1" t="s">
        <v>880</v>
      </c>
      <c r="C84" s="288">
        <f>(C66+C67+C68)/3</f>
        <v>3.5000000000000003E-2</v>
      </c>
      <c r="D84" s="256"/>
      <c r="E84" s="256"/>
      <c r="F84" s="256"/>
      <c r="G84" s="256"/>
      <c r="H84" s="256"/>
      <c r="I84" s="256"/>
      <c r="J84" s="256"/>
      <c r="K84" s="256"/>
      <c r="L84" s="256"/>
    </row>
    <row r="85" spans="2:12" x14ac:dyDescent="0.3">
      <c r="B85" s="1" t="s">
        <v>879</v>
      </c>
      <c r="C85" s="106">
        <f>0.1*(3-1)%</f>
        <v>2E-3</v>
      </c>
      <c r="D85" s="256"/>
      <c r="E85" s="256"/>
      <c r="F85" s="256"/>
      <c r="G85" s="256"/>
      <c r="H85" s="256"/>
      <c r="I85" s="256"/>
      <c r="J85" s="256"/>
      <c r="K85" s="256"/>
      <c r="L85" s="256"/>
    </row>
    <row r="86" spans="2:12" x14ac:dyDescent="0.3">
      <c r="B86" s="256"/>
      <c r="C86" s="351"/>
      <c r="D86" s="256"/>
      <c r="E86" s="256"/>
      <c r="F86" s="256"/>
      <c r="G86" s="256"/>
      <c r="H86" s="256"/>
      <c r="I86" s="256"/>
      <c r="J86" s="256"/>
      <c r="K86" s="256"/>
      <c r="L86" s="256"/>
    </row>
    <row r="87" spans="2:12" x14ac:dyDescent="0.3">
      <c r="B87" s="1" t="s">
        <v>882</v>
      </c>
      <c r="C87" s="373">
        <f>C65+C84+C85</f>
        <v>5.7000000000000009E-2</v>
      </c>
      <c r="D87" s="256"/>
      <c r="E87" s="256"/>
      <c r="F87" s="256"/>
      <c r="G87" s="256"/>
      <c r="H87" s="256"/>
      <c r="I87" s="256"/>
      <c r="J87" s="256"/>
      <c r="K87" s="256"/>
      <c r="L87" s="256"/>
    </row>
    <row r="88" spans="2:12" x14ac:dyDescent="0.3">
      <c r="B88" s="256"/>
      <c r="C88" s="357"/>
      <c r="D88" s="256"/>
      <c r="E88" s="256"/>
      <c r="F88" s="256"/>
      <c r="G88" s="256"/>
      <c r="H88" s="256"/>
      <c r="I88" s="256"/>
      <c r="J88" s="256"/>
      <c r="K88" s="256"/>
      <c r="L88" s="256"/>
    </row>
    <row r="89" spans="2:12" x14ac:dyDescent="0.3">
      <c r="B89" s="1" t="s">
        <v>881</v>
      </c>
      <c r="C89" s="351"/>
      <c r="D89" s="256"/>
      <c r="E89" s="256"/>
      <c r="F89" s="256"/>
      <c r="G89" s="256"/>
      <c r="H89" s="256"/>
      <c r="I89" s="256"/>
      <c r="J89" s="256"/>
      <c r="K89" s="256"/>
      <c r="L89" s="256"/>
    </row>
    <row r="90" spans="2:12" x14ac:dyDescent="0.3">
      <c r="B90" s="1" t="s">
        <v>880</v>
      </c>
      <c r="C90" s="288">
        <f>(C68+C67+C66)/3</f>
        <v>3.5000000000000003E-2</v>
      </c>
      <c r="D90" s="256"/>
      <c r="E90" s="256"/>
      <c r="F90" s="256"/>
      <c r="G90" s="256"/>
      <c r="H90" s="256"/>
      <c r="I90" s="256"/>
      <c r="J90" s="256"/>
      <c r="K90" s="256"/>
      <c r="L90" s="256"/>
    </row>
    <row r="91" spans="2:12" x14ac:dyDescent="0.3">
      <c r="B91" s="1" t="s">
        <v>879</v>
      </c>
      <c r="C91" s="106">
        <f>0.1*(3-1)%</f>
        <v>2E-3</v>
      </c>
      <c r="D91" s="256"/>
      <c r="E91" s="256"/>
      <c r="F91" s="256"/>
      <c r="G91" s="256"/>
      <c r="H91" s="256"/>
      <c r="I91" s="256"/>
      <c r="J91" s="256"/>
      <c r="K91" s="256"/>
      <c r="L91" s="256"/>
    </row>
    <row r="92" spans="2:12" x14ac:dyDescent="0.3">
      <c r="B92" s="256" t="s">
        <v>878</v>
      </c>
      <c r="C92" s="106">
        <v>2.5000000000000001E-3</v>
      </c>
      <c r="D92" s="256"/>
      <c r="E92" s="256"/>
      <c r="F92" s="256"/>
      <c r="G92" s="256"/>
      <c r="H92" s="256"/>
      <c r="I92" s="256"/>
      <c r="J92" s="256"/>
      <c r="K92" s="256"/>
      <c r="L92" s="256"/>
    </row>
    <row r="93" spans="2:12" x14ac:dyDescent="0.3">
      <c r="D93" s="256"/>
      <c r="E93" s="256"/>
      <c r="F93" s="256"/>
      <c r="G93" s="256"/>
      <c r="H93" s="256"/>
      <c r="I93" s="256"/>
      <c r="J93" s="256"/>
      <c r="K93" s="256"/>
      <c r="L93" s="256"/>
    </row>
    <row r="94" spans="2:12" x14ac:dyDescent="0.3">
      <c r="B94" s="1" t="s">
        <v>877</v>
      </c>
      <c r="D94" s="364">
        <f>C65+C90+C91+C70+C71</f>
        <v>6.5500000000000017E-2</v>
      </c>
      <c r="E94" s="256"/>
      <c r="F94" s="256"/>
      <c r="G94" s="256"/>
      <c r="H94" s="256"/>
      <c r="I94" s="256"/>
      <c r="J94" s="256"/>
      <c r="K94" s="256"/>
      <c r="L94" s="256"/>
    </row>
    <row r="95" spans="2:12" x14ac:dyDescent="0.3">
      <c r="D95" s="256"/>
      <c r="E95" s="256"/>
      <c r="F95" s="256"/>
      <c r="G95" s="256"/>
      <c r="H95" s="256"/>
      <c r="I95" s="256"/>
      <c r="J95" s="256"/>
      <c r="K95" s="256"/>
      <c r="L95" s="256"/>
    </row>
    <row r="96" spans="2:12" x14ac:dyDescent="0.3">
      <c r="B96" s="256"/>
      <c r="C96" s="256"/>
      <c r="D96" s="256"/>
      <c r="E96" s="256"/>
      <c r="F96" s="256"/>
      <c r="G96" s="256"/>
      <c r="H96" s="256"/>
      <c r="I96" s="256"/>
      <c r="J96" s="256"/>
      <c r="K96" s="256"/>
      <c r="L96" s="256"/>
    </row>
    <row r="97" spans="1:12" x14ac:dyDescent="0.3">
      <c r="A97" s="83" t="s">
        <v>229</v>
      </c>
      <c r="B97" s="66" t="s">
        <v>876</v>
      </c>
      <c r="C97" s="256"/>
      <c r="D97" s="256"/>
      <c r="E97" s="256"/>
      <c r="F97" s="256"/>
      <c r="G97" s="256"/>
      <c r="H97" s="256"/>
      <c r="I97" s="256"/>
      <c r="J97" s="256"/>
      <c r="K97" s="256"/>
      <c r="L97" s="256"/>
    </row>
    <row r="98" spans="1:12" x14ac:dyDescent="0.3">
      <c r="B98" s="256"/>
      <c r="C98" s="256"/>
      <c r="D98" s="256"/>
      <c r="E98" s="256"/>
      <c r="F98" s="256"/>
      <c r="G98" s="256"/>
      <c r="H98" s="256"/>
      <c r="I98" s="256"/>
      <c r="J98" s="256"/>
      <c r="K98" s="256"/>
      <c r="L98" s="256"/>
    </row>
    <row r="99" spans="1:12" x14ac:dyDescent="0.3">
      <c r="B99" s="257" t="s">
        <v>4</v>
      </c>
      <c r="C99" s="351"/>
      <c r="D99" s="256"/>
      <c r="E99" s="256"/>
      <c r="F99" s="256"/>
      <c r="G99" s="256"/>
      <c r="H99" s="256"/>
      <c r="I99" s="256"/>
      <c r="J99" s="256"/>
      <c r="K99" s="256"/>
      <c r="L99" s="256"/>
    </row>
    <row r="100" spans="1:12" x14ac:dyDescent="0.3">
      <c r="B100" s="256" t="s">
        <v>8</v>
      </c>
      <c r="C100" s="370">
        <v>1000</v>
      </c>
      <c r="D100" s="256"/>
      <c r="E100" s="256"/>
      <c r="F100" s="256"/>
      <c r="G100" s="256"/>
      <c r="H100" s="256"/>
      <c r="I100" s="256"/>
      <c r="J100" s="256"/>
      <c r="K100" s="256"/>
      <c r="L100" s="256"/>
    </row>
    <row r="101" spans="1:12" x14ac:dyDescent="0.3">
      <c r="B101" s="1" t="s">
        <v>69</v>
      </c>
      <c r="C101" s="370">
        <v>900</v>
      </c>
      <c r="D101" s="256"/>
      <c r="E101" s="256"/>
      <c r="F101" s="256"/>
      <c r="G101" s="256"/>
      <c r="H101" s="256"/>
      <c r="I101" s="256"/>
      <c r="J101" s="256"/>
      <c r="K101" s="256"/>
      <c r="L101" s="256"/>
    </row>
    <row r="102" spans="1:12" x14ac:dyDescent="0.3">
      <c r="B102" s="369" t="s">
        <v>870</v>
      </c>
      <c r="C102" s="357">
        <v>0.06</v>
      </c>
      <c r="D102" s="353"/>
      <c r="E102" s="256"/>
      <c r="F102" s="256"/>
      <c r="G102" s="256"/>
      <c r="H102" s="256"/>
      <c r="I102" s="256"/>
      <c r="J102" s="256"/>
      <c r="K102" s="256"/>
      <c r="L102" s="256"/>
    </row>
    <row r="103" spans="1:12" x14ac:dyDescent="0.3">
      <c r="D103" s="353"/>
      <c r="E103" s="256"/>
      <c r="F103" s="256"/>
      <c r="G103" s="256"/>
      <c r="H103" s="256"/>
      <c r="I103" s="256"/>
      <c r="J103" s="256"/>
      <c r="K103" s="256"/>
      <c r="L103" s="256"/>
    </row>
    <row r="104" spans="1:12" x14ac:dyDescent="0.3">
      <c r="B104" s="365" t="s">
        <v>869</v>
      </c>
      <c r="C104" s="256"/>
      <c r="D104" s="353"/>
      <c r="E104" s="256"/>
      <c r="F104" s="256"/>
      <c r="G104" s="256"/>
      <c r="H104" s="256"/>
      <c r="I104" s="256"/>
      <c r="J104" s="256"/>
      <c r="K104" s="256"/>
      <c r="L104" s="256"/>
    </row>
    <row r="105" spans="1:12" x14ac:dyDescent="0.3">
      <c r="C105" s="353"/>
      <c r="D105" s="372"/>
      <c r="E105" s="256"/>
      <c r="F105" s="256"/>
      <c r="G105" s="256"/>
      <c r="H105" s="256"/>
      <c r="I105" s="256"/>
      <c r="J105" s="256"/>
      <c r="K105" s="256"/>
      <c r="L105" s="256"/>
    </row>
    <row r="106" spans="1:12" x14ac:dyDescent="0.3">
      <c r="B106" s="368" t="s">
        <v>15</v>
      </c>
      <c r="C106" s="353"/>
      <c r="D106" s="353"/>
      <c r="E106" s="256"/>
      <c r="F106" s="256"/>
      <c r="G106" s="256"/>
      <c r="H106" s="256"/>
      <c r="I106" s="256"/>
      <c r="J106" s="256"/>
      <c r="K106" s="256"/>
      <c r="L106" s="256"/>
    </row>
    <row r="107" spans="1:12" x14ac:dyDescent="0.3">
      <c r="B107" s="256"/>
      <c r="C107" s="256"/>
      <c r="D107" s="256"/>
      <c r="E107" s="256"/>
      <c r="F107" s="256"/>
      <c r="G107" s="256"/>
      <c r="H107" s="256"/>
      <c r="I107" s="256"/>
      <c r="J107" s="256"/>
      <c r="K107" s="256"/>
      <c r="L107" s="256"/>
    </row>
    <row r="108" spans="1:12" x14ac:dyDescent="0.3">
      <c r="B108" s="256" t="s">
        <v>867</v>
      </c>
      <c r="C108" s="370">
        <f>C102*C100</f>
        <v>60</v>
      </c>
      <c r="D108" s="353"/>
      <c r="E108" s="256"/>
      <c r="F108" s="256"/>
      <c r="G108" s="256"/>
      <c r="H108" s="256"/>
      <c r="I108" s="256"/>
      <c r="J108" s="256"/>
      <c r="K108" s="256"/>
      <c r="L108" s="256"/>
    </row>
    <row r="109" spans="1:12" x14ac:dyDescent="0.3">
      <c r="B109" s="355"/>
      <c r="C109" s="256"/>
      <c r="D109" s="353"/>
      <c r="E109" s="256"/>
      <c r="F109" s="256"/>
      <c r="G109" s="262"/>
      <c r="H109" s="262"/>
      <c r="I109" s="262"/>
      <c r="J109" s="256"/>
      <c r="K109" s="256"/>
      <c r="L109" s="256"/>
    </row>
    <row r="110" spans="1:12" x14ac:dyDescent="0.3">
      <c r="B110" s="365" t="s">
        <v>865</v>
      </c>
      <c r="C110" s="364">
        <f>C108/C101</f>
        <v>6.6666666666666666E-2</v>
      </c>
      <c r="D110" s="256"/>
      <c r="E110" s="256"/>
      <c r="F110" s="256"/>
      <c r="G110" s="243"/>
      <c r="H110" s="269"/>
      <c r="I110" s="256"/>
      <c r="J110" s="256"/>
      <c r="K110" s="256"/>
      <c r="L110" s="256"/>
    </row>
    <row r="111" spans="1:12" x14ac:dyDescent="0.3">
      <c r="B111" s="256"/>
      <c r="C111" s="370"/>
      <c r="D111" s="256"/>
      <c r="E111" s="256"/>
      <c r="F111" s="256"/>
      <c r="G111" s="360"/>
      <c r="H111" s="360"/>
      <c r="I111" s="256"/>
      <c r="J111" s="256"/>
      <c r="K111" s="256"/>
      <c r="L111" s="256"/>
    </row>
    <row r="112" spans="1:12" x14ac:dyDescent="0.3">
      <c r="B112" s="256"/>
      <c r="C112" s="256"/>
      <c r="D112" s="256"/>
      <c r="E112" s="256"/>
      <c r="F112" s="256"/>
      <c r="G112" s="243"/>
      <c r="H112" s="243"/>
      <c r="I112" s="256"/>
      <c r="J112" s="256"/>
      <c r="K112" s="256"/>
      <c r="L112" s="256"/>
    </row>
    <row r="113" spans="1:12" x14ac:dyDescent="0.3">
      <c r="A113" s="83" t="s">
        <v>875</v>
      </c>
      <c r="B113" s="66" t="s">
        <v>874</v>
      </c>
      <c r="C113" s="371"/>
      <c r="D113" s="256"/>
      <c r="E113" s="256"/>
      <c r="F113" s="256"/>
      <c r="G113" s="256"/>
      <c r="H113" s="256"/>
      <c r="I113" s="256"/>
      <c r="J113" s="256"/>
      <c r="K113" s="256"/>
      <c r="L113" s="256"/>
    </row>
    <row r="114" spans="1:12" x14ac:dyDescent="0.3">
      <c r="B114" s="256"/>
      <c r="C114" s="256"/>
      <c r="D114" s="256"/>
      <c r="E114" s="256"/>
      <c r="F114" s="256"/>
      <c r="G114" s="256"/>
      <c r="H114" s="256"/>
      <c r="I114" s="256"/>
      <c r="J114" s="256"/>
      <c r="K114" s="256"/>
      <c r="L114" s="256"/>
    </row>
    <row r="115" spans="1:12" x14ac:dyDescent="0.3">
      <c r="B115" s="257" t="s">
        <v>4</v>
      </c>
      <c r="C115" s="351"/>
      <c r="D115" s="256"/>
      <c r="E115" s="256"/>
      <c r="F115" s="256"/>
      <c r="G115" s="256"/>
      <c r="H115" s="256"/>
      <c r="I115" s="256"/>
      <c r="J115" s="256"/>
      <c r="K115" s="256"/>
      <c r="L115" s="256"/>
    </row>
    <row r="116" spans="1:12" x14ac:dyDescent="0.3">
      <c r="B116" s="256" t="s">
        <v>8</v>
      </c>
      <c r="C116" s="370">
        <v>1000</v>
      </c>
      <c r="D116" s="256"/>
      <c r="E116" s="256"/>
      <c r="F116" s="256"/>
      <c r="G116" s="256"/>
      <c r="H116" s="256"/>
      <c r="I116" s="256"/>
      <c r="J116" s="256"/>
      <c r="K116" s="256"/>
      <c r="L116" s="256"/>
    </row>
    <row r="117" spans="1:12" x14ac:dyDescent="0.3">
      <c r="B117" s="1" t="s">
        <v>69</v>
      </c>
      <c r="C117" s="370">
        <v>1100</v>
      </c>
      <c r="D117" s="256"/>
      <c r="E117" s="256"/>
      <c r="F117" s="256"/>
      <c r="G117" s="256"/>
      <c r="H117" s="256"/>
      <c r="I117" s="256"/>
      <c r="J117" s="256"/>
      <c r="K117" s="256"/>
      <c r="L117" s="256"/>
    </row>
    <row r="118" spans="1:12" x14ac:dyDescent="0.3">
      <c r="B118" s="369" t="s">
        <v>870</v>
      </c>
      <c r="C118" s="357">
        <v>0.06</v>
      </c>
      <c r="D118" s="256"/>
      <c r="E118" s="256"/>
      <c r="F118" s="256"/>
      <c r="G118" s="256"/>
      <c r="H118" s="256"/>
      <c r="I118" s="256"/>
      <c r="J118" s="256"/>
      <c r="K118" s="256"/>
      <c r="L118" s="256"/>
    </row>
    <row r="119" spans="1:12" x14ac:dyDescent="0.3">
      <c r="D119" s="256"/>
      <c r="E119" s="256"/>
      <c r="F119" s="256"/>
      <c r="G119" s="256"/>
      <c r="H119" s="256"/>
      <c r="I119" s="256"/>
      <c r="J119" s="256"/>
      <c r="K119" s="256"/>
      <c r="L119" s="256"/>
    </row>
    <row r="120" spans="1:12" x14ac:dyDescent="0.3">
      <c r="B120" s="365" t="s">
        <v>869</v>
      </c>
      <c r="C120" s="256"/>
      <c r="D120" s="256"/>
      <c r="E120" s="256"/>
      <c r="F120" s="256"/>
      <c r="G120" s="256"/>
      <c r="H120" s="256"/>
      <c r="I120" s="256"/>
      <c r="J120" s="256"/>
      <c r="K120" s="256"/>
      <c r="L120" s="256"/>
    </row>
    <row r="121" spans="1:12" x14ac:dyDescent="0.3">
      <c r="C121" s="353"/>
      <c r="D121" s="256"/>
      <c r="E121" s="256"/>
      <c r="F121" s="256"/>
      <c r="G121" s="256"/>
      <c r="H121" s="256"/>
      <c r="I121" s="256"/>
      <c r="J121" s="256"/>
      <c r="K121" s="256"/>
      <c r="L121" s="256"/>
    </row>
    <row r="122" spans="1:12" x14ac:dyDescent="0.3">
      <c r="B122" s="368" t="s">
        <v>15</v>
      </c>
      <c r="C122" s="353"/>
      <c r="D122" s="256"/>
      <c r="E122" s="256"/>
      <c r="F122" s="256"/>
      <c r="G122" s="256"/>
      <c r="H122" s="256"/>
      <c r="I122" s="256"/>
      <c r="J122" s="256"/>
      <c r="K122" s="256"/>
      <c r="L122" s="256"/>
    </row>
    <row r="123" spans="1:12" x14ac:dyDescent="0.3">
      <c r="B123" s="256"/>
      <c r="C123" s="256"/>
      <c r="D123" s="256"/>
      <c r="E123" s="256"/>
      <c r="F123" s="256"/>
      <c r="G123" s="256"/>
      <c r="H123" s="256"/>
      <c r="I123" s="256"/>
      <c r="J123" s="256"/>
      <c r="K123" s="256"/>
      <c r="L123" s="256"/>
    </row>
    <row r="124" spans="1:12" x14ac:dyDescent="0.3">
      <c r="B124" s="256" t="s">
        <v>867</v>
      </c>
      <c r="C124" s="370">
        <f>C118*C116</f>
        <v>60</v>
      </c>
      <c r="D124" s="256"/>
      <c r="E124" s="256"/>
      <c r="F124" s="256"/>
      <c r="G124" s="256"/>
      <c r="H124" s="256"/>
      <c r="I124" s="256"/>
      <c r="J124" s="256"/>
      <c r="K124" s="256"/>
      <c r="L124" s="256"/>
    </row>
    <row r="125" spans="1:12" x14ac:dyDescent="0.3">
      <c r="B125" s="355"/>
      <c r="C125" s="256"/>
      <c r="D125" s="256"/>
      <c r="E125" s="256"/>
      <c r="F125" s="256"/>
      <c r="G125" s="256"/>
      <c r="H125" s="256"/>
      <c r="I125" s="256"/>
      <c r="J125" s="256"/>
      <c r="K125" s="256"/>
      <c r="L125" s="256"/>
    </row>
    <row r="126" spans="1:12" x14ac:dyDescent="0.3">
      <c r="B126" s="365" t="s">
        <v>865</v>
      </c>
      <c r="C126" s="364">
        <f>C124/C117</f>
        <v>5.4545454545454543E-2</v>
      </c>
      <c r="D126" s="256"/>
      <c r="E126" s="256"/>
      <c r="F126" s="256"/>
      <c r="G126" s="256"/>
      <c r="H126" s="256"/>
      <c r="I126" s="256"/>
      <c r="J126" s="256"/>
      <c r="K126" s="256"/>
      <c r="L126" s="256"/>
    </row>
    <row r="127" spans="1:12" x14ac:dyDescent="0.3">
      <c r="B127" s="256"/>
      <c r="C127" s="256"/>
      <c r="D127" s="256"/>
      <c r="E127" s="256"/>
      <c r="F127" s="256"/>
      <c r="G127" s="256"/>
      <c r="H127" s="256"/>
      <c r="I127" s="256"/>
      <c r="J127" s="256"/>
      <c r="K127" s="256"/>
      <c r="L127" s="256"/>
    </row>
    <row r="128" spans="1:12" x14ac:dyDescent="0.3">
      <c r="B128" s="355"/>
      <c r="C128" s="353"/>
      <c r="D128" s="256"/>
      <c r="E128" s="256"/>
      <c r="F128" s="256"/>
      <c r="G128" s="256"/>
      <c r="H128" s="256"/>
      <c r="I128" s="256"/>
      <c r="J128" s="256"/>
      <c r="K128" s="256"/>
      <c r="L128" s="256"/>
    </row>
    <row r="129" spans="1:12" x14ac:dyDescent="0.3">
      <c r="A129" s="83" t="s">
        <v>873</v>
      </c>
      <c r="B129" s="256" t="s">
        <v>872</v>
      </c>
      <c r="C129" s="351"/>
      <c r="D129" s="256"/>
      <c r="E129" s="256"/>
      <c r="F129" s="256"/>
      <c r="G129" s="256"/>
      <c r="H129" s="256"/>
      <c r="I129" s="256"/>
      <c r="J129" s="256"/>
      <c r="K129" s="256"/>
      <c r="L129" s="256"/>
    </row>
    <row r="130" spans="1:12" x14ac:dyDescent="0.3">
      <c r="B130" s="256" t="s">
        <v>871</v>
      </c>
      <c r="C130" s="351"/>
      <c r="D130" s="256"/>
      <c r="E130" s="256"/>
      <c r="F130" s="256"/>
      <c r="G130" s="262"/>
      <c r="H130" s="262"/>
      <c r="I130" s="262"/>
      <c r="J130" s="256"/>
      <c r="K130" s="256"/>
      <c r="L130" s="256"/>
    </row>
    <row r="131" spans="1:12" x14ac:dyDescent="0.3">
      <c r="B131" s="256"/>
      <c r="C131" s="351"/>
      <c r="D131" s="256"/>
      <c r="E131" s="256"/>
      <c r="F131" s="256"/>
      <c r="G131" s="243"/>
      <c r="H131" s="243"/>
      <c r="I131" s="243"/>
      <c r="J131" s="256"/>
      <c r="K131" s="256"/>
      <c r="L131" s="256"/>
    </row>
    <row r="132" spans="1:12" x14ac:dyDescent="0.3">
      <c r="B132" s="257" t="s">
        <v>4</v>
      </c>
      <c r="C132" s="351"/>
      <c r="D132" s="256"/>
      <c r="E132" s="256"/>
      <c r="F132" s="256"/>
      <c r="G132" s="360"/>
      <c r="H132" s="360"/>
      <c r="I132" s="360"/>
      <c r="J132" s="256"/>
      <c r="K132" s="256"/>
      <c r="L132" s="256"/>
    </row>
    <row r="133" spans="1:12" x14ac:dyDescent="0.3">
      <c r="B133" s="256" t="s">
        <v>8</v>
      </c>
      <c r="C133" s="370">
        <v>1000</v>
      </c>
      <c r="D133" s="256"/>
      <c r="E133" s="256"/>
      <c r="F133" s="256"/>
      <c r="G133" s="243"/>
      <c r="H133" s="243"/>
      <c r="I133" s="243"/>
      <c r="J133" s="256"/>
      <c r="K133" s="256"/>
      <c r="L133" s="256"/>
    </row>
    <row r="134" spans="1:12" x14ac:dyDescent="0.3">
      <c r="B134" s="1" t="s">
        <v>69</v>
      </c>
      <c r="C134" s="370">
        <v>1100</v>
      </c>
      <c r="D134" s="256"/>
      <c r="E134" s="256"/>
      <c r="F134" s="256"/>
      <c r="G134" s="256"/>
      <c r="H134" s="256"/>
      <c r="I134" s="256"/>
      <c r="J134" s="256"/>
      <c r="K134" s="256"/>
      <c r="L134" s="256"/>
    </row>
    <row r="135" spans="1:12" x14ac:dyDescent="0.3">
      <c r="B135" s="369" t="s">
        <v>870</v>
      </c>
      <c r="C135" s="357">
        <v>0.1</v>
      </c>
      <c r="D135" s="256"/>
      <c r="E135" s="256"/>
      <c r="F135" s="256"/>
      <c r="G135" s="256"/>
      <c r="H135" s="256"/>
      <c r="I135" s="256"/>
      <c r="J135" s="256"/>
      <c r="K135" s="256"/>
      <c r="L135" s="256"/>
    </row>
    <row r="136" spans="1:12" x14ac:dyDescent="0.3">
      <c r="D136" s="256"/>
      <c r="E136" s="256"/>
      <c r="F136" s="256"/>
      <c r="G136" s="256"/>
      <c r="H136" s="256"/>
      <c r="I136" s="256"/>
      <c r="J136" s="256"/>
      <c r="K136" s="256"/>
      <c r="L136" s="256"/>
    </row>
    <row r="137" spans="1:12" x14ac:dyDescent="0.3">
      <c r="B137" s="365" t="s">
        <v>869</v>
      </c>
      <c r="C137" s="256"/>
      <c r="D137" s="256"/>
      <c r="E137" s="256"/>
      <c r="F137" s="256"/>
      <c r="G137" s="256"/>
      <c r="H137" s="256"/>
      <c r="I137" s="256"/>
      <c r="J137" s="256"/>
      <c r="K137" s="256"/>
      <c r="L137" s="256"/>
    </row>
    <row r="138" spans="1:12" x14ac:dyDescent="0.3">
      <c r="C138" s="353"/>
      <c r="D138" s="256"/>
      <c r="E138" s="256"/>
      <c r="F138" s="256"/>
      <c r="G138" s="256"/>
      <c r="H138" s="256"/>
      <c r="I138" s="256"/>
      <c r="J138" s="256"/>
      <c r="K138" s="256"/>
      <c r="L138" s="256"/>
    </row>
    <row r="139" spans="1:12" x14ac:dyDescent="0.3">
      <c r="B139" s="368" t="s">
        <v>15</v>
      </c>
      <c r="C139" s="353"/>
      <c r="D139" s="256"/>
      <c r="E139" s="256"/>
      <c r="F139" s="256"/>
      <c r="G139" s="256"/>
      <c r="H139" s="256"/>
      <c r="I139" s="256"/>
      <c r="J139" s="256"/>
      <c r="K139" s="256"/>
      <c r="L139" s="256"/>
    </row>
    <row r="140" spans="1:12" x14ac:dyDescent="0.3">
      <c r="B140" s="256"/>
      <c r="C140" s="256"/>
      <c r="D140" s="256"/>
      <c r="E140" s="256"/>
      <c r="F140" s="366" t="s">
        <v>868</v>
      </c>
      <c r="G140" s="366">
        <v>0</v>
      </c>
      <c r="H140" s="366">
        <v>1</v>
      </c>
      <c r="I140" s="366">
        <v>2</v>
      </c>
      <c r="J140" s="366">
        <v>3</v>
      </c>
      <c r="K140" s="366">
        <v>4</v>
      </c>
      <c r="L140" s="256"/>
    </row>
    <row r="141" spans="1:12" x14ac:dyDescent="0.3">
      <c r="B141" s="256" t="s">
        <v>867</v>
      </c>
      <c r="C141" s="367">
        <f>C135*C133</f>
        <v>100</v>
      </c>
      <c r="D141" s="256" t="s">
        <v>866</v>
      </c>
      <c r="E141" s="256"/>
      <c r="F141" s="366" t="s">
        <v>17</v>
      </c>
      <c r="G141" s="40"/>
      <c r="H141" s="366">
        <v>25</v>
      </c>
      <c r="I141" s="366">
        <v>25</v>
      </c>
      <c r="J141" s="366">
        <v>25</v>
      </c>
      <c r="K141" s="366">
        <v>25</v>
      </c>
      <c r="L141" s="256"/>
    </row>
    <row r="142" spans="1:12" x14ac:dyDescent="0.3">
      <c r="B142" s="355"/>
      <c r="C142" s="256"/>
      <c r="D142" s="256"/>
      <c r="E142" s="256"/>
      <c r="F142" s="256"/>
      <c r="G142" s="256"/>
      <c r="H142" s="256"/>
      <c r="I142" s="256"/>
      <c r="J142" s="256"/>
      <c r="K142" s="256"/>
      <c r="L142" s="256"/>
    </row>
    <row r="143" spans="1:12" x14ac:dyDescent="0.3">
      <c r="B143" s="365" t="s">
        <v>865</v>
      </c>
      <c r="C143" s="364">
        <f>C141/C134</f>
        <v>9.0909090909090912E-2</v>
      </c>
      <c r="D143" s="256"/>
      <c r="E143" s="256"/>
      <c r="F143" s="256"/>
      <c r="G143" s="256"/>
      <c r="H143" s="256"/>
      <c r="I143" s="256"/>
      <c r="J143" s="256"/>
      <c r="K143" s="256"/>
      <c r="L143" s="256"/>
    </row>
    <row r="144" spans="1:12" x14ac:dyDescent="0.3">
      <c r="B144" s="256"/>
      <c r="C144" s="351"/>
      <c r="D144" s="256"/>
      <c r="E144" s="256"/>
      <c r="F144" s="256"/>
      <c r="G144" s="256"/>
      <c r="H144" s="256"/>
      <c r="I144" s="256"/>
      <c r="J144" s="256"/>
      <c r="K144" s="256"/>
      <c r="L144" s="256"/>
    </row>
    <row r="145" spans="2:12" x14ac:dyDescent="0.3">
      <c r="B145" s="256"/>
      <c r="C145" s="357"/>
      <c r="D145" s="256"/>
      <c r="E145" s="256"/>
      <c r="F145" s="256"/>
      <c r="G145" s="256"/>
      <c r="H145" s="256"/>
      <c r="I145" s="256"/>
      <c r="J145" s="256"/>
      <c r="K145" s="256"/>
      <c r="L145" s="256"/>
    </row>
    <row r="146" spans="2:12" x14ac:dyDescent="0.3">
      <c r="B146" s="256"/>
      <c r="C146" s="351"/>
      <c r="D146" s="256"/>
      <c r="E146" s="256"/>
      <c r="F146" s="256"/>
      <c r="G146" s="256"/>
      <c r="H146" s="256"/>
      <c r="I146" s="256"/>
      <c r="J146" s="256"/>
      <c r="K146" s="256"/>
      <c r="L146" s="256"/>
    </row>
    <row r="147" spans="2:12" x14ac:dyDescent="0.3">
      <c r="B147" s="356"/>
      <c r="C147" s="353"/>
      <c r="D147" s="256"/>
      <c r="E147" s="256"/>
      <c r="F147" s="256"/>
      <c r="G147" s="256"/>
      <c r="H147" s="256"/>
      <c r="I147" s="256"/>
      <c r="J147" s="256"/>
      <c r="K147" s="256"/>
      <c r="L147" s="256"/>
    </row>
    <row r="148" spans="2:12" x14ac:dyDescent="0.3">
      <c r="B148" s="256"/>
      <c r="C148" s="256"/>
      <c r="D148" s="256"/>
      <c r="E148" s="256"/>
      <c r="F148" s="256"/>
      <c r="G148" s="256"/>
      <c r="H148" s="256"/>
      <c r="I148" s="256"/>
      <c r="J148" s="256"/>
      <c r="K148" s="256"/>
      <c r="L148" s="256"/>
    </row>
    <row r="149" spans="2:12" x14ac:dyDescent="0.3">
      <c r="B149" s="355"/>
      <c r="C149" s="256"/>
      <c r="D149" s="256"/>
      <c r="E149" s="256"/>
      <c r="F149" s="256"/>
      <c r="G149" s="256"/>
      <c r="H149" s="256"/>
      <c r="I149" s="256"/>
      <c r="J149" s="256"/>
      <c r="K149" s="256"/>
      <c r="L149" s="256"/>
    </row>
    <row r="150" spans="2:12" x14ac:dyDescent="0.3">
      <c r="B150" s="354"/>
      <c r="C150" s="353"/>
      <c r="D150" s="256"/>
      <c r="E150" s="256"/>
      <c r="F150" s="256"/>
      <c r="G150" s="256"/>
      <c r="H150" s="256"/>
      <c r="I150" s="256"/>
      <c r="J150" s="256"/>
      <c r="K150" s="256"/>
      <c r="L150" s="256"/>
    </row>
    <row r="151" spans="2:12" x14ac:dyDescent="0.3">
      <c r="B151" s="256"/>
      <c r="C151" s="351"/>
      <c r="D151" s="256"/>
      <c r="E151" s="256"/>
      <c r="F151" s="256"/>
      <c r="G151" s="256"/>
      <c r="H151" s="256"/>
      <c r="I151" s="256"/>
      <c r="J151" s="256"/>
      <c r="K151" s="256"/>
      <c r="L151" s="256"/>
    </row>
    <row r="152" spans="2:12" x14ac:dyDescent="0.3">
      <c r="B152" s="256"/>
      <c r="C152" s="256"/>
      <c r="D152" s="256"/>
      <c r="E152" s="256"/>
      <c r="F152" s="256"/>
      <c r="G152" s="256"/>
      <c r="H152" s="256"/>
      <c r="I152" s="256"/>
      <c r="J152" s="256"/>
      <c r="K152" s="256"/>
      <c r="L152" s="256"/>
    </row>
    <row r="153" spans="2:12" x14ac:dyDescent="0.3">
      <c r="B153" s="256"/>
      <c r="C153" s="256"/>
      <c r="D153" s="256"/>
      <c r="E153" s="256"/>
      <c r="F153" s="256"/>
      <c r="G153" s="256"/>
      <c r="H153" s="256"/>
      <c r="I153" s="256"/>
      <c r="J153" s="256"/>
      <c r="K153" s="256"/>
      <c r="L153" s="256"/>
    </row>
    <row r="154" spans="2:12" x14ac:dyDescent="0.3">
      <c r="B154" s="256"/>
      <c r="C154" s="256"/>
      <c r="D154" s="256"/>
      <c r="E154" s="256"/>
      <c r="F154" s="256"/>
      <c r="G154" s="262"/>
      <c r="H154" s="262"/>
      <c r="I154" s="262"/>
      <c r="J154" s="262"/>
      <c r="K154" s="256"/>
      <c r="L154" s="256"/>
    </row>
    <row r="155" spans="2:12" x14ac:dyDescent="0.3">
      <c r="B155" s="256"/>
      <c r="C155" s="256"/>
      <c r="D155" s="256"/>
      <c r="E155" s="256"/>
      <c r="F155" s="256"/>
      <c r="G155" s="243"/>
      <c r="H155" s="243"/>
      <c r="I155" s="243"/>
      <c r="J155" s="243"/>
      <c r="K155" s="256"/>
      <c r="L155" s="256"/>
    </row>
    <row r="156" spans="2:12" x14ac:dyDescent="0.3">
      <c r="B156" s="256"/>
      <c r="C156" s="256"/>
      <c r="D156" s="256"/>
      <c r="E156" s="256"/>
      <c r="F156" s="256"/>
      <c r="G156" s="360"/>
      <c r="H156" s="360"/>
      <c r="I156" s="360"/>
      <c r="J156" s="360"/>
      <c r="K156" s="256"/>
      <c r="L156" s="256"/>
    </row>
    <row r="157" spans="2:12" x14ac:dyDescent="0.3">
      <c r="B157" s="256"/>
      <c r="C157" s="256"/>
      <c r="D157" s="256"/>
      <c r="E157" s="256"/>
      <c r="F157" s="256"/>
      <c r="G157" s="243"/>
      <c r="H157" s="243"/>
      <c r="I157" s="243"/>
      <c r="J157" s="243"/>
      <c r="K157" s="256"/>
      <c r="L157" s="256"/>
    </row>
    <row r="158" spans="2:12" x14ac:dyDescent="0.3">
      <c r="B158" s="256"/>
      <c r="C158" s="256"/>
      <c r="D158" s="256"/>
      <c r="E158" s="256"/>
      <c r="F158" s="256"/>
      <c r="G158" s="256"/>
      <c r="H158" s="256"/>
      <c r="I158" s="256"/>
      <c r="J158" s="256"/>
      <c r="K158" s="256"/>
      <c r="L158" s="256"/>
    </row>
    <row r="159" spans="2:12" x14ac:dyDescent="0.3">
      <c r="B159" s="256"/>
      <c r="C159" s="256"/>
      <c r="D159" s="256"/>
      <c r="E159" s="256"/>
      <c r="F159" s="256"/>
      <c r="G159" s="256"/>
      <c r="H159" s="256"/>
      <c r="I159" s="256"/>
      <c r="J159" s="256"/>
      <c r="K159" s="256"/>
      <c r="L159" s="256"/>
    </row>
    <row r="160" spans="2:12" x14ac:dyDescent="0.3">
      <c r="B160" s="358"/>
      <c r="C160" s="256"/>
      <c r="D160" s="256"/>
      <c r="E160" s="256"/>
      <c r="F160" s="256"/>
      <c r="G160" s="256"/>
      <c r="H160" s="256"/>
      <c r="I160" s="256"/>
      <c r="J160" s="256"/>
      <c r="K160" s="256"/>
      <c r="L160" s="256"/>
    </row>
    <row r="161" spans="2:12" x14ac:dyDescent="0.3">
      <c r="B161" s="256"/>
      <c r="C161" s="256"/>
      <c r="D161" s="256"/>
      <c r="E161" s="256"/>
      <c r="F161" s="256"/>
      <c r="G161" s="256"/>
      <c r="H161" s="256"/>
      <c r="I161" s="256"/>
      <c r="J161" s="256"/>
      <c r="K161" s="256"/>
      <c r="L161" s="256"/>
    </row>
    <row r="162" spans="2:12" x14ac:dyDescent="0.3">
      <c r="B162" s="355"/>
      <c r="C162" s="353"/>
      <c r="D162" s="256"/>
      <c r="E162" s="256"/>
      <c r="F162" s="256"/>
      <c r="G162" s="256"/>
      <c r="H162" s="256"/>
      <c r="I162" s="256"/>
      <c r="J162" s="256"/>
      <c r="K162" s="256"/>
      <c r="L162" s="256"/>
    </row>
    <row r="163" spans="2:12" x14ac:dyDescent="0.3">
      <c r="B163" s="256"/>
      <c r="C163" s="351"/>
      <c r="D163" s="256"/>
      <c r="E163" s="256"/>
      <c r="F163" s="256"/>
      <c r="G163" s="256"/>
      <c r="H163" s="256"/>
      <c r="I163" s="256"/>
      <c r="J163" s="256"/>
      <c r="K163" s="256"/>
      <c r="L163" s="256"/>
    </row>
    <row r="164" spans="2:12" x14ac:dyDescent="0.3">
      <c r="B164" s="256"/>
      <c r="C164" s="357"/>
      <c r="D164" s="256"/>
      <c r="E164" s="256"/>
      <c r="F164" s="256"/>
      <c r="G164" s="256"/>
      <c r="H164" s="256"/>
      <c r="I164" s="256"/>
      <c r="J164" s="256"/>
      <c r="K164" s="256"/>
      <c r="L164" s="256"/>
    </row>
    <row r="165" spans="2:12" x14ac:dyDescent="0.3">
      <c r="B165" s="256"/>
      <c r="C165" s="351"/>
      <c r="D165" s="256"/>
      <c r="E165" s="256"/>
      <c r="F165" s="256"/>
      <c r="G165" s="256"/>
      <c r="H165" s="256"/>
      <c r="I165" s="256"/>
      <c r="J165" s="256"/>
      <c r="K165" s="256"/>
      <c r="L165" s="256"/>
    </row>
    <row r="166" spans="2:12" x14ac:dyDescent="0.3">
      <c r="B166" s="356"/>
      <c r="C166" s="353"/>
      <c r="D166" s="256"/>
      <c r="E166" s="256"/>
      <c r="F166" s="256"/>
      <c r="G166" s="256"/>
      <c r="H166" s="256"/>
      <c r="I166" s="256"/>
      <c r="J166" s="256"/>
      <c r="K166" s="256"/>
      <c r="L166" s="256"/>
    </row>
    <row r="167" spans="2:12" x14ac:dyDescent="0.3">
      <c r="B167" s="256"/>
      <c r="C167" s="256"/>
      <c r="D167" s="256"/>
      <c r="E167" s="256"/>
      <c r="F167" s="256"/>
      <c r="G167" s="256"/>
      <c r="H167" s="256"/>
      <c r="I167" s="256"/>
      <c r="J167" s="256"/>
      <c r="K167" s="256"/>
      <c r="L167" s="256"/>
    </row>
    <row r="168" spans="2:12" x14ac:dyDescent="0.3">
      <c r="B168" s="355"/>
      <c r="C168" s="256"/>
      <c r="D168" s="256"/>
      <c r="E168" s="256"/>
      <c r="F168" s="256"/>
      <c r="G168" s="256"/>
      <c r="H168" s="256"/>
      <c r="I168" s="256"/>
      <c r="J168" s="256"/>
      <c r="K168" s="256"/>
      <c r="L168" s="256"/>
    </row>
    <row r="169" spans="2:12" x14ac:dyDescent="0.3">
      <c r="B169" s="354"/>
      <c r="C169" s="353"/>
      <c r="D169" s="256"/>
      <c r="E169" s="256"/>
      <c r="F169" s="256"/>
      <c r="G169" s="256"/>
      <c r="H169" s="256"/>
      <c r="I169" s="256"/>
      <c r="J169" s="256"/>
      <c r="K169" s="256"/>
      <c r="L169" s="256"/>
    </row>
    <row r="170" spans="2:12" x14ac:dyDescent="0.3">
      <c r="B170" s="256"/>
      <c r="C170" s="351"/>
      <c r="D170" s="256"/>
      <c r="E170" s="256"/>
      <c r="F170" s="256"/>
      <c r="G170" s="256"/>
      <c r="H170" s="256"/>
      <c r="I170" s="256"/>
      <c r="J170" s="256"/>
      <c r="K170" s="256"/>
      <c r="L170" s="256"/>
    </row>
    <row r="171" spans="2:12" x14ac:dyDescent="0.3">
      <c r="B171" s="256"/>
      <c r="C171" s="256"/>
      <c r="D171" s="256"/>
      <c r="E171" s="256"/>
      <c r="F171" s="256"/>
      <c r="G171" s="256"/>
      <c r="H171" s="256"/>
      <c r="I171" s="256"/>
      <c r="J171" s="256"/>
      <c r="K171" s="256"/>
      <c r="L171" s="256"/>
    </row>
    <row r="172" spans="2:12" x14ac:dyDescent="0.3">
      <c r="B172" s="256"/>
      <c r="C172" s="256"/>
      <c r="D172" s="256"/>
      <c r="E172" s="256"/>
      <c r="F172" s="256"/>
      <c r="G172" s="256"/>
      <c r="H172" s="256"/>
      <c r="I172" s="256"/>
      <c r="J172" s="256"/>
      <c r="K172" s="256"/>
      <c r="L172" s="256"/>
    </row>
    <row r="173" spans="2:12" x14ac:dyDescent="0.3">
      <c r="B173" s="256"/>
      <c r="C173" s="256"/>
      <c r="D173" s="256"/>
      <c r="E173" s="256"/>
      <c r="F173" s="256"/>
      <c r="G173" s="262"/>
      <c r="H173" s="262"/>
      <c r="I173" s="262"/>
      <c r="J173" s="262"/>
      <c r="K173" s="256"/>
      <c r="L173" s="256"/>
    </row>
    <row r="174" spans="2:12" x14ac:dyDescent="0.3">
      <c r="B174" s="256"/>
      <c r="C174" s="256"/>
      <c r="D174" s="256"/>
      <c r="E174" s="256"/>
      <c r="F174" s="256"/>
      <c r="G174" s="243"/>
      <c r="H174" s="243"/>
      <c r="I174" s="243"/>
      <c r="J174" s="243"/>
      <c r="K174" s="256"/>
      <c r="L174" s="256"/>
    </row>
    <row r="175" spans="2:12" x14ac:dyDescent="0.3">
      <c r="B175" s="256"/>
      <c r="C175" s="256"/>
      <c r="D175" s="256"/>
      <c r="E175" s="256"/>
      <c r="F175" s="256"/>
      <c r="G175" s="360"/>
      <c r="H175" s="360"/>
      <c r="I175" s="360"/>
      <c r="J175" s="363"/>
      <c r="K175" s="256"/>
      <c r="L175" s="256"/>
    </row>
    <row r="176" spans="2:12" x14ac:dyDescent="0.3">
      <c r="B176" s="256"/>
      <c r="C176" s="256"/>
      <c r="D176" s="256"/>
      <c r="E176" s="256"/>
      <c r="F176" s="256"/>
      <c r="G176" s="243"/>
      <c r="H176" s="243"/>
      <c r="I176" s="243"/>
      <c r="J176" s="243"/>
      <c r="K176" s="256"/>
      <c r="L176" s="256"/>
    </row>
    <row r="177" spans="2:12" x14ac:dyDescent="0.3">
      <c r="B177" s="256"/>
      <c r="C177" s="256"/>
      <c r="D177" s="256"/>
      <c r="E177" s="256"/>
      <c r="F177" s="256"/>
      <c r="G177" s="256"/>
      <c r="H177" s="256"/>
      <c r="I177" s="256"/>
      <c r="J177" s="256"/>
      <c r="K177" s="256"/>
      <c r="L177" s="256"/>
    </row>
    <row r="178" spans="2:12" x14ac:dyDescent="0.3">
      <c r="B178" s="256"/>
      <c r="C178" s="256"/>
      <c r="D178" s="256"/>
      <c r="E178" s="256"/>
      <c r="F178" s="256"/>
      <c r="G178" s="256"/>
      <c r="H178" s="256"/>
      <c r="I178" s="256"/>
      <c r="J178" s="256"/>
      <c r="K178" s="256"/>
      <c r="L178" s="256"/>
    </row>
    <row r="179" spans="2:12" x14ac:dyDescent="0.3">
      <c r="B179" s="358"/>
      <c r="C179" s="256"/>
      <c r="D179" s="256"/>
      <c r="E179" s="256"/>
      <c r="F179" s="256"/>
      <c r="G179" s="256"/>
      <c r="H179" s="256"/>
      <c r="I179" s="256"/>
      <c r="J179" s="256"/>
      <c r="K179" s="256"/>
      <c r="L179" s="256"/>
    </row>
    <row r="180" spans="2:12" x14ac:dyDescent="0.3">
      <c r="B180" s="358"/>
      <c r="C180" s="256"/>
      <c r="D180" s="256"/>
      <c r="E180" s="256"/>
      <c r="F180" s="256"/>
      <c r="G180" s="256"/>
      <c r="H180" s="256"/>
      <c r="I180" s="256"/>
      <c r="J180" s="256"/>
      <c r="K180" s="256"/>
      <c r="L180" s="256"/>
    </row>
    <row r="181" spans="2:12" x14ac:dyDescent="0.3">
      <c r="B181" s="256"/>
      <c r="C181" s="256"/>
      <c r="D181" s="256"/>
      <c r="E181" s="256"/>
      <c r="F181" s="256"/>
      <c r="G181" s="256"/>
      <c r="H181" s="256"/>
      <c r="I181" s="256"/>
      <c r="J181" s="256"/>
      <c r="K181" s="256"/>
      <c r="L181" s="256"/>
    </row>
    <row r="182" spans="2:12" x14ac:dyDescent="0.3">
      <c r="B182" s="355"/>
      <c r="C182" s="353"/>
      <c r="D182" s="256"/>
      <c r="E182" s="256"/>
      <c r="F182" s="256"/>
      <c r="G182" s="256"/>
      <c r="H182" s="256"/>
      <c r="I182" s="256"/>
      <c r="J182" s="256"/>
      <c r="K182" s="256"/>
      <c r="L182" s="256"/>
    </row>
    <row r="183" spans="2:12" x14ac:dyDescent="0.3">
      <c r="B183" s="256"/>
      <c r="C183" s="351"/>
      <c r="D183" s="256"/>
      <c r="E183" s="256"/>
      <c r="F183" s="256"/>
      <c r="G183" s="256"/>
      <c r="H183" s="256"/>
      <c r="I183" s="256"/>
      <c r="J183" s="256"/>
      <c r="K183" s="256"/>
      <c r="L183" s="256"/>
    </row>
    <row r="184" spans="2:12" x14ac:dyDescent="0.3">
      <c r="B184" s="256"/>
      <c r="C184" s="357"/>
      <c r="D184" s="256"/>
      <c r="E184" s="256"/>
      <c r="F184" s="256"/>
      <c r="G184" s="256"/>
      <c r="H184" s="256"/>
      <c r="I184" s="256"/>
      <c r="J184" s="256"/>
      <c r="K184" s="256"/>
      <c r="L184" s="256"/>
    </row>
    <row r="185" spans="2:12" x14ac:dyDescent="0.3">
      <c r="B185" s="256"/>
      <c r="C185" s="351"/>
      <c r="D185" s="256"/>
      <c r="E185" s="256"/>
      <c r="F185" s="256"/>
      <c r="G185" s="256"/>
      <c r="H185" s="256"/>
      <c r="I185" s="256"/>
      <c r="J185" s="256"/>
      <c r="K185" s="256"/>
      <c r="L185" s="256"/>
    </row>
    <row r="186" spans="2:12" x14ac:dyDescent="0.3">
      <c r="B186" s="356"/>
      <c r="C186" s="353"/>
      <c r="D186" s="256"/>
      <c r="E186" s="256"/>
      <c r="F186" s="256"/>
      <c r="G186" s="256"/>
      <c r="H186" s="256"/>
      <c r="I186" s="256"/>
      <c r="J186" s="256"/>
      <c r="K186" s="256"/>
      <c r="L186" s="256"/>
    </row>
    <row r="187" spans="2:12" x14ac:dyDescent="0.3">
      <c r="B187" s="256"/>
      <c r="C187" s="256"/>
      <c r="D187" s="256"/>
      <c r="E187" s="256"/>
      <c r="F187" s="256"/>
      <c r="G187" s="256"/>
      <c r="H187" s="256"/>
      <c r="I187" s="256"/>
      <c r="J187" s="256"/>
      <c r="K187" s="256"/>
      <c r="L187" s="256"/>
    </row>
    <row r="188" spans="2:12" x14ac:dyDescent="0.3">
      <c r="B188" s="355"/>
      <c r="C188" s="256"/>
      <c r="D188" s="256"/>
      <c r="E188" s="256"/>
      <c r="F188" s="256"/>
      <c r="G188" s="256"/>
      <c r="H188" s="256"/>
      <c r="I188" s="256"/>
      <c r="J188" s="256"/>
      <c r="K188" s="256"/>
      <c r="L188" s="256"/>
    </row>
    <row r="189" spans="2:12" x14ac:dyDescent="0.3">
      <c r="B189" s="354"/>
      <c r="C189" s="353"/>
      <c r="D189" s="256"/>
      <c r="E189" s="256"/>
      <c r="F189" s="256"/>
      <c r="G189" s="256"/>
      <c r="H189" s="256"/>
      <c r="I189" s="256"/>
      <c r="J189" s="256"/>
      <c r="K189" s="256"/>
      <c r="L189" s="256"/>
    </row>
    <row r="190" spans="2:12" x14ac:dyDescent="0.3">
      <c r="B190" s="256"/>
      <c r="C190" s="351"/>
      <c r="D190" s="256"/>
      <c r="E190" s="256"/>
      <c r="F190" s="256"/>
      <c r="G190" s="256"/>
      <c r="H190" s="256"/>
      <c r="I190" s="256"/>
      <c r="J190" s="256"/>
      <c r="K190" s="256"/>
      <c r="L190" s="256"/>
    </row>
    <row r="191" spans="2:12" x14ac:dyDescent="0.3">
      <c r="B191" s="256"/>
      <c r="C191" s="256"/>
      <c r="D191" s="256"/>
      <c r="E191" s="256"/>
      <c r="F191" s="256"/>
      <c r="G191" s="256"/>
      <c r="H191" s="256"/>
      <c r="I191" s="256"/>
      <c r="J191" s="256"/>
      <c r="K191" s="256"/>
      <c r="L191" s="256"/>
    </row>
    <row r="192" spans="2:12" x14ac:dyDescent="0.3">
      <c r="B192" s="256"/>
      <c r="C192" s="256"/>
      <c r="D192" s="256"/>
      <c r="E192" s="256"/>
      <c r="F192" s="256"/>
      <c r="G192" s="256"/>
      <c r="H192" s="256"/>
      <c r="I192" s="256"/>
      <c r="J192" s="256"/>
      <c r="K192" s="256"/>
      <c r="L192" s="256"/>
    </row>
    <row r="193" spans="2:14" x14ac:dyDescent="0.3">
      <c r="B193" s="358"/>
      <c r="C193" s="256"/>
      <c r="D193" s="256"/>
      <c r="E193" s="256"/>
      <c r="F193" s="256"/>
      <c r="G193" s="256"/>
      <c r="H193" s="256"/>
      <c r="I193" s="256"/>
      <c r="J193" s="256"/>
      <c r="K193" s="256"/>
      <c r="L193" s="256"/>
    </row>
    <row r="194" spans="2:14" x14ac:dyDescent="0.3">
      <c r="B194" s="256"/>
      <c r="C194" s="256"/>
      <c r="D194" s="256"/>
      <c r="E194" s="256"/>
      <c r="F194" s="256"/>
      <c r="G194" s="256"/>
      <c r="H194" s="256"/>
      <c r="I194" s="256"/>
      <c r="J194" s="256"/>
      <c r="K194" s="256"/>
      <c r="L194" s="256"/>
    </row>
    <row r="195" spans="2:14" x14ac:dyDescent="0.3">
      <c r="B195" s="256"/>
      <c r="C195" s="256"/>
      <c r="D195" s="256"/>
      <c r="E195" s="256"/>
      <c r="F195" s="256"/>
      <c r="G195" s="256"/>
      <c r="H195" s="256"/>
      <c r="I195" s="256"/>
      <c r="J195" s="256"/>
      <c r="K195" s="256"/>
      <c r="L195" s="256"/>
    </row>
    <row r="196" spans="2:14" x14ac:dyDescent="0.3">
      <c r="B196" s="355"/>
      <c r="C196" s="353"/>
      <c r="D196" s="256"/>
      <c r="E196" s="256"/>
      <c r="F196" s="256"/>
      <c r="G196" s="256"/>
      <c r="H196" s="256"/>
      <c r="I196" s="256"/>
      <c r="J196" s="256"/>
      <c r="K196" s="256"/>
      <c r="L196" s="256"/>
    </row>
    <row r="197" spans="2:14" x14ac:dyDescent="0.3">
      <c r="B197" s="256"/>
      <c r="C197" s="351"/>
      <c r="D197" s="256"/>
      <c r="E197" s="256"/>
      <c r="F197" s="256"/>
      <c r="G197" s="256"/>
      <c r="H197" s="256"/>
      <c r="I197" s="256"/>
      <c r="J197" s="256"/>
      <c r="K197" s="256"/>
      <c r="L197" s="256"/>
    </row>
    <row r="198" spans="2:14" x14ac:dyDescent="0.3">
      <c r="B198" s="256"/>
      <c r="C198" s="357"/>
      <c r="D198" s="256"/>
      <c r="E198" s="256"/>
      <c r="F198" s="256"/>
      <c r="G198" s="256"/>
      <c r="H198" s="256"/>
      <c r="I198" s="256"/>
      <c r="J198" s="256"/>
      <c r="K198" s="256"/>
      <c r="L198" s="256"/>
    </row>
    <row r="199" spans="2:14" x14ac:dyDescent="0.3">
      <c r="B199" s="256"/>
      <c r="C199" s="351"/>
      <c r="D199" s="256"/>
      <c r="E199" s="256"/>
      <c r="F199" s="256"/>
      <c r="G199" s="256"/>
      <c r="H199" s="256"/>
      <c r="I199" s="256"/>
      <c r="J199" s="256"/>
      <c r="K199" s="256"/>
      <c r="L199" s="256"/>
    </row>
    <row r="200" spans="2:14" x14ac:dyDescent="0.3">
      <c r="B200" s="356"/>
      <c r="C200" s="353"/>
      <c r="D200" s="256"/>
      <c r="E200" s="256"/>
      <c r="F200" s="256"/>
      <c r="G200" s="256"/>
      <c r="H200" s="256"/>
      <c r="I200" s="256"/>
      <c r="J200" s="256"/>
      <c r="K200" s="256"/>
      <c r="L200" s="256"/>
    </row>
    <row r="201" spans="2:14" x14ac:dyDescent="0.3">
      <c r="B201" s="256"/>
      <c r="C201" s="256"/>
      <c r="D201" s="256"/>
      <c r="E201" s="256"/>
      <c r="F201" s="256"/>
      <c r="G201" s="256"/>
      <c r="H201" s="256"/>
      <c r="I201" s="256"/>
      <c r="J201" s="256"/>
      <c r="K201" s="256"/>
      <c r="L201" s="256"/>
    </row>
    <row r="202" spans="2:14" ht="23.25" x14ac:dyDescent="0.35">
      <c r="B202" s="355"/>
      <c r="C202" s="256"/>
      <c r="D202" s="256"/>
      <c r="E202" s="256"/>
      <c r="F202" s="256"/>
      <c r="G202" s="256"/>
      <c r="H202" s="256"/>
      <c r="I202" s="262"/>
      <c r="J202" s="262"/>
      <c r="K202" s="262"/>
      <c r="L202" s="262"/>
      <c r="M202" s="262"/>
      <c r="N202" s="359"/>
    </row>
    <row r="203" spans="2:14" ht="23.25" x14ac:dyDescent="0.35">
      <c r="B203" s="354"/>
      <c r="C203" s="353"/>
      <c r="D203" s="256"/>
      <c r="E203" s="256"/>
      <c r="F203" s="262"/>
      <c r="G203" s="262"/>
      <c r="H203" s="262"/>
      <c r="I203" s="262"/>
      <c r="J203" s="262"/>
      <c r="K203" s="262"/>
      <c r="L203" s="262"/>
      <c r="M203" s="262"/>
      <c r="N203" s="359"/>
    </row>
    <row r="204" spans="2:14" ht="23.25" x14ac:dyDescent="0.35">
      <c r="B204" s="256"/>
      <c r="C204" s="351"/>
      <c r="D204" s="256"/>
      <c r="E204" s="256"/>
      <c r="F204" s="256"/>
      <c r="G204" s="362"/>
      <c r="H204" s="262"/>
      <c r="I204" s="362"/>
      <c r="J204" s="361"/>
      <c r="K204" s="361"/>
      <c r="L204" s="361"/>
      <c r="M204" s="361"/>
      <c r="N204" s="359"/>
    </row>
    <row r="205" spans="2:14" ht="23.25" x14ac:dyDescent="0.35">
      <c r="B205" s="256"/>
      <c r="C205" s="256"/>
      <c r="D205" s="256"/>
      <c r="E205" s="256"/>
      <c r="F205" s="262"/>
      <c r="G205" s="360"/>
      <c r="H205" s="360"/>
      <c r="I205" s="360"/>
      <c r="J205" s="360"/>
      <c r="K205" s="360"/>
      <c r="L205" s="360"/>
      <c r="M205" s="360"/>
      <c r="N205" s="359"/>
    </row>
    <row r="206" spans="2:14" ht="23.25" x14ac:dyDescent="0.35">
      <c r="B206" s="256"/>
      <c r="C206" s="351"/>
      <c r="D206" s="256"/>
      <c r="E206" s="256"/>
      <c r="F206" s="262"/>
      <c r="G206" s="262"/>
      <c r="H206" s="262"/>
      <c r="I206" s="262"/>
      <c r="J206" s="243"/>
      <c r="K206" s="243"/>
      <c r="L206" s="243"/>
      <c r="M206" s="243"/>
      <c r="N206" s="359"/>
    </row>
    <row r="207" spans="2:14" x14ac:dyDescent="0.3">
      <c r="B207" s="256"/>
      <c r="C207" s="256"/>
      <c r="D207" s="256"/>
      <c r="E207" s="256"/>
      <c r="F207" s="256"/>
      <c r="G207" s="256"/>
      <c r="H207" s="256"/>
      <c r="I207" s="256"/>
      <c r="J207" s="256"/>
      <c r="K207" s="256"/>
      <c r="L207" s="256"/>
    </row>
    <row r="208" spans="2:14" x14ac:dyDescent="0.3">
      <c r="B208" s="256"/>
      <c r="C208" s="256"/>
      <c r="D208" s="256"/>
      <c r="E208" s="256"/>
      <c r="F208" s="256"/>
      <c r="G208" s="256"/>
      <c r="H208" s="256"/>
      <c r="I208" s="256"/>
      <c r="J208" s="256"/>
      <c r="K208" s="256"/>
      <c r="L208" s="256"/>
    </row>
    <row r="209" spans="2:12" x14ac:dyDescent="0.3">
      <c r="B209" s="256"/>
      <c r="C209" s="256"/>
      <c r="D209" s="256"/>
      <c r="E209" s="256"/>
      <c r="F209" s="256"/>
      <c r="G209" s="256"/>
      <c r="H209" s="256"/>
      <c r="I209" s="256"/>
      <c r="J209" s="256"/>
      <c r="K209" s="256"/>
      <c r="L209" s="256"/>
    </row>
    <row r="210" spans="2:12" x14ac:dyDescent="0.3">
      <c r="B210" s="256"/>
      <c r="C210" s="256"/>
      <c r="D210" s="256"/>
      <c r="E210" s="256"/>
      <c r="F210" s="256"/>
      <c r="G210" s="256"/>
      <c r="H210" s="256"/>
      <c r="I210" s="256"/>
      <c r="J210" s="256"/>
      <c r="K210" s="256"/>
      <c r="L210" s="256"/>
    </row>
    <row r="211" spans="2:12" x14ac:dyDescent="0.3">
      <c r="B211" s="256"/>
      <c r="C211" s="256"/>
      <c r="D211" s="256"/>
      <c r="E211" s="256"/>
      <c r="F211" s="256"/>
      <c r="G211" s="256"/>
      <c r="H211" s="256"/>
      <c r="I211" s="256"/>
      <c r="J211" s="256"/>
      <c r="K211" s="256"/>
      <c r="L211" s="256"/>
    </row>
    <row r="212" spans="2:12" x14ac:dyDescent="0.3">
      <c r="B212" s="256"/>
      <c r="C212" s="256"/>
      <c r="D212" s="256"/>
      <c r="E212" s="256"/>
      <c r="F212" s="256"/>
      <c r="G212" s="256"/>
      <c r="H212" s="256"/>
      <c r="I212" s="256"/>
      <c r="J212" s="256"/>
      <c r="K212" s="256"/>
      <c r="L212" s="256"/>
    </row>
    <row r="213" spans="2:12" x14ac:dyDescent="0.3">
      <c r="B213" s="256"/>
      <c r="C213" s="256"/>
      <c r="D213" s="256"/>
      <c r="E213" s="256"/>
      <c r="F213" s="256"/>
      <c r="G213" s="256"/>
      <c r="H213" s="256"/>
      <c r="I213" s="256"/>
      <c r="J213" s="256"/>
      <c r="K213" s="256"/>
      <c r="L213" s="256"/>
    </row>
    <row r="214" spans="2:12" x14ac:dyDescent="0.3">
      <c r="B214" s="256"/>
      <c r="C214" s="256"/>
      <c r="D214" s="256"/>
      <c r="E214" s="256"/>
      <c r="F214" s="256"/>
      <c r="G214" s="256"/>
      <c r="H214" s="256"/>
      <c r="I214" s="256"/>
      <c r="J214" s="256"/>
      <c r="K214" s="256"/>
      <c r="L214" s="256"/>
    </row>
    <row r="215" spans="2:12" x14ac:dyDescent="0.3">
      <c r="B215" s="256"/>
      <c r="C215" s="256"/>
      <c r="D215" s="256"/>
      <c r="E215" s="256"/>
      <c r="F215" s="256"/>
      <c r="G215" s="256"/>
      <c r="H215" s="256"/>
      <c r="I215" s="256"/>
      <c r="J215" s="256"/>
      <c r="K215" s="256"/>
      <c r="L215" s="256"/>
    </row>
    <row r="216" spans="2:12" x14ac:dyDescent="0.3">
      <c r="B216" s="256"/>
      <c r="C216" s="256"/>
      <c r="D216" s="256"/>
      <c r="E216" s="256"/>
      <c r="F216" s="256"/>
      <c r="G216" s="256"/>
      <c r="H216" s="256"/>
      <c r="I216" s="256"/>
      <c r="J216" s="256"/>
      <c r="K216" s="256"/>
      <c r="L216" s="256"/>
    </row>
    <row r="217" spans="2:12" x14ac:dyDescent="0.3">
      <c r="B217" s="358"/>
      <c r="C217" s="256"/>
      <c r="D217" s="256"/>
      <c r="E217" s="256"/>
      <c r="F217" s="256"/>
      <c r="G217" s="256"/>
      <c r="H217" s="256"/>
      <c r="I217" s="256"/>
      <c r="J217" s="256"/>
      <c r="K217" s="256"/>
      <c r="L217" s="256"/>
    </row>
    <row r="218" spans="2:12" x14ac:dyDescent="0.3">
      <c r="B218" s="256"/>
      <c r="C218" s="256"/>
      <c r="D218" s="256"/>
      <c r="E218" s="256"/>
      <c r="F218" s="256"/>
      <c r="G218" s="256"/>
      <c r="H218" s="256"/>
      <c r="I218" s="256"/>
      <c r="J218" s="256"/>
      <c r="K218" s="256"/>
      <c r="L218" s="256"/>
    </row>
    <row r="219" spans="2:12" x14ac:dyDescent="0.3">
      <c r="B219" s="256"/>
      <c r="C219" s="256"/>
      <c r="D219" s="256"/>
      <c r="E219" s="256"/>
      <c r="F219" s="256"/>
      <c r="G219" s="256"/>
      <c r="H219" s="256"/>
      <c r="I219" s="256"/>
      <c r="J219" s="256"/>
      <c r="K219" s="256"/>
      <c r="L219" s="256"/>
    </row>
    <row r="220" spans="2:12" x14ac:dyDescent="0.3">
      <c r="B220" s="355"/>
      <c r="C220" s="353"/>
      <c r="D220" s="256"/>
      <c r="E220" s="256"/>
      <c r="F220" s="256"/>
      <c r="G220" s="256"/>
      <c r="H220" s="256"/>
      <c r="I220" s="256"/>
      <c r="J220" s="256"/>
      <c r="K220" s="256"/>
      <c r="L220" s="256"/>
    </row>
    <row r="221" spans="2:12" x14ac:dyDescent="0.3">
      <c r="B221" s="256"/>
      <c r="C221" s="351"/>
      <c r="D221" s="256"/>
      <c r="E221" s="256"/>
      <c r="F221" s="256"/>
      <c r="G221" s="256"/>
      <c r="H221" s="256"/>
      <c r="I221" s="256"/>
      <c r="J221" s="256"/>
      <c r="K221" s="256"/>
      <c r="L221" s="256"/>
    </row>
    <row r="222" spans="2:12" x14ac:dyDescent="0.3">
      <c r="B222" s="256"/>
      <c r="C222" s="357"/>
      <c r="D222" s="256"/>
      <c r="E222" s="256"/>
      <c r="F222" s="256"/>
      <c r="G222" s="256"/>
      <c r="H222" s="256"/>
      <c r="I222" s="262"/>
      <c r="J222" s="256"/>
      <c r="K222" s="256"/>
      <c r="L222" s="256"/>
    </row>
    <row r="223" spans="2:12" x14ac:dyDescent="0.3">
      <c r="B223" s="256"/>
      <c r="C223" s="351"/>
      <c r="D223" s="256"/>
      <c r="E223" s="256"/>
      <c r="F223" s="256"/>
      <c r="G223" s="256"/>
      <c r="H223" s="256"/>
      <c r="I223" s="256"/>
      <c r="J223" s="256"/>
      <c r="K223" s="256"/>
      <c r="L223" s="256"/>
    </row>
    <row r="224" spans="2:12" x14ac:dyDescent="0.3">
      <c r="B224" s="356"/>
      <c r="C224" s="353"/>
      <c r="D224" s="256"/>
      <c r="E224" s="256"/>
      <c r="F224" s="256"/>
      <c r="G224" s="256"/>
      <c r="H224" s="256"/>
      <c r="I224" s="256"/>
      <c r="J224" s="256"/>
      <c r="K224" s="256"/>
      <c r="L224" s="256"/>
    </row>
    <row r="225" spans="2:12" x14ac:dyDescent="0.3">
      <c r="B225" s="256"/>
      <c r="C225" s="256"/>
      <c r="D225" s="256"/>
      <c r="E225" s="256"/>
      <c r="F225" s="256"/>
      <c r="G225" s="256"/>
      <c r="H225" s="256"/>
      <c r="I225" s="256"/>
      <c r="J225" s="256"/>
      <c r="K225" s="256"/>
      <c r="L225" s="256"/>
    </row>
    <row r="226" spans="2:12" x14ac:dyDescent="0.3">
      <c r="B226" s="355"/>
      <c r="C226" s="256"/>
      <c r="D226" s="256"/>
      <c r="E226" s="256"/>
      <c r="F226" s="262"/>
      <c r="G226" s="262"/>
      <c r="H226" s="262"/>
      <c r="I226" s="262"/>
      <c r="J226" s="256"/>
      <c r="K226" s="256"/>
      <c r="L226" s="256"/>
    </row>
    <row r="227" spans="2:12" x14ac:dyDescent="0.3">
      <c r="B227" s="354"/>
      <c r="C227" s="353"/>
      <c r="D227" s="256"/>
      <c r="E227" s="256"/>
      <c r="F227" s="256"/>
      <c r="G227" s="352"/>
      <c r="H227" s="352"/>
      <c r="I227" s="352"/>
      <c r="J227" s="256"/>
      <c r="K227" s="256"/>
      <c r="L227" s="256"/>
    </row>
    <row r="228" spans="2:12" x14ac:dyDescent="0.3">
      <c r="B228" s="256"/>
      <c r="C228" s="351"/>
      <c r="D228" s="256"/>
      <c r="E228" s="256"/>
      <c r="F228" s="262"/>
      <c r="G228" s="262"/>
      <c r="H228" s="262"/>
      <c r="I228" s="262"/>
      <c r="J228" s="256"/>
      <c r="K228" s="256"/>
      <c r="L228" s="256"/>
    </row>
    <row r="229" spans="2:12" x14ac:dyDescent="0.3">
      <c r="B229" s="256"/>
      <c r="C229" s="256"/>
      <c r="D229" s="256"/>
      <c r="E229" s="256"/>
      <c r="F229" s="262"/>
      <c r="G229" s="243"/>
      <c r="H229" s="243"/>
      <c r="I229" s="243"/>
      <c r="J229" s="256"/>
      <c r="K229" s="269"/>
      <c r="L229" s="256"/>
    </row>
    <row r="230" spans="2:12" x14ac:dyDescent="0.3">
      <c r="B230" s="256"/>
      <c r="C230" s="351"/>
      <c r="D230" s="256"/>
      <c r="E230" s="256"/>
      <c r="F230" s="256"/>
      <c r="G230" s="256"/>
      <c r="H230" s="256"/>
      <c r="I230" s="256"/>
      <c r="J230" s="256"/>
      <c r="K230" s="256"/>
      <c r="L230" s="256"/>
    </row>
    <row r="231" spans="2:12" x14ac:dyDescent="0.3">
      <c r="B231" s="256"/>
      <c r="C231" s="269"/>
      <c r="D231" s="256"/>
      <c r="E231" s="256"/>
      <c r="F231" s="256"/>
      <c r="G231" s="256"/>
      <c r="H231" s="256"/>
      <c r="I231" s="256"/>
      <c r="J231" s="256"/>
      <c r="K231" s="256"/>
      <c r="L231" s="256"/>
    </row>
    <row r="232" spans="2:12" x14ac:dyDescent="0.3">
      <c r="B232" s="256"/>
      <c r="C232" s="256"/>
      <c r="D232" s="256"/>
      <c r="E232" s="256"/>
      <c r="F232" s="256"/>
      <c r="G232" s="256"/>
      <c r="H232" s="256"/>
      <c r="I232" s="256"/>
      <c r="J232" s="256"/>
      <c r="K232" s="256"/>
      <c r="L232" s="256"/>
    </row>
    <row r="233" spans="2:12" x14ac:dyDescent="0.3">
      <c r="B233" s="256"/>
      <c r="C233" s="256"/>
      <c r="D233" s="256"/>
      <c r="E233" s="256"/>
      <c r="F233" s="256"/>
      <c r="G233" s="256"/>
      <c r="H233" s="256"/>
      <c r="I233" s="256"/>
      <c r="J233" s="256"/>
      <c r="K233" s="256"/>
      <c r="L233" s="256"/>
    </row>
    <row r="234" spans="2:12" x14ac:dyDescent="0.3">
      <c r="B234" s="256"/>
      <c r="C234" s="256"/>
      <c r="D234" s="256"/>
      <c r="E234" s="256"/>
      <c r="F234" s="256"/>
      <c r="G234" s="256"/>
      <c r="H234" s="256"/>
      <c r="I234" s="256"/>
      <c r="J234" s="256"/>
      <c r="K234" s="256"/>
      <c r="L234" s="256"/>
    </row>
    <row r="235" spans="2:12" x14ac:dyDescent="0.3">
      <c r="B235" s="256"/>
      <c r="C235" s="256"/>
      <c r="D235" s="256"/>
      <c r="E235" s="256"/>
      <c r="F235" s="256"/>
      <c r="G235" s="256"/>
      <c r="H235" s="256"/>
      <c r="I235" s="256"/>
      <c r="J235" s="256"/>
      <c r="K235" s="256"/>
      <c r="L235" s="256"/>
    </row>
    <row r="236" spans="2:12" x14ac:dyDescent="0.3">
      <c r="B236" s="256"/>
      <c r="C236" s="256"/>
      <c r="D236" s="256"/>
      <c r="E236" s="256"/>
      <c r="F236" s="256"/>
      <c r="G236" s="256"/>
      <c r="H236" s="256"/>
      <c r="I236" s="256"/>
      <c r="J236" s="256"/>
      <c r="K236" s="256"/>
      <c r="L236" s="256"/>
    </row>
    <row r="237" spans="2:12" x14ac:dyDescent="0.3">
      <c r="B237" s="256"/>
      <c r="C237" s="256"/>
      <c r="D237" s="256"/>
      <c r="E237" s="256"/>
      <c r="F237" s="256"/>
      <c r="G237" s="256"/>
      <c r="H237" s="256"/>
      <c r="I237" s="256"/>
      <c r="J237" s="256"/>
      <c r="K237" s="256"/>
      <c r="L237" s="256"/>
    </row>
    <row r="238" spans="2:12" x14ac:dyDescent="0.3">
      <c r="B238" s="256"/>
      <c r="C238" s="256"/>
      <c r="D238" s="256"/>
      <c r="E238" s="256"/>
      <c r="F238" s="256"/>
      <c r="G238" s="256"/>
      <c r="H238" s="256"/>
      <c r="I238" s="256"/>
      <c r="J238" s="256"/>
      <c r="K238" s="256"/>
      <c r="L238" s="256"/>
    </row>
    <row r="239" spans="2:12" x14ac:dyDescent="0.3">
      <c r="B239" s="256"/>
      <c r="C239" s="256"/>
      <c r="D239" s="256"/>
      <c r="E239" s="256"/>
      <c r="F239" s="256"/>
      <c r="G239" s="256"/>
      <c r="H239" s="256"/>
      <c r="I239" s="256"/>
      <c r="J239" s="256"/>
      <c r="K239" s="256"/>
      <c r="L239" s="256"/>
    </row>
    <row r="240" spans="2:12" x14ac:dyDescent="0.3">
      <c r="B240" s="256"/>
      <c r="C240" s="256"/>
      <c r="D240" s="256"/>
      <c r="E240" s="256"/>
      <c r="F240" s="256"/>
      <c r="G240" s="256"/>
      <c r="H240" s="256"/>
      <c r="I240" s="256"/>
      <c r="J240" s="256"/>
      <c r="K240" s="256"/>
      <c r="L240" s="256"/>
    </row>
    <row r="241" spans="2:12" x14ac:dyDescent="0.3">
      <c r="B241" s="256"/>
      <c r="C241" s="256"/>
      <c r="D241" s="256"/>
      <c r="E241" s="256"/>
      <c r="F241" s="256"/>
      <c r="G241" s="256"/>
      <c r="H241" s="256"/>
      <c r="I241" s="256"/>
      <c r="J241" s="256"/>
      <c r="K241" s="256"/>
      <c r="L241" s="256"/>
    </row>
    <row r="242" spans="2:12" x14ac:dyDescent="0.3">
      <c r="B242" s="256"/>
      <c r="C242" s="256"/>
      <c r="D242" s="256"/>
      <c r="E242" s="256"/>
      <c r="F242" s="256"/>
      <c r="G242" s="256"/>
      <c r="H242" s="256"/>
      <c r="I242" s="256"/>
      <c r="J242" s="256"/>
      <c r="K242" s="256"/>
      <c r="L242" s="256"/>
    </row>
  </sheetData>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1"/>
  <sheetViews>
    <sheetView topLeftCell="A151" zoomScaleNormal="100" workbookViewId="0">
      <selection activeCell="C231" sqref="C231"/>
    </sheetView>
  </sheetViews>
  <sheetFormatPr defaultColWidth="11.5703125" defaultRowHeight="18.75" x14ac:dyDescent="0.3"/>
  <cols>
    <col min="1" max="1" width="10.85546875" style="83" customWidth="1"/>
    <col min="2" max="2" width="34.7109375" style="1" customWidth="1"/>
    <col min="3" max="3" width="17" style="1" customWidth="1"/>
    <col min="4" max="4" width="14.28515625" style="1" customWidth="1"/>
    <col min="5" max="5" width="29.28515625" style="1" customWidth="1"/>
    <col min="6" max="6" width="21.42578125" style="1" customWidth="1"/>
    <col min="7" max="7" width="19.140625" style="1" customWidth="1"/>
    <col min="8" max="8" width="15.85546875" style="1" customWidth="1"/>
    <col min="9" max="9" width="18.28515625" style="1" customWidth="1"/>
    <col min="10" max="10" width="15" style="1" customWidth="1"/>
    <col min="11" max="11" width="16.7109375" style="1" customWidth="1"/>
    <col min="12" max="12" width="15.7109375" style="1" customWidth="1"/>
    <col min="13" max="13" width="17.140625" style="1" customWidth="1"/>
    <col min="14" max="16384" width="11.5703125" style="1"/>
  </cols>
  <sheetData>
    <row r="1" spans="1:8" x14ac:dyDescent="0.3">
      <c r="B1" s="400"/>
      <c r="C1" s="256"/>
      <c r="D1" s="256"/>
      <c r="E1" s="256"/>
      <c r="F1" s="256"/>
      <c r="G1" s="256"/>
      <c r="H1" s="256"/>
    </row>
    <row r="2" spans="1:8" x14ac:dyDescent="0.3">
      <c r="A2" s="83">
        <v>1</v>
      </c>
      <c r="B2" s="261" t="s">
        <v>992</v>
      </c>
      <c r="C2" s="256"/>
      <c r="D2" s="256"/>
      <c r="E2" s="256"/>
      <c r="F2" s="256"/>
      <c r="G2" s="256"/>
      <c r="H2" s="256"/>
    </row>
    <row r="3" spans="1:8" x14ac:dyDescent="0.3">
      <c r="B3" s="256" t="s">
        <v>991</v>
      </c>
      <c r="C3" s="387"/>
      <c r="D3" s="387"/>
      <c r="E3" s="256"/>
      <c r="F3" s="256"/>
      <c r="G3" s="387"/>
      <c r="H3" s="387"/>
    </row>
    <row r="4" spans="1:8" x14ac:dyDescent="0.3">
      <c r="B4" s="399"/>
      <c r="C4" s="256"/>
      <c r="D4" s="256"/>
      <c r="E4" s="256"/>
      <c r="F4" s="399"/>
      <c r="G4" s="256"/>
      <c r="H4" s="256"/>
    </row>
    <row r="5" spans="1:8" x14ac:dyDescent="0.3">
      <c r="B5" s="355" t="s">
        <v>928</v>
      </c>
      <c r="C5" s="353"/>
      <c r="D5" s="353"/>
      <c r="E5" s="256"/>
      <c r="F5" s="256"/>
      <c r="G5" s="353"/>
      <c r="H5" s="353"/>
    </row>
    <row r="6" spans="1:8" x14ac:dyDescent="0.3">
      <c r="B6" s="256" t="s">
        <v>990</v>
      </c>
      <c r="C6" s="351">
        <v>100</v>
      </c>
      <c r="D6" s="353"/>
      <c r="E6" s="256"/>
      <c r="F6" s="256"/>
      <c r="G6" s="353"/>
      <c r="H6" s="353"/>
    </row>
    <row r="7" spans="1:8" x14ac:dyDescent="0.3">
      <c r="B7" s="256" t="s">
        <v>83</v>
      </c>
      <c r="C7" s="357">
        <v>0.05</v>
      </c>
      <c r="D7" s="353"/>
      <c r="E7" s="256"/>
      <c r="F7" s="256"/>
      <c r="G7" s="353"/>
      <c r="H7" s="353"/>
    </row>
    <row r="8" spans="1:8" x14ac:dyDescent="0.3">
      <c r="B8" s="369" t="s">
        <v>5</v>
      </c>
      <c r="C8" s="391">
        <v>3</v>
      </c>
      <c r="D8" s="372" t="s">
        <v>6</v>
      </c>
      <c r="E8" s="256"/>
      <c r="F8" s="398"/>
      <c r="G8" s="397"/>
      <c r="H8" s="397"/>
    </row>
    <row r="9" spans="1:8" x14ac:dyDescent="0.3">
      <c r="B9" s="393"/>
      <c r="C9" s="353"/>
      <c r="D9" s="353"/>
      <c r="E9" s="256"/>
      <c r="F9" s="256"/>
      <c r="G9" s="353"/>
      <c r="H9" s="353"/>
    </row>
    <row r="10" spans="1:8" x14ac:dyDescent="0.3">
      <c r="B10" s="355" t="s">
        <v>15</v>
      </c>
      <c r="C10" s="256"/>
      <c r="D10" s="256"/>
      <c r="E10" s="256"/>
      <c r="F10" s="392"/>
      <c r="G10" s="397"/>
      <c r="H10" s="397"/>
    </row>
    <row r="11" spans="1:8" x14ac:dyDescent="0.3">
      <c r="B11" s="354"/>
      <c r="C11" s="353"/>
      <c r="D11" s="353"/>
      <c r="E11" s="256"/>
      <c r="F11" s="394"/>
      <c r="G11" s="353"/>
      <c r="H11" s="353"/>
    </row>
    <row r="12" spans="1:8" x14ac:dyDescent="0.3">
      <c r="B12" s="396" t="s">
        <v>957</v>
      </c>
      <c r="C12" s="351">
        <f>C6*(1+C7)^C8</f>
        <v>115.76250000000002</v>
      </c>
      <c r="D12" s="353"/>
      <c r="E12" s="256"/>
      <c r="F12" s="395"/>
      <c r="G12" s="353"/>
      <c r="H12" s="353"/>
    </row>
    <row r="13" spans="1:8" x14ac:dyDescent="0.3">
      <c r="B13" s="392"/>
      <c r="C13" s="353"/>
      <c r="D13" s="353"/>
      <c r="E13" s="256"/>
      <c r="F13" s="394"/>
      <c r="G13" s="353"/>
      <c r="H13" s="353"/>
    </row>
    <row r="14" spans="1:8" x14ac:dyDescent="0.3">
      <c r="B14" s="256"/>
      <c r="C14" s="256"/>
      <c r="D14" s="256"/>
      <c r="E14" s="256"/>
      <c r="F14" s="393"/>
      <c r="G14" s="387"/>
      <c r="H14" s="387"/>
    </row>
    <row r="15" spans="1:8" x14ac:dyDescent="0.3">
      <c r="A15" s="83" t="s">
        <v>403</v>
      </c>
      <c r="B15" s="256" t="s">
        <v>989</v>
      </c>
      <c r="C15" s="256"/>
      <c r="D15" s="256"/>
      <c r="E15" s="256"/>
      <c r="F15" s="392"/>
      <c r="G15" s="262"/>
      <c r="H15" s="262"/>
    </row>
    <row r="16" spans="1:8" x14ac:dyDescent="0.3">
      <c r="B16" s="256" t="s">
        <v>988</v>
      </c>
      <c r="C16" s="353"/>
      <c r="D16" s="353"/>
      <c r="E16" s="256"/>
      <c r="F16" s="256"/>
      <c r="G16" s="256"/>
      <c r="H16" s="256"/>
    </row>
    <row r="17" spans="1:8" x14ac:dyDescent="0.3">
      <c r="B17" s="256"/>
      <c r="C17" s="387"/>
      <c r="D17" s="387"/>
      <c r="E17" s="256"/>
      <c r="F17" s="256"/>
      <c r="G17" s="256"/>
      <c r="H17" s="256"/>
    </row>
    <row r="18" spans="1:8" x14ac:dyDescent="0.3">
      <c r="B18" s="355" t="s">
        <v>928</v>
      </c>
      <c r="C18" s="353"/>
      <c r="D18" s="353"/>
      <c r="E18" s="256"/>
      <c r="F18" s="256"/>
      <c r="G18" s="256"/>
      <c r="H18" s="256"/>
    </row>
    <row r="19" spans="1:8" x14ac:dyDescent="0.3">
      <c r="B19" s="256" t="s">
        <v>97</v>
      </c>
      <c r="C19" s="351">
        <v>1000</v>
      </c>
      <c r="D19" s="353"/>
      <c r="E19" s="256"/>
      <c r="F19" s="256"/>
      <c r="G19" s="256"/>
      <c r="H19" s="256"/>
    </row>
    <row r="20" spans="1:8" x14ac:dyDescent="0.3">
      <c r="B20" s="256" t="s">
        <v>83</v>
      </c>
      <c r="C20" s="357">
        <v>0.09</v>
      </c>
      <c r="D20" s="353"/>
      <c r="E20" s="256"/>
      <c r="F20" s="256"/>
      <c r="G20" s="256"/>
      <c r="H20" s="256"/>
    </row>
    <row r="21" spans="1:8" x14ac:dyDescent="0.3">
      <c r="B21" s="369" t="s">
        <v>5</v>
      </c>
      <c r="C21" s="391">
        <v>7</v>
      </c>
      <c r="D21" s="372" t="s">
        <v>6</v>
      </c>
      <c r="E21" s="256"/>
      <c r="F21" s="256"/>
      <c r="G21" s="256"/>
      <c r="H21" s="256"/>
    </row>
    <row r="22" spans="1:8" x14ac:dyDescent="0.3">
      <c r="B22" s="393"/>
      <c r="C22" s="353"/>
      <c r="D22" s="353"/>
      <c r="E22" s="256"/>
      <c r="F22" s="256"/>
      <c r="G22" s="256"/>
      <c r="H22" s="256"/>
    </row>
    <row r="23" spans="1:8" x14ac:dyDescent="0.3">
      <c r="B23" s="355" t="s">
        <v>15</v>
      </c>
      <c r="C23" s="256"/>
      <c r="D23" s="256"/>
      <c r="E23" s="256"/>
      <c r="F23" s="256"/>
      <c r="G23" s="256"/>
      <c r="H23" s="256"/>
    </row>
    <row r="24" spans="1:8" x14ac:dyDescent="0.3">
      <c r="B24" s="354"/>
      <c r="C24" s="353"/>
      <c r="D24" s="353"/>
      <c r="E24" s="256"/>
      <c r="F24" s="256"/>
      <c r="G24" s="256"/>
      <c r="H24" s="256"/>
    </row>
    <row r="25" spans="1:8" x14ac:dyDescent="0.3">
      <c r="B25" s="396" t="s">
        <v>957</v>
      </c>
      <c r="C25" s="351">
        <f>C19*(1+C20)^C21</f>
        <v>1828.0391208166907</v>
      </c>
      <c r="D25" s="353"/>
      <c r="E25" s="256"/>
      <c r="F25" s="256"/>
      <c r="G25" s="256"/>
      <c r="H25" s="256"/>
    </row>
    <row r="26" spans="1:8" x14ac:dyDescent="0.3">
      <c r="B26" s="256"/>
      <c r="C26" s="256"/>
      <c r="D26" s="256"/>
      <c r="E26" s="256"/>
      <c r="F26" s="256"/>
      <c r="G26" s="256"/>
      <c r="H26" s="256"/>
    </row>
    <row r="27" spans="1:8" x14ac:dyDescent="0.3">
      <c r="B27" s="256"/>
      <c r="C27" s="387"/>
      <c r="D27" s="387"/>
      <c r="E27" s="256"/>
      <c r="F27" s="256"/>
      <c r="G27" s="256"/>
      <c r="H27" s="256"/>
    </row>
    <row r="28" spans="1:8" x14ac:dyDescent="0.3">
      <c r="A28" s="83" t="s">
        <v>397</v>
      </c>
      <c r="B28" s="256" t="s">
        <v>987</v>
      </c>
      <c r="C28" s="262"/>
      <c r="D28" s="262"/>
      <c r="E28" s="256"/>
      <c r="F28" s="256"/>
      <c r="G28" s="256"/>
      <c r="H28" s="256"/>
    </row>
    <row r="29" spans="1:8" x14ac:dyDescent="0.3">
      <c r="B29" s="256" t="s">
        <v>986</v>
      </c>
      <c r="C29" s="256"/>
      <c r="D29" s="256"/>
      <c r="E29" s="256"/>
      <c r="F29" s="256"/>
      <c r="G29" s="256"/>
      <c r="H29" s="256"/>
    </row>
    <row r="30" spans="1:8" x14ac:dyDescent="0.3">
      <c r="E30" s="256"/>
      <c r="F30" s="256"/>
      <c r="G30" s="256"/>
      <c r="H30" s="256"/>
    </row>
    <row r="31" spans="1:8" x14ac:dyDescent="0.3">
      <c r="B31" s="355" t="s">
        <v>928</v>
      </c>
      <c r="C31" s="353"/>
      <c r="D31" s="353"/>
      <c r="E31" s="256"/>
      <c r="F31" s="256"/>
      <c r="G31" s="256"/>
      <c r="H31" s="256"/>
    </row>
    <row r="32" spans="1:8" x14ac:dyDescent="0.3">
      <c r="B32" s="256" t="s">
        <v>957</v>
      </c>
      <c r="C32" s="351">
        <v>1828.04</v>
      </c>
      <c r="D32" s="353"/>
      <c r="E32" s="256"/>
      <c r="F32" s="256"/>
      <c r="G32" s="256"/>
      <c r="H32" s="256"/>
    </row>
    <row r="33" spans="1:8" x14ac:dyDescent="0.3">
      <c r="B33" s="256" t="s">
        <v>83</v>
      </c>
      <c r="C33" s="357">
        <v>0.09</v>
      </c>
      <c r="D33" s="353"/>
      <c r="E33" s="256"/>
      <c r="F33" s="256"/>
      <c r="G33" s="256"/>
      <c r="H33" s="256"/>
    </row>
    <row r="34" spans="1:8" x14ac:dyDescent="0.3">
      <c r="B34" s="369" t="s">
        <v>5</v>
      </c>
      <c r="C34" s="391">
        <v>7</v>
      </c>
      <c r="D34" s="372" t="s">
        <v>6</v>
      </c>
      <c r="E34" s="256"/>
      <c r="F34" s="256"/>
      <c r="G34" s="256"/>
      <c r="H34" s="256"/>
    </row>
    <row r="35" spans="1:8" x14ac:dyDescent="0.3">
      <c r="B35" s="393"/>
      <c r="C35" s="353"/>
      <c r="D35" s="353"/>
      <c r="E35" s="256"/>
      <c r="F35" s="256"/>
      <c r="G35" s="256"/>
      <c r="H35" s="256"/>
    </row>
    <row r="36" spans="1:8" x14ac:dyDescent="0.3">
      <c r="B36" s="355" t="s">
        <v>15</v>
      </c>
      <c r="C36" s="256"/>
      <c r="D36" s="256"/>
      <c r="E36" s="256"/>
      <c r="F36" s="256"/>
      <c r="G36" s="256"/>
      <c r="H36" s="256"/>
    </row>
    <row r="37" spans="1:8" x14ac:dyDescent="0.3">
      <c r="B37" s="354"/>
      <c r="C37" s="353"/>
      <c r="D37" s="353"/>
      <c r="E37" s="410"/>
    </row>
    <row r="38" spans="1:8" x14ac:dyDescent="0.3">
      <c r="B38" s="396" t="s">
        <v>97</v>
      </c>
      <c r="C38" s="351">
        <f>C32/(1+C33)^C34</f>
        <v>1000.0004809433777</v>
      </c>
      <c r="D38" s="353"/>
      <c r="E38" s="410"/>
    </row>
    <row r="39" spans="1:8" x14ac:dyDescent="0.3">
      <c r="B39" s="410"/>
      <c r="C39" s="410"/>
      <c r="D39" s="410"/>
      <c r="E39" s="410"/>
    </row>
    <row r="40" spans="1:8" x14ac:dyDescent="0.3">
      <c r="B40" s="410"/>
      <c r="C40" s="244"/>
      <c r="D40" s="410"/>
      <c r="E40" s="410"/>
    </row>
    <row r="41" spans="1:8" x14ac:dyDescent="0.3">
      <c r="A41" s="83" t="s">
        <v>246</v>
      </c>
      <c r="B41" s="66" t="s">
        <v>985</v>
      </c>
      <c r="C41" s="244"/>
      <c r="D41" s="410"/>
      <c r="E41" s="410"/>
    </row>
    <row r="42" spans="1:8" x14ac:dyDescent="0.3">
      <c r="B42" s="410"/>
      <c r="C42" s="410"/>
      <c r="D42" s="410"/>
      <c r="E42" s="410"/>
    </row>
    <row r="43" spans="1:8" x14ac:dyDescent="0.3">
      <c r="B43" s="355" t="s">
        <v>928</v>
      </c>
      <c r="C43" s="353"/>
      <c r="D43" s="353"/>
      <c r="E43" s="410"/>
    </row>
    <row r="44" spans="1:8" x14ac:dyDescent="0.3">
      <c r="B44" s="1" t="s">
        <v>97</v>
      </c>
      <c r="C44" s="351">
        <v>5000</v>
      </c>
      <c r="D44" s="353"/>
    </row>
    <row r="45" spans="1:8" x14ac:dyDescent="0.3">
      <c r="B45" s="256" t="s">
        <v>957</v>
      </c>
      <c r="C45" s="351">
        <v>10000</v>
      </c>
      <c r="D45" s="353"/>
    </row>
    <row r="46" spans="1:8" x14ac:dyDescent="0.3">
      <c r="B46" s="256" t="s">
        <v>83</v>
      </c>
      <c r="C46" s="357">
        <v>0.12</v>
      </c>
      <c r="D46" s="372"/>
    </row>
    <row r="47" spans="1:8" x14ac:dyDescent="0.3">
      <c r="B47" s="369"/>
      <c r="C47" s="391"/>
      <c r="D47" s="353"/>
    </row>
    <row r="48" spans="1:8" x14ac:dyDescent="0.3">
      <c r="B48" s="356" t="s">
        <v>984</v>
      </c>
      <c r="C48" s="353"/>
      <c r="D48" s="256"/>
    </row>
    <row r="49" spans="1:4" x14ac:dyDescent="0.3">
      <c r="D49" s="353"/>
    </row>
    <row r="50" spans="1:4" x14ac:dyDescent="0.3">
      <c r="B50" s="355" t="s">
        <v>15</v>
      </c>
      <c r="C50" s="256"/>
      <c r="D50" s="353"/>
    </row>
    <row r="51" spans="1:4" x14ac:dyDescent="0.3">
      <c r="B51" s="354"/>
      <c r="C51" s="353"/>
    </row>
    <row r="52" spans="1:4" x14ac:dyDescent="0.3">
      <c r="B52" s="1" t="s">
        <v>983</v>
      </c>
      <c r="C52" s="414">
        <f>C45/C44</f>
        <v>2</v>
      </c>
    </row>
    <row r="54" spans="1:4" x14ac:dyDescent="0.3">
      <c r="B54" s="1" t="s">
        <v>5</v>
      </c>
      <c r="C54" s="409">
        <f>LN(C52)/LN(1+C46)</f>
        <v>6.1162553741996994</v>
      </c>
      <c r="D54" s="1" t="s">
        <v>6</v>
      </c>
    </row>
    <row r="60" spans="1:4" x14ac:dyDescent="0.3">
      <c r="A60" s="83" t="s">
        <v>229</v>
      </c>
      <c r="B60" s="1" t="s">
        <v>982</v>
      </c>
    </row>
    <row r="61" spans="1:4" x14ac:dyDescent="0.3">
      <c r="B61" s="1" t="s">
        <v>981</v>
      </c>
    </row>
    <row r="62" spans="1:4" x14ac:dyDescent="0.3">
      <c r="B62" s="1" t="s">
        <v>980</v>
      </c>
    </row>
    <row r="63" spans="1:4" x14ac:dyDescent="0.3">
      <c r="B63" s="1" t="s">
        <v>979</v>
      </c>
    </row>
    <row r="64" spans="1:4" x14ac:dyDescent="0.3">
      <c r="B64" s="1" t="s">
        <v>978</v>
      </c>
    </row>
    <row r="66" spans="2:10" x14ac:dyDescent="0.3">
      <c r="B66" s="355" t="s">
        <v>928</v>
      </c>
      <c r="C66" s="353"/>
      <c r="D66" s="353"/>
    </row>
    <row r="67" spans="2:10" x14ac:dyDescent="0.3">
      <c r="B67" s="1" t="s">
        <v>97</v>
      </c>
      <c r="C67" s="351">
        <v>100</v>
      </c>
      <c r="D67" s="353"/>
    </row>
    <row r="68" spans="2:10" x14ac:dyDescent="0.3">
      <c r="B68" s="256" t="s">
        <v>977</v>
      </c>
      <c r="C68" s="92">
        <v>0.08</v>
      </c>
    </row>
    <row r="69" spans="2:10" x14ac:dyDescent="0.3">
      <c r="B69" s="256"/>
      <c r="C69" s="357"/>
      <c r="D69" s="353"/>
      <c r="E69" s="6" t="s">
        <v>976</v>
      </c>
      <c r="F69" s="81" t="s">
        <v>975</v>
      </c>
      <c r="G69" s="65" t="s">
        <v>974</v>
      </c>
    </row>
    <row r="70" spans="2:10" x14ac:dyDescent="0.3">
      <c r="B70" s="369"/>
      <c r="C70" s="391"/>
      <c r="D70" s="413">
        <v>1</v>
      </c>
      <c r="E70" s="6" t="s">
        <v>973</v>
      </c>
      <c r="F70" s="81">
        <f>$C$68</f>
        <v>0.08</v>
      </c>
      <c r="G70" s="412">
        <f>(1+F70/D70)^D70-1</f>
        <v>8.0000000000000071E-2</v>
      </c>
      <c r="I70" s="410"/>
      <c r="J70" s="411"/>
    </row>
    <row r="71" spans="2:10" x14ac:dyDescent="0.3">
      <c r="B71" s="356" t="s">
        <v>964</v>
      </c>
      <c r="C71" s="353"/>
      <c r="D71" s="413">
        <v>2</v>
      </c>
      <c r="E71" s="6" t="s">
        <v>972</v>
      </c>
      <c r="F71" s="81">
        <f>$C$68</f>
        <v>0.08</v>
      </c>
      <c r="G71" s="412">
        <f>(1+F71/D71)^D71-1</f>
        <v>8.1600000000000117E-2</v>
      </c>
      <c r="I71" s="410"/>
      <c r="J71" s="410"/>
    </row>
    <row r="72" spans="2:10" x14ac:dyDescent="0.3">
      <c r="D72" s="386">
        <v>4</v>
      </c>
      <c r="E72" s="6" t="s">
        <v>971</v>
      </c>
      <c r="F72" s="81">
        <f>$C$68</f>
        <v>0.08</v>
      </c>
      <c r="G72" s="412">
        <f>(1+F72/D72)^D72-1</f>
        <v>8.2432159999999977E-2</v>
      </c>
      <c r="I72" s="410"/>
      <c r="J72" s="411"/>
    </row>
    <row r="73" spans="2:10" x14ac:dyDescent="0.3">
      <c r="D73" s="413">
        <v>12</v>
      </c>
      <c r="E73" s="6" t="s">
        <v>970</v>
      </c>
      <c r="F73" s="81">
        <f>$C$68</f>
        <v>0.08</v>
      </c>
      <c r="G73" s="412">
        <f>(1+F73/D73)^D73-1</f>
        <v>8.2999506807510004E-2</v>
      </c>
      <c r="I73" s="410"/>
      <c r="J73" s="411"/>
    </row>
    <row r="74" spans="2:10" x14ac:dyDescent="0.3">
      <c r="B74" s="355" t="s">
        <v>15</v>
      </c>
      <c r="C74" s="256"/>
      <c r="G74" s="117"/>
    </row>
    <row r="75" spans="2:10" x14ac:dyDescent="0.3">
      <c r="B75" s="354"/>
      <c r="C75" s="353"/>
    </row>
    <row r="76" spans="2:10" x14ac:dyDescent="0.3">
      <c r="B76" s="1" t="s">
        <v>969</v>
      </c>
      <c r="C76" s="351">
        <f>$C$67*(1+G70)</f>
        <v>108</v>
      </c>
    </row>
    <row r="77" spans="2:10" x14ac:dyDescent="0.3">
      <c r="B77" s="1" t="s">
        <v>968</v>
      </c>
      <c r="C77" s="351">
        <f>$C$67*(1+G71)</f>
        <v>108.16000000000001</v>
      </c>
    </row>
    <row r="78" spans="2:10" x14ac:dyDescent="0.3">
      <c r="B78" s="1" t="s">
        <v>967</v>
      </c>
      <c r="C78" s="351">
        <f>$C$67*(1+G72)</f>
        <v>108.243216</v>
      </c>
    </row>
    <row r="79" spans="2:10" x14ac:dyDescent="0.3">
      <c r="B79" s="1" t="s">
        <v>966</v>
      </c>
      <c r="C79" s="351">
        <f>$C$67*(1+G73)</f>
        <v>108.299950680751</v>
      </c>
    </row>
    <row r="82" spans="1:3" x14ac:dyDescent="0.3">
      <c r="A82" s="83" t="s">
        <v>875</v>
      </c>
      <c r="B82" s="1" t="s">
        <v>965</v>
      </c>
    </row>
    <row r="85" spans="1:3" x14ac:dyDescent="0.3">
      <c r="B85" s="355" t="s">
        <v>928</v>
      </c>
      <c r="C85" s="353"/>
    </row>
    <row r="86" spans="1:3" x14ac:dyDescent="0.3">
      <c r="B86" s="1" t="s">
        <v>97</v>
      </c>
      <c r="C86" s="351">
        <v>100</v>
      </c>
    </row>
    <row r="87" spans="1:3" x14ac:dyDescent="0.3">
      <c r="B87" s="256" t="s">
        <v>7</v>
      </c>
      <c r="C87" s="92">
        <v>0.08</v>
      </c>
    </row>
    <row r="88" spans="1:3" x14ac:dyDescent="0.3">
      <c r="C88" s="357"/>
    </row>
    <row r="89" spans="1:3" x14ac:dyDescent="0.3">
      <c r="B89" s="356" t="s">
        <v>964</v>
      </c>
      <c r="C89" s="391"/>
    </row>
    <row r="91" spans="1:3" x14ac:dyDescent="0.3">
      <c r="B91" s="355" t="s">
        <v>15</v>
      </c>
      <c r="C91" s="353"/>
    </row>
    <row r="93" spans="1:3" x14ac:dyDescent="0.3">
      <c r="B93" s="1" t="s">
        <v>963</v>
      </c>
      <c r="C93" s="9">
        <f>EXP(C87)-1</f>
        <v>8.3287067674958637E-2</v>
      </c>
    </row>
    <row r="94" spans="1:3" x14ac:dyDescent="0.3">
      <c r="C94" s="256"/>
    </row>
    <row r="95" spans="1:3" x14ac:dyDescent="0.3">
      <c r="B95" s="1" t="s">
        <v>957</v>
      </c>
      <c r="C95" s="351">
        <f>C86*(1+C93)</f>
        <v>108.32870676749586</v>
      </c>
    </row>
    <row r="97" spans="1:9" x14ac:dyDescent="0.3">
      <c r="A97" s="83" t="s">
        <v>209</v>
      </c>
      <c r="B97" s="1" t="s">
        <v>962</v>
      </c>
    </row>
    <row r="98" spans="1:9" x14ac:dyDescent="0.3">
      <c r="B98" s="1" t="s">
        <v>961</v>
      </c>
    </row>
    <row r="99" spans="1:9" x14ac:dyDescent="0.3">
      <c r="B99" s="1" t="s">
        <v>960</v>
      </c>
    </row>
    <row r="100" spans="1:9" x14ac:dyDescent="0.3">
      <c r="B100" s="1" t="s">
        <v>959</v>
      </c>
    </row>
    <row r="102" spans="1:9" x14ac:dyDescent="0.3">
      <c r="B102" s="355" t="s">
        <v>928</v>
      </c>
      <c r="C102" s="353"/>
      <c r="D102" s="353"/>
    </row>
    <row r="103" spans="1:9" x14ac:dyDescent="0.3">
      <c r="B103" s="1" t="s">
        <v>958</v>
      </c>
      <c r="C103" s="351">
        <v>-370000</v>
      </c>
      <c r="D103" s="353"/>
    </row>
    <row r="104" spans="1:9" x14ac:dyDescent="0.3">
      <c r="B104" s="256" t="s">
        <v>957</v>
      </c>
      <c r="C104" s="351">
        <v>420000</v>
      </c>
      <c r="D104" s="353"/>
    </row>
    <row r="105" spans="1:9" x14ac:dyDescent="0.3">
      <c r="B105" s="256" t="s">
        <v>83</v>
      </c>
      <c r="C105" s="357">
        <v>0.05</v>
      </c>
      <c r="D105" s="372"/>
    </row>
    <row r="106" spans="1:9" x14ac:dyDescent="0.3">
      <c r="B106" s="369"/>
      <c r="C106" s="391"/>
      <c r="D106" s="353"/>
    </row>
    <row r="107" spans="1:9" x14ac:dyDescent="0.3">
      <c r="B107" s="356" t="s">
        <v>949</v>
      </c>
      <c r="C107" s="353"/>
      <c r="D107" s="256"/>
    </row>
    <row r="108" spans="1:9" x14ac:dyDescent="0.3">
      <c r="D108" s="353"/>
    </row>
    <row r="109" spans="1:9" x14ac:dyDescent="0.3">
      <c r="B109" s="355" t="s">
        <v>15</v>
      </c>
      <c r="C109" s="256"/>
      <c r="D109" s="353"/>
      <c r="F109" s="6" t="s">
        <v>6</v>
      </c>
      <c r="G109" s="65">
        <v>0</v>
      </c>
      <c r="H109" s="65">
        <v>1</v>
      </c>
      <c r="I109" s="244"/>
    </row>
    <row r="110" spans="1:9" x14ac:dyDescent="0.3">
      <c r="B110" s="354"/>
      <c r="C110" s="353"/>
      <c r="F110" s="6" t="s">
        <v>943</v>
      </c>
      <c r="G110" s="11">
        <f>C103</f>
        <v>-370000</v>
      </c>
      <c r="H110" s="7">
        <f>C104</f>
        <v>420000</v>
      </c>
      <c r="I110" s="410"/>
    </row>
    <row r="111" spans="1:9" x14ac:dyDescent="0.3">
      <c r="B111" s="1" t="s">
        <v>948</v>
      </c>
      <c r="C111" s="370">
        <f>G112+H112</f>
        <v>30000</v>
      </c>
      <c r="F111" s="6" t="s">
        <v>190</v>
      </c>
      <c r="G111" s="13">
        <f>1/(1+$C$105)^G109</f>
        <v>1</v>
      </c>
      <c r="H111" s="13">
        <f>1/(1+$C$105)^H109</f>
        <v>0.95238095238095233</v>
      </c>
      <c r="I111" s="410"/>
    </row>
    <row r="112" spans="1:9" x14ac:dyDescent="0.3">
      <c r="F112" s="6" t="s">
        <v>924</v>
      </c>
      <c r="G112" s="11">
        <f>G111*G110</f>
        <v>-370000</v>
      </c>
      <c r="H112" s="11">
        <f>H111*H110</f>
        <v>400000</v>
      </c>
      <c r="I112" s="410"/>
    </row>
    <row r="113" spans="1:3" x14ac:dyDescent="0.3">
      <c r="C113" s="409"/>
    </row>
    <row r="123" spans="1:3" x14ac:dyDescent="0.3">
      <c r="A123" s="83" t="s">
        <v>205</v>
      </c>
      <c r="B123" s="66" t="s">
        <v>956</v>
      </c>
    </row>
    <row r="124" spans="1:3" x14ac:dyDescent="0.3">
      <c r="B124" s="10" t="s">
        <v>955</v>
      </c>
    </row>
    <row r="125" spans="1:3" x14ac:dyDescent="0.3">
      <c r="B125" s="10" t="s">
        <v>954</v>
      </c>
    </row>
    <row r="126" spans="1:3" x14ac:dyDescent="0.3">
      <c r="B126" s="66" t="s">
        <v>953</v>
      </c>
    </row>
    <row r="128" spans="1:3" x14ac:dyDescent="0.3">
      <c r="B128" s="355" t="s">
        <v>928</v>
      </c>
      <c r="C128" s="353"/>
    </row>
    <row r="129" spans="1:9" x14ac:dyDescent="0.3">
      <c r="B129" s="1" t="s">
        <v>952</v>
      </c>
      <c r="C129" s="351">
        <v>-370000</v>
      </c>
    </row>
    <row r="130" spans="1:9" x14ac:dyDescent="0.3">
      <c r="B130" s="256" t="s">
        <v>951</v>
      </c>
      <c r="C130" s="351">
        <v>20000</v>
      </c>
      <c r="F130" s="6" t="s">
        <v>6</v>
      </c>
      <c r="G130" s="65">
        <v>0</v>
      </c>
      <c r="H130" s="65">
        <v>1</v>
      </c>
      <c r="I130" s="65">
        <v>2</v>
      </c>
    </row>
    <row r="131" spans="1:9" x14ac:dyDescent="0.3">
      <c r="B131" s="1" t="s">
        <v>950</v>
      </c>
      <c r="C131" s="351">
        <f>20000+400000</f>
        <v>420000</v>
      </c>
      <c r="F131" s="6" t="s">
        <v>943</v>
      </c>
      <c r="G131" s="11">
        <f>C129</f>
        <v>-370000</v>
      </c>
      <c r="H131" s="11">
        <f>C130</f>
        <v>20000</v>
      </c>
      <c r="I131" s="11">
        <f>C131</f>
        <v>420000</v>
      </c>
    </row>
    <row r="132" spans="1:9" x14ac:dyDescent="0.3">
      <c r="B132" s="256" t="s">
        <v>83</v>
      </c>
      <c r="C132" s="357">
        <v>0.12</v>
      </c>
      <c r="F132" s="6" t="s">
        <v>190</v>
      </c>
      <c r="G132" s="13">
        <f>1/(1+$C$132)^G130</f>
        <v>1</v>
      </c>
      <c r="H132" s="13">
        <f>1/(1+$C$132)^H130</f>
        <v>0.89285714285714279</v>
      </c>
      <c r="I132" s="13">
        <f>1/(1+$C$132)^I130</f>
        <v>0.79719387755102034</v>
      </c>
    </row>
    <row r="133" spans="1:9" x14ac:dyDescent="0.3">
      <c r="B133" s="369"/>
      <c r="C133" s="391"/>
      <c r="F133" s="6" t="s">
        <v>924</v>
      </c>
      <c r="G133" s="11">
        <f>G132*G131</f>
        <v>-370000</v>
      </c>
      <c r="H133" s="11">
        <f>H132*H131</f>
        <v>17857.142857142855</v>
      </c>
      <c r="I133" s="11">
        <f>I132*I131</f>
        <v>334821.42857142852</v>
      </c>
    </row>
    <row r="134" spans="1:9" x14ac:dyDescent="0.3">
      <c r="B134" s="356" t="s">
        <v>949</v>
      </c>
      <c r="C134" s="353"/>
    </row>
    <row r="136" spans="1:9" x14ac:dyDescent="0.3">
      <c r="B136" s="355" t="s">
        <v>15</v>
      </c>
      <c r="C136" s="256"/>
    </row>
    <row r="137" spans="1:9" x14ac:dyDescent="0.3">
      <c r="B137" s="354"/>
      <c r="C137" s="353"/>
    </row>
    <row r="138" spans="1:9" x14ac:dyDescent="0.3">
      <c r="B138" s="1" t="s">
        <v>948</v>
      </c>
      <c r="C138" s="370">
        <f>SUM(G133:I133)</f>
        <v>-17321.428571428638</v>
      </c>
    </row>
    <row r="141" spans="1:9" x14ac:dyDescent="0.3">
      <c r="A141" s="83" t="s">
        <v>947</v>
      </c>
      <c r="B141" s="66" t="s">
        <v>946</v>
      </c>
    </row>
    <row r="143" spans="1:9" x14ac:dyDescent="0.3">
      <c r="B143" s="355" t="s">
        <v>928</v>
      </c>
      <c r="C143" s="353"/>
    </row>
    <row r="144" spans="1:9" x14ac:dyDescent="0.3">
      <c r="B144" s="1" t="s">
        <v>927</v>
      </c>
      <c r="C144" s="351">
        <v>100</v>
      </c>
    </row>
    <row r="145" spans="1:10" x14ac:dyDescent="0.3">
      <c r="B145" s="256" t="s">
        <v>83</v>
      </c>
      <c r="C145" s="357">
        <v>0.05</v>
      </c>
    </row>
    <row r="146" spans="1:10" x14ac:dyDescent="0.3">
      <c r="C146" s="351"/>
    </row>
    <row r="147" spans="1:10" x14ac:dyDescent="0.3">
      <c r="B147" s="356" t="s">
        <v>36</v>
      </c>
      <c r="C147" s="353"/>
    </row>
    <row r="149" spans="1:10" x14ac:dyDescent="0.3">
      <c r="B149" s="355" t="s">
        <v>15</v>
      </c>
      <c r="C149" s="256"/>
    </row>
    <row r="150" spans="1:10" x14ac:dyDescent="0.3">
      <c r="B150" s="354"/>
      <c r="C150" s="353"/>
    </row>
    <row r="151" spans="1:10" x14ac:dyDescent="0.3">
      <c r="B151" s="1" t="s">
        <v>97</v>
      </c>
      <c r="C151" s="351">
        <f>SUM(H157:J157)</f>
        <v>272.32480293704782</v>
      </c>
    </row>
    <row r="154" spans="1:10" x14ac:dyDescent="0.3">
      <c r="F154" s="6" t="s">
        <v>6</v>
      </c>
      <c r="G154" s="65">
        <v>0</v>
      </c>
      <c r="H154" s="65">
        <v>1</v>
      </c>
      <c r="I154" s="65">
        <v>2</v>
      </c>
      <c r="J154" s="65">
        <v>3</v>
      </c>
    </row>
    <row r="155" spans="1:10" x14ac:dyDescent="0.3">
      <c r="F155" s="6" t="s">
        <v>943</v>
      </c>
      <c r="G155" s="11"/>
      <c r="H155" s="11">
        <f>$C$144</f>
        <v>100</v>
      </c>
      <c r="I155" s="11">
        <f>$C$144</f>
        <v>100</v>
      </c>
      <c r="J155" s="11">
        <f>$C$144</f>
        <v>100</v>
      </c>
    </row>
    <row r="156" spans="1:10" x14ac:dyDescent="0.3">
      <c r="F156" s="6" t="s">
        <v>190</v>
      </c>
      <c r="G156" s="13">
        <f>1/(1+$C$145)^G154</f>
        <v>1</v>
      </c>
      <c r="H156" s="13">
        <f>1/(1+$C$145)^H154</f>
        <v>0.95238095238095233</v>
      </c>
      <c r="I156" s="13">
        <f>1/(1+$C$145)^I154</f>
        <v>0.90702947845804982</v>
      </c>
      <c r="J156" s="13">
        <f>1/(1+$C$145)^J154</f>
        <v>0.86383759853147601</v>
      </c>
    </row>
    <row r="157" spans="1:10" x14ac:dyDescent="0.3">
      <c r="F157" s="6" t="s">
        <v>924</v>
      </c>
      <c r="G157" s="11"/>
      <c r="H157" s="11">
        <f>H155*H156</f>
        <v>95.238095238095227</v>
      </c>
      <c r="I157" s="11">
        <f>I155*I156</f>
        <v>90.702947845804985</v>
      </c>
      <c r="J157" s="11">
        <f>J155*J156</f>
        <v>86.383759853147595</v>
      </c>
    </row>
    <row r="160" spans="1:10" x14ac:dyDescent="0.3">
      <c r="A160" s="83" t="s">
        <v>945</v>
      </c>
      <c r="B160" s="66" t="s">
        <v>944</v>
      </c>
    </row>
    <row r="162" spans="2:10" x14ac:dyDescent="0.3">
      <c r="B162" s="355" t="s">
        <v>928</v>
      </c>
      <c r="C162" s="353"/>
    </row>
    <row r="163" spans="2:10" x14ac:dyDescent="0.3">
      <c r="B163" s="1" t="s">
        <v>927</v>
      </c>
      <c r="C163" s="351">
        <v>100</v>
      </c>
    </row>
    <row r="164" spans="2:10" x14ac:dyDescent="0.3">
      <c r="B164" s="256" t="s">
        <v>83</v>
      </c>
      <c r="C164" s="357">
        <v>0.05</v>
      </c>
    </row>
    <row r="165" spans="2:10" x14ac:dyDescent="0.3">
      <c r="C165" s="351"/>
    </row>
    <row r="166" spans="2:10" x14ac:dyDescent="0.3">
      <c r="B166" s="356" t="s">
        <v>36</v>
      </c>
      <c r="C166" s="353"/>
    </row>
    <row r="168" spans="2:10" x14ac:dyDescent="0.3">
      <c r="B168" s="355" t="s">
        <v>15</v>
      </c>
      <c r="C168" s="256"/>
    </row>
    <row r="169" spans="2:10" x14ac:dyDescent="0.3">
      <c r="B169" s="354"/>
      <c r="C169" s="353"/>
    </row>
    <row r="170" spans="2:10" x14ac:dyDescent="0.3">
      <c r="B170" s="1" t="s">
        <v>97</v>
      </c>
      <c r="C170" s="351">
        <f>G176+H176+I176</f>
        <v>285.94104308390024</v>
      </c>
    </row>
    <row r="173" spans="2:10" x14ac:dyDescent="0.3">
      <c r="F173" s="6" t="s">
        <v>6</v>
      </c>
      <c r="G173" s="65">
        <v>0</v>
      </c>
      <c r="H173" s="65">
        <v>1</v>
      </c>
      <c r="I173" s="65">
        <v>2</v>
      </c>
      <c r="J173" s="244"/>
    </row>
    <row r="174" spans="2:10" x14ac:dyDescent="0.3">
      <c r="F174" s="6" t="s">
        <v>943</v>
      </c>
      <c r="G174" s="11">
        <f>$C$144</f>
        <v>100</v>
      </c>
      <c r="H174" s="11">
        <f>$C$144</f>
        <v>100</v>
      </c>
      <c r="I174" s="11">
        <f>$C$144</f>
        <v>100</v>
      </c>
      <c r="J174" s="407"/>
    </row>
    <row r="175" spans="2:10" x14ac:dyDescent="0.3">
      <c r="F175" s="6" t="s">
        <v>190</v>
      </c>
      <c r="G175" s="13">
        <f>1/(1+$C$145)^G173</f>
        <v>1</v>
      </c>
      <c r="H175" s="13">
        <f>1/(1+$C$145)^H173</f>
        <v>0.95238095238095233</v>
      </c>
      <c r="I175" s="13">
        <f>1/(1+$C$145)^I173</f>
        <v>0.90702947845804982</v>
      </c>
      <c r="J175" s="408"/>
    </row>
    <row r="176" spans="2:10" x14ac:dyDescent="0.3">
      <c r="F176" s="6" t="s">
        <v>924</v>
      </c>
      <c r="G176" s="11">
        <f>G174*G175</f>
        <v>100</v>
      </c>
      <c r="H176" s="11">
        <f>H174*H175</f>
        <v>95.238095238095227</v>
      </c>
      <c r="I176" s="11">
        <f>I174*I175</f>
        <v>90.702947845804985</v>
      </c>
      <c r="J176" s="407"/>
    </row>
    <row r="179" spans="1:3" x14ac:dyDescent="0.3">
      <c r="A179" s="83" t="s">
        <v>942</v>
      </c>
      <c r="B179" s="66" t="s">
        <v>941</v>
      </c>
    </row>
    <row r="180" spans="1:3" x14ac:dyDescent="0.3">
      <c r="B180" s="66" t="s">
        <v>940</v>
      </c>
    </row>
    <row r="182" spans="1:3" x14ac:dyDescent="0.3">
      <c r="B182" s="355" t="s">
        <v>928</v>
      </c>
      <c r="C182" s="353"/>
    </row>
    <row r="183" spans="1:3" x14ac:dyDescent="0.3">
      <c r="B183" s="1" t="s">
        <v>939</v>
      </c>
      <c r="C183" s="351">
        <v>1000</v>
      </c>
    </row>
    <row r="184" spans="1:3" x14ac:dyDescent="0.3">
      <c r="B184" s="256" t="s">
        <v>83</v>
      </c>
      <c r="C184" s="357">
        <v>0.1</v>
      </c>
    </row>
    <row r="185" spans="1:3" x14ac:dyDescent="0.3">
      <c r="C185" s="351"/>
    </row>
    <row r="186" spans="1:3" x14ac:dyDescent="0.3">
      <c r="B186" s="356" t="s">
        <v>938</v>
      </c>
      <c r="C186" s="353"/>
    </row>
    <row r="188" spans="1:3" x14ac:dyDescent="0.3">
      <c r="B188" s="355" t="s">
        <v>15</v>
      </c>
      <c r="C188" s="256"/>
    </row>
    <row r="189" spans="1:3" x14ac:dyDescent="0.3">
      <c r="B189" s="354"/>
      <c r="C189" s="353"/>
    </row>
    <row r="190" spans="1:3" x14ac:dyDescent="0.3">
      <c r="B190" s="1" t="s">
        <v>927</v>
      </c>
      <c r="C190" s="351">
        <f>C183*C184</f>
        <v>100</v>
      </c>
    </row>
    <row r="193" spans="1:14" ht="21" x14ac:dyDescent="0.3">
      <c r="A193" s="83" t="s">
        <v>937</v>
      </c>
      <c r="B193" s="66" t="s">
        <v>936</v>
      </c>
    </row>
    <row r="194" spans="1:14" x14ac:dyDescent="0.3">
      <c r="B194" s="1" t="s">
        <v>929</v>
      </c>
    </row>
    <row r="196" spans="1:14" x14ac:dyDescent="0.3">
      <c r="B196" s="355" t="s">
        <v>928</v>
      </c>
      <c r="C196" s="353"/>
    </row>
    <row r="197" spans="1:14" x14ac:dyDescent="0.3">
      <c r="B197" s="1" t="s">
        <v>927</v>
      </c>
      <c r="C197" s="351">
        <v>1000</v>
      </c>
    </row>
    <row r="198" spans="1:14" x14ac:dyDescent="0.3">
      <c r="B198" s="256" t="s">
        <v>83</v>
      </c>
      <c r="C198" s="357">
        <v>0.1</v>
      </c>
    </row>
    <row r="199" spans="1:14" x14ac:dyDescent="0.3">
      <c r="C199" s="351"/>
    </row>
    <row r="200" spans="1:14" x14ac:dyDescent="0.3">
      <c r="B200" s="356" t="s">
        <v>36</v>
      </c>
      <c r="C200" s="353"/>
    </row>
    <row r="202" spans="1:14" ht="23.25" x14ac:dyDescent="0.35">
      <c r="B202" s="355" t="s">
        <v>15</v>
      </c>
      <c r="C202" s="256"/>
      <c r="I202" s="60">
        <v>0</v>
      </c>
      <c r="J202" s="60">
        <v>1</v>
      </c>
      <c r="K202" s="60">
        <v>2</v>
      </c>
      <c r="L202" s="60">
        <v>3</v>
      </c>
      <c r="M202" s="60">
        <v>4</v>
      </c>
      <c r="N202" s="406" t="s">
        <v>94</v>
      </c>
    </row>
    <row r="203" spans="1:14" ht="23.25" x14ac:dyDescent="0.35">
      <c r="B203" s="354"/>
      <c r="C203" s="353"/>
      <c r="E203" s="6" t="s">
        <v>6</v>
      </c>
      <c r="F203" s="33">
        <v>0</v>
      </c>
      <c r="G203" s="33">
        <v>1</v>
      </c>
      <c r="H203" s="33">
        <v>2</v>
      </c>
      <c r="I203" s="33">
        <v>3</v>
      </c>
      <c r="J203" s="33">
        <v>4</v>
      </c>
      <c r="K203" s="33">
        <v>5</v>
      </c>
      <c r="L203" s="33">
        <v>6</v>
      </c>
      <c r="M203" s="33">
        <v>7</v>
      </c>
      <c r="N203" s="405" t="s">
        <v>94</v>
      </c>
    </row>
    <row r="204" spans="1:14" ht="23.25" x14ac:dyDescent="0.35">
      <c r="B204" s="1" t="s">
        <v>935</v>
      </c>
      <c r="C204" s="351">
        <f>C197/C198</f>
        <v>10000</v>
      </c>
      <c r="E204" s="6" t="s">
        <v>904</v>
      </c>
      <c r="G204" s="404" t="s">
        <v>934</v>
      </c>
      <c r="H204" s="65"/>
      <c r="I204" s="404" t="s">
        <v>933</v>
      </c>
      <c r="J204" s="403">
        <f>$C$197</f>
        <v>1000</v>
      </c>
      <c r="K204" s="403">
        <f>$C$197</f>
        <v>1000</v>
      </c>
      <c r="L204" s="403">
        <f>$C$197</f>
        <v>1000</v>
      </c>
      <c r="M204" s="403">
        <f>$C$197</f>
        <v>1000</v>
      </c>
      <c r="N204" s="402" t="s">
        <v>94</v>
      </c>
    </row>
    <row r="205" spans="1:14" ht="23.25" x14ac:dyDescent="0.35">
      <c r="E205" s="6" t="s">
        <v>925</v>
      </c>
      <c r="F205" s="65">
        <f t="shared" ref="F205:M205" si="0">1/(1+$C$198)^F203</f>
        <v>1</v>
      </c>
      <c r="G205" s="13">
        <f t="shared" si="0"/>
        <v>0.90909090909090906</v>
      </c>
      <c r="H205" s="13">
        <f t="shared" si="0"/>
        <v>0.82644628099173545</v>
      </c>
      <c r="I205" s="13">
        <f t="shared" si="0"/>
        <v>0.75131480090157754</v>
      </c>
      <c r="J205" s="13">
        <f t="shared" si="0"/>
        <v>0.68301345536507052</v>
      </c>
      <c r="K205" s="13">
        <f t="shared" si="0"/>
        <v>0.62092132305915493</v>
      </c>
      <c r="L205" s="13">
        <f t="shared" si="0"/>
        <v>0.56447393005377722</v>
      </c>
      <c r="M205" s="13">
        <f t="shared" si="0"/>
        <v>0.51315811823070645</v>
      </c>
      <c r="N205" s="402" t="s">
        <v>94</v>
      </c>
    </row>
    <row r="206" spans="1:14" ht="23.25" x14ac:dyDescent="0.35">
      <c r="B206" s="1" t="s">
        <v>932</v>
      </c>
      <c r="C206" s="351">
        <f>C204/(1+C198)^3</f>
        <v>7513.1480090157756</v>
      </c>
      <c r="E206" s="6" t="s">
        <v>924</v>
      </c>
      <c r="F206" s="65"/>
      <c r="G206" s="65"/>
      <c r="H206" s="65"/>
      <c r="I206" s="65"/>
      <c r="J206" s="11"/>
      <c r="K206" s="11"/>
      <c r="L206" s="11"/>
      <c r="M206" s="11"/>
      <c r="N206" s="402" t="s">
        <v>94</v>
      </c>
    </row>
    <row r="217" spans="1:9" x14ac:dyDescent="0.3">
      <c r="A217" s="83" t="s">
        <v>931</v>
      </c>
      <c r="B217" s="66" t="s">
        <v>930</v>
      </c>
    </row>
    <row r="218" spans="1:9" x14ac:dyDescent="0.3">
      <c r="B218" s="1" t="s">
        <v>929</v>
      </c>
    </row>
    <row r="220" spans="1:9" x14ac:dyDescent="0.3">
      <c r="B220" s="355" t="s">
        <v>928</v>
      </c>
      <c r="C220" s="353"/>
    </row>
    <row r="221" spans="1:9" x14ac:dyDescent="0.3">
      <c r="B221" s="1" t="s">
        <v>927</v>
      </c>
      <c r="C221" s="351">
        <v>1000</v>
      </c>
    </row>
    <row r="222" spans="1:9" x14ac:dyDescent="0.3">
      <c r="B222" s="256" t="s">
        <v>83</v>
      </c>
      <c r="C222" s="357">
        <v>0.1</v>
      </c>
      <c r="I222" s="262"/>
    </row>
    <row r="223" spans="1:9" x14ac:dyDescent="0.3">
      <c r="C223" s="351"/>
    </row>
    <row r="224" spans="1:9" x14ac:dyDescent="0.3">
      <c r="B224" s="356" t="s">
        <v>36</v>
      </c>
      <c r="C224" s="353"/>
    </row>
    <row r="226" spans="2:11" x14ac:dyDescent="0.3">
      <c r="B226" s="355" t="s">
        <v>15</v>
      </c>
      <c r="C226" s="256"/>
      <c r="E226" s="6" t="s">
        <v>6</v>
      </c>
      <c r="F226" s="33">
        <v>0</v>
      </c>
      <c r="G226" s="33">
        <v>1</v>
      </c>
      <c r="H226" s="33">
        <v>2</v>
      </c>
      <c r="I226" s="33">
        <v>3</v>
      </c>
    </row>
    <row r="227" spans="2:11" x14ac:dyDescent="0.3">
      <c r="B227" s="354"/>
      <c r="C227" s="353"/>
      <c r="E227" s="6" t="s">
        <v>904</v>
      </c>
      <c r="G227" s="401">
        <f>$C$221</f>
        <v>1000</v>
      </c>
      <c r="H227" s="401">
        <f>$C$221</f>
        <v>1000</v>
      </c>
      <c r="I227" s="401">
        <f>$C$221</f>
        <v>1000</v>
      </c>
    </row>
    <row r="228" spans="2:11" x14ac:dyDescent="0.3">
      <c r="B228" s="1" t="s">
        <v>926</v>
      </c>
      <c r="C228" s="351">
        <f>C221*((1/C222)-(1/(C222*(1+C222)^3)))</f>
        <v>2486.8519909842253</v>
      </c>
      <c r="E228" s="6" t="s">
        <v>925</v>
      </c>
      <c r="F228" s="65">
        <f>1/(1+$C$222)^F226</f>
        <v>1</v>
      </c>
      <c r="G228" s="65">
        <f>1/(1+$C$222)^G226</f>
        <v>0.90909090909090906</v>
      </c>
      <c r="H228" s="65">
        <f>1/(1+$C$222)^H226</f>
        <v>0.82644628099173545</v>
      </c>
      <c r="I228" s="65">
        <f>1/(1+$C$222)^I226</f>
        <v>0.75131480090157754</v>
      </c>
    </row>
    <row r="229" spans="2:11" x14ac:dyDescent="0.3">
      <c r="E229" s="6" t="s">
        <v>924</v>
      </c>
      <c r="F229" s="65"/>
      <c r="G229" s="11">
        <f>G227*G228</f>
        <v>909.09090909090901</v>
      </c>
      <c r="H229" s="11">
        <f>H227*H228</f>
        <v>826.44628099173542</v>
      </c>
      <c r="I229" s="11">
        <f>I227*I228</f>
        <v>751.31480090157754</v>
      </c>
      <c r="K229" s="5"/>
    </row>
    <row r="230" spans="2:11" x14ac:dyDescent="0.3">
      <c r="C230" s="351"/>
    </row>
    <row r="231" spans="2:11" x14ac:dyDescent="0.3">
      <c r="B231" s="1" t="s">
        <v>97</v>
      </c>
      <c r="C231" s="5">
        <f>SUM(G229:I229)</f>
        <v>2486.8519909842221</v>
      </c>
    </row>
  </sheetData>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315"/>
  <sheetViews>
    <sheetView topLeftCell="A61" zoomScale="70" zoomScaleNormal="70" workbookViewId="0">
      <selection activeCell="C52" sqref="C52"/>
    </sheetView>
  </sheetViews>
  <sheetFormatPr defaultColWidth="8.85546875" defaultRowHeight="18.75" x14ac:dyDescent="0.3"/>
  <cols>
    <col min="1" max="1" width="14.28515625" style="1" bestFit="1" customWidth="1"/>
    <col min="2" max="2" width="37" style="1" customWidth="1"/>
    <col min="3" max="3" width="28.85546875" style="1" customWidth="1"/>
    <col min="4" max="4" width="20.28515625" style="1" customWidth="1"/>
    <col min="5" max="5" width="19.5703125" style="1" customWidth="1"/>
    <col min="6" max="6" width="20.28515625" style="1" customWidth="1"/>
    <col min="7" max="7" width="21.7109375" style="1" customWidth="1"/>
    <col min="8" max="8" width="21.42578125" style="1" customWidth="1"/>
    <col min="9" max="9" width="20.28515625" style="1" customWidth="1"/>
    <col min="10" max="10" width="17" style="1" customWidth="1"/>
    <col min="11" max="11" width="16.7109375" style="1" customWidth="1"/>
    <col min="12" max="12" width="19.28515625" style="1" customWidth="1"/>
    <col min="13" max="13" width="17.7109375" style="1" customWidth="1"/>
    <col min="14" max="14" width="18.7109375" style="1" customWidth="1"/>
    <col min="15" max="15" width="17.42578125" style="1" customWidth="1"/>
    <col min="16" max="25" width="8.85546875" style="1"/>
    <col min="26" max="26" width="11.28515625" style="1" customWidth="1"/>
    <col min="27" max="27" width="12.140625" style="1" customWidth="1"/>
    <col min="28" max="28" width="12" style="1" customWidth="1"/>
    <col min="29" max="29" width="12.28515625" style="1" customWidth="1"/>
    <col min="30" max="30" width="12.85546875" style="1" customWidth="1"/>
    <col min="31" max="16384" width="8.85546875" style="1"/>
  </cols>
  <sheetData>
    <row r="2" spans="1:7" x14ac:dyDescent="0.3">
      <c r="A2" s="472">
        <v>1</v>
      </c>
      <c r="B2" s="466" t="s">
        <v>1084</v>
      </c>
    </row>
    <row r="3" spans="1:7" x14ac:dyDescent="0.3">
      <c r="B3" s="466" t="s">
        <v>1083</v>
      </c>
      <c r="E3" s="9"/>
    </row>
    <row r="4" spans="1:7" x14ac:dyDescent="0.3">
      <c r="B4" s="1" t="s">
        <v>1082</v>
      </c>
    </row>
    <row r="5" spans="1:7" x14ac:dyDescent="0.3">
      <c r="B5" s="45"/>
    </row>
    <row r="6" spans="1:7" x14ac:dyDescent="0.3">
      <c r="B6" s="448" t="s">
        <v>4</v>
      </c>
      <c r="D6" s="441"/>
    </row>
    <row r="7" spans="1:7" x14ac:dyDescent="0.3">
      <c r="B7" s="1" t="s">
        <v>1081</v>
      </c>
      <c r="C7" s="1">
        <v>25</v>
      </c>
      <c r="D7" s="441" t="s">
        <v>6</v>
      </c>
    </row>
    <row r="8" spans="1:7" x14ac:dyDescent="0.3">
      <c r="B8" s="1" t="s">
        <v>31</v>
      </c>
      <c r="C8" s="9">
        <v>0.125</v>
      </c>
      <c r="D8" s="441"/>
    </row>
    <row r="9" spans="1:7" x14ac:dyDescent="0.3">
      <c r="B9" s="45" t="s">
        <v>1080</v>
      </c>
      <c r="D9" s="441"/>
      <c r="E9" s="8"/>
      <c r="F9" s="8"/>
    </row>
    <row r="10" spans="1:7" x14ac:dyDescent="0.3">
      <c r="E10" s="22"/>
      <c r="F10" s="22"/>
    </row>
    <row r="11" spans="1:7" x14ac:dyDescent="0.3">
      <c r="B11" s="1" t="s">
        <v>1079</v>
      </c>
      <c r="C11" s="120"/>
      <c r="D11" s="22"/>
      <c r="E11" s="433"/>
      <c r="F11" s="433"/>
    </row>
    <row r="12" spans="1:7" x14ac:dyDescent="0.3">
      <c r="B12" s="496"/>
      <c r="C12" s="495"/>
      <c r="D12" s="494"/>
      <c r="E12" s="440"/>
      <c r="F12" s="440"/>
    </row>
    <row r="13" spans="1:7" x14ac:dyDescent="0.3">
      <c r="D13" s="440"/>
      <c r="E13" s="64"/>
      <c r="F13" s="64"/>
      <c r="G13" s="90"/>
    </row>
    <row r="14" spans="1:7" x14ac:dyDescent="0.3">
      <c r="B14" s="45" t="s">
        <v>35</v>
      </c>
      <c r="C14" s="1">
        <v>30</v>
      </c>
      <c r="D14" s="493" t="s">
        <v>6</v>
      </c>
    </row>
    <row r="15" spans="1:7" x14ac:dyDescent="0.3">
      <c r="B15" s="1" t="s">
        <v>927</v>
      </c>
      <c r="C15" s="5">
        <v>25000</v>
      </c>
      <c r="E15" s="8"/>
      <c r="F15" s="8"/>
      <c r="G15" s="8"/>
    </row>
    <row r="16" spans="1:7" x14ac:dyDescent="0.3">
      <c r="B16" s="1" t="s">
        <v>34</v>
      </c>
      <c r="C16" s="9">
        <v>0.1</v>
      </c>
      <c r="D16" s="441"/>
      <c r="E16" s="492"/>
      <c r="F16" s="492"/>
      <c r="G16" s="492"/>
    </row>
    <row r="17" spans="2:35" x14ac:dyDescent="0.3">
      <c r="B17" s="45" t="s">
        <v>1078</v>
      </c>
      <c r="C17" s="466"/>
      <c r="D17" s="8"/>
      <c r="E17" s="491"/>
      <c r="F17" s="491"/>
      <c r="G17" s="491"/>
      <c r="H17" s="454"/>
      <c r="I17" s="454"/>
    </row>
    <row r="18" spans="2:35" x14ac:dyDescent="0.3">
      <c r="C18" s="437"/>
      <c r="D18" s="15"/>
      <c r="E18" s="15"/>
      <c r="F18" s="15"/>
      <c r="G18" s="15"/>
      <c r="H18" s="454"/>
      <c r="I18" s="454"/>
    </row>
    <row r="19" spans="2:35" x14ac:dyDescent="0.3">
      <c r="B19" s="1" t="s">
        <v>1077</v>
      </c>
      <c r="H19" s="477"/>
      <c r="I19" s="477"/>
    </row>
    <row r="20" spans="2:35" x14ac:dyDescent="0.3">
      <c r="H20" s="451"/>
      <c r="I20" s="451"/>
    </row>
    <row r="21" spans="2:35" x14ac:dyDescent="0.3">
      <c r="B21" s="45" t="s">
        <v>15</v>
      </c>
      <c r="C21" s="490"/>
      <c r="D21" s="490"/>
      <c r="E21" s="489"/>
    </row>
    <row r="22" spans="2:35" x14ac:dyDescent="0.3">
      <c r="C22" s="488"/>
      <c r="D22" s="488"/>
      <c r="E22" s="487"/>
    </row>
    <row r="23" spans="2:35" x14ac:dyDescent="0.3">
      <c r="B23" s="457" t="s">
        <v>1076</v>
      </c>
      <c r="C23" s="486"/>
      <c r="D23" s="486"/>
      <c r="E23" s="485"/>
    </row>
    <row r="24" spans="2:35" x14ac:dyDescent="0.3">
      <c r="B24" s="484"/>
      <c r="C24" s="484"/>
      <c r="D24" s="484"/>
      <c r="E24" s="483"/>
      <c r="Y24" s="1">
        <v>0</v>
      </c>
      <c r="AE24" s="120"/>
      <c r="AH24" s="120"/>
      <c r="AI24" s="120"/>
    </row>
    <row r="25" spans="2:35" x14ac:dyDescent="0.3">
      <c r="B25" s="1" t="s">
        <v>1075</v>
      </c>
      <c r="C25" s="5">
        <f>C15*((1/C16)-(1/(C16*(1+C16)^C14)))</f>
        <v>235672.86167470799</v>
      </c>
    </row>
    <row r="27" spans="2:35" x14ac:dyDescent="0.3">
      <c r="B27" s="1" t="s">
        <v>1074</v>
      </c>
      <c r="C27" s="5">
        <f>C25*(1+C16)</f>
        <v>259240.14784217882</v>
      </c>
    </row>
    <row r="28" spans="2:35" x14ac:dyDescent="0.3">
      <c r="C28" s="16"/>
    </row>
    <row r="29" spans="2:35" x14ac:dyDescent="0.3">
      <c r="C29" s="482"/>
      <c r="E29" s="444"/>
      <c r="F29" s="444"/>
      <c r="G29" s="444"/>
      <c r="H29" s="444"/>
      <c r="I29" s="444"/>
      <c r="J29" s="444"/>
      <c r="K29" s="444"/>
      <c r="L29" s="444"/>
      <c r="M29" s="444"/>
      <c r="N29" s="444"/>
    </row>
    <row r="30" spans="2:35" x14ac:dyDescent="0.3">
      <c r="B30" s="457" t="s">
        <v>1073</v>
      </c>
      <c r="C30" s="444"/>
      <c r="D30" s="444"/>
      <c r="E30" s="444"/>
      <c r="F30" s="444"/>
      <c r="H30" s="444"/>
      <c r="I30" s="444"/>
      <c r="J30" s="444"/>
      <c r="K30" s="444"/>
      <c r="L30" s="444"/>
      <c r="M30" s="444"/>
      <c r="N30" s="444"/>
    </row>
    <row r="31" spans="2:35" x14ac:dyDescent="0.3">
      <c r="B31" s="448"/>
      <c r="F31" s="444"/>
      <c r="G31" s="444"/>
      <c r="H31" s="444"/>
      <c r="I31" s="444"/>
      <c r="J31" s="444"/>
      <c r="K31" s="444"/>
      <c r="L31" s="444"/>
      <c r="M31" s="444"/>
      <c r="N31" s="444"/>
    </row>
    <row r="32" spans="2:35" x14ac:dyDescent="0.3">
      <c r="B32" s="1" t="s">
        <v>1072</v>
      </c>
      <c r="E32" s="44"/>
      <c r="F32" s="444"/>
      <c r="G32" s="444"/>
      <c r="H32" s="444"/>
      <c r="I32" s="444"/>
      <c r="J32" s="444"/>
      <c r="K32" s="444"/>
      <c r="L32" s="444"/>
      <c r="M32" s="444"/>
      <c r="N32" s="444"/>
    </row>
    <row r="33" spans="1:14" x14ac:dyDescent="0.3">
      <c r="E33" s="5"/>
      <c r="F33" s="444"/>
      <c r="H33" s="444"/>
      <c r="I33" s="444"/>
      <c r="J33" s="444"/>
      <c r="K33" s="444"/>
      <c r="L33" s="444"/>
      <c r="M33" s="444"/>
      <c r="N33" s="444"/>
    </row>
    <row r="34" spans="1:14" x14ac:dyDescent="0.3">
      <c r="B34" s="1" t="s">
        <v>1071</v>
      </c>
      <c r="C34" s="5">
        <f>C27</f>
        <v>259240.14784217882</v>
      </c>
      <c r="E34" s="5"/>
      <c r="F34" s="444"/>
      <c r="G34" s="444"/>
      <c r="H34" s="444"/>
      <c r="I34" s="444"/>
      <c r="J34" s="444"/>
      <c r="K34" s="444"/>
      <c r="L34" s="444"/>
      <c r="M34" s="444"/>
      <c r="N34" s="444"/>
    </row>
    <row r="35" spans="1:14" x14ac:dyDescent="0.3">
      <c r="F35" s="444"/>
      <c r="G35" s="444"/>
      <c r="H35" s="444"/>
      <c r="I35" s="444"/>
      <c r="J35" s="444"/>
      <c r="K35" s="444"/>
      <c r="L35" s="444"/>
      <c r="M35" s="444"/>
      <c r="N35" s="444"/>
    </row>
    <row r="36" spans="1:14" x14ac:dyDescent="0.3">
      <c r="A36" s="120"/>
      <c r="B36" s="1" t="s">
        <v>1070</v>
      </c>
      <c r="C36" s="5">
        <f>C34/(1+C8)^25</f>
        <v>13642.350374822989</v>
      </c>
      <c r="E36" s="5"/>
      <c r="F36" s="444"/>
      <c r="H36" s="444"/>
      <c r="I36" s="444"/>
      <c r="J36" s="444"/>
      <c r="K36" s="444"/>
      <c r="L36" s="444"/>
      <c r="M36" s="444"/>
      <c r="N36" s="444"/>
    </row>
    <row r="37" spans="1:14" x14ac:dyDescent="0.3">
      <c r="F37" s="444"/>
      <c r="G37" s="444"/>
      <c r="H37" s="444"/>
      <c r="I37" s="444"/>
      <c r="J37" s="444"/>
      <c r="K37" s="444"/>
      <c r="L37" s="444"/>
      <c r="M37" s="444"/>
      <c r="N37" s="444"/>
    </row>
    <row r="38" spans="1:14" x14ac:dyDescent="0.3">
      <c r="C38" s="481">
        <f>(1/C8-(1/(C8*(1+C8)^C7)))</f>
        <v>7.5790050117351964</v>
      </c>
      <c r="D38" s="444"/>
      <c r="E38" s="446"/>
      <c r="F38" s="444"/>
      <c r="H38" s="444"/>
      <c r="I38" s="444"/>
      <c r="J38" s="444"/>
      <c r="K38" s="444"/>
      <c r="L38" s="444"/>
      <c r="M38" s="444"/>
      <c r="N38" s="444"/>
    </row>
    <row r="39" spans="1:14" x14ac:dyDescent="0.3">
      <c r="C39" s="444"/>
      <c r="D39" s="444"/>
      <c r="F39" s="444"/>
      <c r="G39" s="444"/>
      <c r="H39" s="444"/>
      <c r="I39" s="444"/>
      <c r="J39" s="444"/>
      <c r="K39" s="444"/>
      <c r="L39" s="444"/>
      <c r="M39" s="444"/>
      <c r="N39" s="444"/>
    </row>
    <row r="40" spans="1:14" x14ac:dyDescent="0.3">
      <c r="B40" s="457"/>
      <c r="C40" s="27"/>
      <c r="D40" s="444"/>
      <c r="E40" s="444"/>
      <c r="F40" s="444"/>
      <c r="G40" s="444"/>
      <c r="H40" s="444"/>
      <c r="I40" s="444"/>
      <c r="J40" s="444"/>
      <c r="K40" s="444"/>
      <c r="L40" s="444"/>
      <c r="M40" s="444"/>
      <c r="N40" s="444"/>
    </row>
    <row r="41" spans="1:14" x14ac:dyDescent="0.3">
      <c r="D41" s="444"/>
      <c r="E41" s="444"/>
      <c r="F41" s="444"/>
      <c r="G41" s="444"/>
      <c r="H41" s="444"/>
      <c r="I41" s="444"/>
      <c r="J41" s="444"/>
      <c r="K41" s="444"/>
      <c r="L41" s="444"/>
      <c r="M41" s="444"/>
      <c r="N41" s="444"/>
    </row>
    <row r="42" spans="1:14" x14ac:dyDescent="0.3">
      <c r="D42" s="444"/>
      <c r="E42" s="444"/>
      <c r="F42" s="444"/>
      <c r="H42" s="444"/>
      <c r="I42" s="444"/>
      <c r="J42" s="444"/>
      <c r="K42" s="444"/>
      <c r="L42" s="444"/>
      <c r="M42" s="444"/>
      <c r="N42" s="444"/>
    </row>
    <row r="43" spans="1:14" x14ac:dyDescent="0.3">
      <c r="B43" s="480" t="s">
        <v>1069</v>
      </c>
      <c r="C43" s="479">
        <f>C36/C38</f>
        <v>1800.0186506935167</v>
      </c>
      <c r="D43" s="444"/>
      <c r="E43" s="444"/>
      <c r="F43" s="444"/>
      <c r="G43" s="444"/>
      <c r="H43" s="444"/>
      <c r="I43" s="444"/>
      <c r="J43" s="444"/>
      <c r="K43" s="444"/>
      <c r="L43" s="444"/>
      <c r="M43" s="444"/>
      <c r="N43" s="444"/>
    </row>
    <row r="44" spans="1:14" x14ac:dyDescent="0.3">
      <c r="B44" s="27"/>
      <c r="C44" s="27"/>
      <c r="F44" s="444"/>
      <c r="G44" s="444"/>
      <c r="H44" s="444"/>
      <c r="I44" s="444"/>
      <c r="J44" s="444"/>
      <c r="K44" s="444"/>
      <c r="L44" s="444"/>
      <c r="M44" s="444"/>
      <c r="N44" s="444"/>
    </row>
    <row r="45" spans="1:14" x14ac:dyDescent="0.3">
      <c r="F45" s="444"/>
      <c r="G45" s="444"/>
      <c r="H45" s="444"/>
      <c r="I45" s="444"/>
      <c r="J45" s="444"/>
      <c r="K45" s="444"/>
      <c r="L45" s="444"/>
      <c r="M45" s="444"/>
      <c r="N45" s="444"/>
    </row>
    <row r="46" spans="1:14" x14ac:dyDescent="0.3">
      <c r="C46" s="8"/>
      <c r="D46" s="8"/>
      <c r="E46" s="8"/>
      <c r="F46" s="444"/>
      <c r="G46" s="444"/>
      <c r="H46" s="444"/>
      <c r="I46" s="444"/>
      <c r="J46" s="444"/>
      <c r="K46" s="444"/>
      <c r="L46" s="444"/>
      <c r="M46" s="444"/>
      <c r="N46" s="444"/>
    </row>
    <row r="47" spans="1:14" x14ac:dyDescent="0.3">
      <c r="C47" s="16"/>
      <c r="D47" s="16"/>
      <c r="E47" s="5"/>
      <c r="F47" s="444"/>
      <c r="G47" s="444"/>
      <c r="H47" s="444"/>
      <c r="I47" s="444"/>
      <c r="J47" s="444"/>
      <c r="K47" s="444"/>
      <c r="L47" s="444"/>
      <c r="M47" s="444"/>
      <c r="N47" s="444"/>
    </row>
    <row r="48" spans="1:14" x14ac:dyDescent="0.3">
      <c r="C48" s="5"/>
      <c r="D48" s="5"/>
      <c r="E48" s="16"/>
      <c r="F48" s="454"/>
      <c r="G48" s="454"/>
      <c r="H48" s="454"/>
      <c r="I48" s="454"/>
      <c r="J48" s="444"/>
      <c r="K48" s="444"/>
      <c r="L48" s="444"/>
      <c r="M48" s="444"/>
      <c r="N48" s="444"/>
    </row>
    <row r="49" spans="1:14" x14ac:dyDescent="0.3">
      <c r="C49" s="5"/>
      <c r="D49" s="16"/>
      <c r="E49" s="16"/>
      <c r="G49" s="454"/>
      <c r="H49" s="454"/>
      <c r="I49" s="454"/>
      <c r="J49" s="444"/>
      <c r="K49" s="444"/>
      <c r="L49" s="444"/>
      <c r="M49" s="444"/>
      <c r="N49" s="444"/>
    </row>
    <row r="50" spans="1:14" x14ac:dyDescent="0.3">
      <c r="B50" s="444"/>
      <c r="C50" s="444"/>
      <c r="D50" s="444"/>
      <c r="E50" s="454"/>
      <c r="F50" s="454"/>
      <c r="G50" s="444"/>
      <c r="H50" s="444"/>
      <c r="I50" s="477"/>
      <c r="J50" s="444"/>
      <c r="K50" s="444"/>
      <c r="L50" s="444"/>
      <c r="M50" s="444"/>
      <c r="N50" s="444"/>
    </row>
    <row r="51" spans="1:14" x14ac:dyDescent="0.3">
      <c r="A51" s="472">
        <v>2</v>
      </c>
      <c r="B51" s="27" t="s">
        <v>1068</v>
      </c>
      <c r="C51" s="27"/>
      <c r="D51" s="27"/>
      <c r="E51" s="27"/>
      <c r="F51" s="444"/>
      <c r="G51" s="444"/>
      <c r="H51" s="444"/>
      <c r="I51" s="478"/>
      <c r="J51" s="444"/>
      <c r="K51" s="444"/>
      <c r="L51" s="444"/>
      <c r="M51" s="444"/>
      <c r="N51" s="444"/>
    </row>
    <row r="52" spans="1:14" x14ac:dyDescent="0.3">
      <c r="B52" s="8"/>
      <c r="C52" s="8"/>
      <c r="D52" s="8"/>
      <c r="E52" s="8"/>
      <c r="H52" s="477"/>
      <c r="I52" s="477"/>
      <c r="J52" s="444"/>
      <c r="K52" s="444"/>
      <c r="L52" s="444"/>
      <c r="M52" s="444"/>
      <c r="N52" s="444"/>
    </row>
    <row r="53" spans="1:14" x14ac:dyDescent="0.3">
      <c r="B53" s="448" t="s">
        <v>4</v>
      </c>
      <c r="C53" s="8"/>
      <c r="D53" s="8"/>
      <c r="E53" s="8"/>
      <c r="G53" s="451"/>
      <c r="H53" s="451"/>
      <c r="I53" s="451"/>
      <c r="J53" s="444"/>
      <c r="K53" s="444"/>
      <c r="L53" s="444"/>
      <c r="M53" s="444"/>
      <c r="N53" s="444"/>
    </row>
    <row r="54" spans="1:14" x14ac:dyDescent="0.3">
      <c r="B54" s="1" t="s">
        <v>1037</v>
      </c>
      <c r="C54" s="441">
        <f>50</f>
        <v>50</v>
      </c>
      <c r="E54" s="452"/>
      <c r="F54" s="451"/>
      <c r="G54" s="451"/>
      <c r="H54" s="451"/>
      <c r="I54" s="451"/>
      <c r="J54" s="444"/>
      <c r="K54" s="444"/>
      <c r="L54" s="444"/>
      <c r="M54" s="444"/>
      <c r="N54" s="444"/>
    </row>
    <row r="55" spans="1:14" x14ac:dyDescent="0.3">
      <c r="B55" s="27"/>
      <c r="C55" s="443"/>
      <c r="D55" s="452"/>
      <c r="E55" s="452"/>
      <c r="F55" s="451"/>
      <c r="G55" s="451"/>
      <c r="H55" s="451"/>
      <c r="I55" s="451"/>
      <c r="J55" s="444"/>
      <c r="K55" s="444"/>
      <c r="L55" s="444"/>
      <c r="M55" s="444"/>
      <c r="N55" s="444"/>
    </row>
    <row r="56" spans="1:14" x14ac:dyDescent="0.3">
      <c r="B56" s="27" t="s">
        <v>1036</v>
      </c>
      <c r="C56" s="470">
        <v>60</v>
      </c>
      <c r="D56" s="27"/>
      <c r="E56" s="27"/>
      <c r="F56" s="444"/>
      <c r="G56" s="444"/>
      <c r="H56" s="444"/>
      <c r="I56" s="444"/>
      <c r="J56" s="444"/>
      <c r="K56" s="444"/>
      <c r="L56" s="444"/>
      <c r="M56" s="444"/>
      <c r="N56" s="444"/>
    </row>
    <row r="57" spans="1:14" x14ac:dyDescent="0.3">
      <c r="B57" s="443" t="s">
        <v>1063</v>
      </c>
      <c r="C57" s="469">
        <v>5</v>
      </c>
      <c r="D57" s="27"/>
      <c r="E57" s="27"/>
      <c r="F57" s="444"/>
      <c r="G57" s="444"/>
      <c r="H57" s="444"/>
      <c r="I57" s="444"/>
      <c r="J57" s="444"/>
      <c r="K57" s="444"/>
      <c r="L57" s="444"/>
      <c r="M57" s="444"/>
      <c r="N57" s="444"/>
    </row>
    <row r="58" spans="1:14" x14ac:dyDescent="0.3">
      <c r="B58" s="27"/>
      <c r="C58" s="27"/>
      <c r="D58" s="27"/>
      <c r="E58" s="27"/>
      <c r="F58" s="444"/>
      <c r="G58" s="444"/>
      <c r="H58" s="444"/>
      <c r="I58" s="444"/>
      <c r="J58" s="444"/>
      <c r="K58" s="444"/>
      <c r="L58" s="444"/>
      <c r="M58" s="444"/>
      <c r="N58" s="444"/>
    </row>
    <row r="59" spans="1:14" x14ac:dyDescent="0.3">
      <c r="B59" s="122" t="s">
        <v>1067</v>
      </c>
      <c r="C59" s="8"/>
      <c r="D59" s="8"/>
      <c r="E59" s="27"/>
      <c r="F59" s="444"/>
      <c r="G59" s="444"/>
      <c r="H59" s="444"/>
      <c r="I59" s="444"/>
      <c r="J59" s="444"/>
      <c r="K59" s="444"/>
      <c r="L59" s="444"/>
      <c r="M59" s="444"/>
      <c r="N59" s="444"/>
    </row>
    <row r="60" spans="1:14" x14ac:dyDescent="0.3">
      <c r="D60" s="8"/>
      <c r="E60" s="27"/>
      <c r="F60" s="444"/>
      <c r="G60" s="444"/>
      <c r="H60" s="444"/>
      <c r="I60" s="444"/>
      <c r="J60" s="444"/>
      <c r="K60" s="444"/>
      <c r="L60" s="444"/>
      <c r="M60" s="444"/>
      <c r="N60" s="444"/>
    </row>
    <row r="61" spans="1:14" x14ac:dyDescent="0.3">
      <c r="B61" s="45" t="s">
        <v>15</v>
      </c>
      <c r="C61" s="8"/>
      <c r="D61" s="27"/>
      <c r="E61" s="444"/>
      <c r="F61" s="444"/>
      <c r="G61" s="444"/>
      <c r="H61" s="444"/>
      <c r="I61" s="444"/>
      <c r="J61" s="444"/>
      <c r="K61" s="444"/>
      <c r="L61" s="444"/>
      <c r="M61" s="444"/>
      <c r="N61" s="444"/>
    </row>
    <row r="62" spans="1:14" x14ac:dyDescent="0.3">
      <c r="B62" s="27"/>
      <c r="C62" s="27"/>
      <c r="D62" s="27"/>
      <c r="E62" s="444"/>
      <c r="F62" s="444"/>
      <c r="G62" s="444"/>
      <c r="H62" s="444"/>
      <c r="I62" s="444"/>
      <c r="J62" s="444"/>
      <c r="K62" s="444"/>
      <c r="L62" s="444"/>
      <c r="M62" s="444"/>
      <c r="N62" s="444"/>
    </row>
    <row r="63" spans="1:14" x14ac:dyDescent="0.3">
      <c r="B63" s="456" t="s">
        <v>1066</v>
      </c>
      <c r="C63" s="442">
        <f>(C57+(C56-C54))/C54</f>
        <v>0.3</v>
      </c>
      <c r="D63" s="27"/>
      <c r="E63" s="444"/>
      <c r="F63" s="444"/>
      <c r="H63" s="445"/>
      <c r="I63" s="444"/>
      <c r="J63" s="444"/>
      <c r="K63" s="444"/>
      <c r="L63" s="444"/>
      <c r="M63" s="444"/>
      <c r="N63" s="444"/>
    </row>
    <row r="64" spans="1:14" x14ac:dyDescent="0.3">
      <c r="A64" s="120"/>
      <c r="B64" s="476"/>
      <c r="C64" s="27"/>
      <c r="D64" s="27"/>
      <c r="E64" s="444"/>
      <c r="F64" s="444"/>
      <c r="G64" s="444"/>
      <c r="H64" s="444"/>
      <c r="I64" s="444"/>
      <c r="J64" s="444"/>
      <c r="K64" s="444"/>
      <c r="L64" s="444"/>
      <c r="M64" s="444"/>
      <c r="N64" s="444"/>
    </row>
    <row r="65" spans="1:14" x14ac:dyDescent="0.3">
      <c r="B65" s="27"/>
      <c r="C65" s="27"/>
      <c r="D65" s="27"/>
      <c r="E65" s="27"/>
      <c r="F65" s="444"/>
      <c r="G65" s="444"/>
      <c r="H65" s="444"/>
      <c r="I65" s="444"/>
      <c r="J65" s="444"/>
      <c r="K65" s="444"/>
      <c r="L65" s="444"/>
      <c r="M65" s="444"/>
      <c r="N65" s="444"/>
    </row>
    <row r="66" spans="1:14" x14ac:dyDescent="0.3">
      <c r="B66" s="27"/>
      <c r="C66" s="443"/>
      <c r="D66" s="27"/>
      <c r="E66" s="475"/>
      <c r="F66" s="444"/>
      <c r="G66" s="444"/>
      <c r="H66" s="444"/>
      <c r="I66" s="474"/>
      <c r="J66" s="444"/>
      <c r="K66" s="444"/>
      <c r="L66" s="444"/>
      <c r="M66" s="464"/>
      <c r="N66" s="444"/>
    </row>
    <row r="67" spans="1:14" x14ac:dyDescent="0.3">
      <c r="B67" s="27"/>
      <c r="C67" s="27"/>
      <c r="D67" s="27"/>
      <c r="E67" s="27"/>
      <c r="F67" s="444"/>
      <c r="G67" s="444"/>
      <c r="I67" s="444"/>
      <c r="J67" s="444"/>
      <c r="K67" s="444"/>
      <c r="L67" s="444"/>
      <c r="M67" s="444"/>
      <c r="N67" s="444"/>
    </row>
    <row r="68" spans="1:14" x14ac:dyDescent="0.3">
      <c r="B68" s="27"/>
      <c r="C68" s="27"/>
      <c r="D68" s="27"/>
      <c r="E68" s="27"/>
      <c r="F68" s="444"/>
      <c r="G68" s="444"/>
      <c r="H68" s="444"/>
      <c r="I68" s="444"/>
      <c r="J68" s="444"/>
      <c r="K68" s="444"/>
      <c r="L68" s="444"/>
      <c r="M68" s="444"/>
      <c r="N68" s="444"/>
    </row>
    <row r="69" spans="1:14" x14ac:dyDescent="0.3">
      <c r="B69" s="473"/>
      <c r="C69" s="27"/>
      <c r="D69" s="27"/>
      <c r="E69" s="27"/>
      <c r="F69" s="444"/>
      <c r="G69" s="444"/>
      <c r="H69" s="444"/>
      <c r="I69" s="444"/>
      <c r="J69" s="444"/>
      <c r="K69" s="444"/>
      <c r="L69" s="444"/>
      <c r="M69" s="444"/>
      <c r="N69" s="444"/>
    </row>
    <row r="70" spans="1:14" x14ac:dyDescent="0.3">
      <c r="B70" s="453"/>
      <c r="C70" s="27"/>
      <c r="D70" s="27"/>
      <c r="E70" s="27"/>
      <c r="F70" s="444"/>
      <c r="G70" s="444"/>
      <c r="H70" s="444"/>
      <c r="I70" s="444"/>
      <c r="J70" s="444"/>
      <c r="K70" s="444"/>
      <c r="L70" s="444"/>
      <c r="M70" s="444"/>
      <c r="N70" s="444"/>
    </row>
    <row r="71" spans="1:14" x14ac:dyDescent="0.3">
      <c r="B71" s="453"/>
      <c r="C71" s="446"/>
      <c r="D71" s="27"/>
      <c r="E71" s="27"/>
      <c r="F71" s="444"/>
      <c r="G71" s="444"/>
      <c r="H71" s="444"/>
      <c r="I71" s="444"/>
      <c r="J71" s="444"/>
      <c r="K71" s="444"/>
      <c r="L71" s="444"/>
      <c r="M71" s="444"/>
      <c r="N71" s="444"/>
    </row>
    <row r="72" spans="1:14" x14ac:dyDescent="0.3">
      <c r="B72" s="466"/>
      <c r="C72" s="443"/>
      <c r="D72" s="27"/>
      <c r="E72" s="27"/>
      <c r="F72" s="444"/>
      <c r="G72" s="444"/>
      <c r="H72" s="444"/>
      <c r="I72" s="444"/>
      <c r="J72" s="444"/>
      <c r="K72" s="444"/>
      <c r="L72" s="444"/>
      <c r="M72" s="444"/>
      <c r="N72" s="444"/>
    </row>
    <row r="73" spans="1:14" x14ac:dyDescent="0.3">
      <c r="B73" s="466"/>
      <c r="C73" s="443"/>
      <c r="D73" s="27"/>
      <c r="E73" s="27"/>
      <c r="F73" s="444"/>
      <c r="G73" s="444"/>
      <c r="H73" s="444"/>
      <c r="I73" s="444"/>
      <c r="J73" s="444"/>
      <c r="K73" s="444"/>
      <c r="L73" s="444"/>
      <c r="M73" s="444"/>
      <c r="N73" s="444"/>
    </row>
    <row r="74" spans="1:14" x14ac:dyDescent="0.3">
      <c r="A74" s="472">
        <v>3</v>
      </c>
      <c r="B74" s="453" t="s">
        <v>1065</v>
      </c>
      <c r="C74" s="27"/>
      <c r="D74" s="27"/>
      <c r="E74" s="27"/>
      <c r="F74" s="444"/>
      <c r="G74" s="444"/>
      <c r="H74" s="444"/>
      <c r="I74" s="444"/>
      <c r="J74" s="444"/>
      <c r="K74" s="444"/>
      <c r="L74" s="444"/>
      <c r="M74" s="444"/>
      <c r="N74" s="444"/>
    </row>
    <row r="75" spans="1:14" x14ac:dyDescent="0.3">
      <c r="B75" s="466"/>
      <c r="F75" s="444"/>
      <c r="G75" s="444"/>
      <c r="H75" s="444"/>
      <c r="I75" s="444"/>
      <c r="J75" s="444"/>
      <c r="K75" s="444"/>
      <c r="L75" s="444"/>
      <c r="M75" s="444"/>
      <c r="N75" s="444"/>
    </row>
    <row r="76" spans="1:14" x14ac:dyDescent="0.3">
      <c r="F76" s="444"/>
      <c r="G76" s="444"/>
      <c r="H76" s="444"/>
      <c r="I76" s="444"/>
      <c r="J76" s="444"/>
      <c r="K76" s="444"/>
      <c r="L76" s="444"/>
      <c r="M76" s="444"/>
      <c r="N76" s="444"/>
    </row>
    <row r="77" spans="1:14" x14ac:dyDescent="0.3">
      <c r="B77" s="448" t="s">
        <v>4</v>
      </c>
      <c r="C77" s="8"/>
      <c r="D77" s="27"/>
      <c r="E77" s="27"/>
      <c r="F77" s="444"/>
      <c r="G77" s="444"/>
      <c r="H77" s="444"/>
      <c r="I77" s="444"/>
      <c r="J77" s="444"/>
      <c r="K77" s="444"/>
      <c r="L77" s="444"/>
      <c r="M77" s="444"/>
      <c r="N77" s="444"/>
    </row>
    <row r="78" spans="1:14" x14ac:dyDescent="0.3">
      <c r="B78" s="471" t="s">
        <v>1064</v>
      </c>
      <c r="F78" s="444"/>
      <c r="H78" s="444"/>
      <c r="I78" s="444"/>
      <c r="J78" s="444"/>
      <c r="K78" s="444"/>
      <c r="L78" s="444"/>
      <c r="M78" s="444"/>
      <c r="N78" s="444"/>
    </row>
    <row r="79" spans="1:14" x14ac:dyDescent="0.3">
      <c r="B79" s="1" t="s">
        <v>1037</v>
      </c>
      <c r="C79" s="441">
        <v>100</v>
      </c>
      <c r="F79" s="444"/>
      <c r="G79" s="444"/>
      <c r="H79" s="444"/>
      <c r="I79" s="444"/>
      <c r="J79" s="444"/>
      <c r="K79" s="444"/>
      <c r="L79" s="444"/>
      <c r="M79" s="444"/>
      <c r="N79" s="444"/>
    </row>
    <row r="80" spans="1:14" x14ac:dyDescent="0.3">
      <c r="B80" s="27"/>
      <c r="C80" s="443"/>
      <c r="F80" s="444"/>
      <c r="G80" s="444"/>
      <c r="H80" s="444"/>
      <c r="I80" s="444"/>
      <c r="J80" s="444"/>
      <c r="K80" s="444"/>
      <c r="L80" s="444"/>
      <c r="M80" s="444"/>
      <c r="N80" s="444"/>
    </row>
    <row r="81" spans="2:14" x14ac:dyDescent="0.3">
      <c r="B81" s="27" t="s">
        <v>1036</v>
      </c>
      <c r="C81" s="470">
        <v>150</v>
      </c>
      <c r="F81" s="444"/>
      <c r="G81" s="444"/>
      <c r="H81" s="444"/>
      <c r="I81" s="444"/>
      <c r="J81" s="444"/>
      <c r="K81" s="444"/>
      <c r="L81" s="444"/>
      <c r="M81" s="444"/>
      <c r="N81" s="444"/>
    </row>
    <row r="82" spans="2:14" x14ac:dyDescent="0.3">
      <c r="B82" s="443" t="s">
        <v>1063</v>
      </c>
      <c r="C82" s="469">
        <v>5</v>
      </c>
      <c r="F82" s="444"/>
      <c r="G82" s="444"/>
      <c r="H82" s="444"/>
      <c r="I82" s="444"/>
      <c r="J82" s="444"/>
      <c r="K82" s="444"/>
      <c r="L82" s="444"/>
      <c r="M82" s="444"/>
      <c r="N82" s="444"/>
    </row>
    <row r="83" spans="2:14" x14ac:dyDescent="0.3">
      <c r="B83" s="27" t="s">
        <v>5</v>
      </c>
      <c r="C83" s="27">
        <v>3</v>
      </c>
      <c r="D83" s="1" t="s">
        <v>6</v>
      </c>
      <c r="F83" s="444"/>
      <c r="H83" s="444"/>
      <c r="I83" s="444"/>
      <c r="J83" s="444"/>
      <c r="K83" s="444"/>
      <c r="L83" s="444"/>
      <c r="M83" s="444"/>
      <c r="N83" s="444"/>
    </row>
    <row r="84" spans="2:14" x14ac:dyDescent="0.3">
      <c r="E84" s="465"/>
      <c r="F84" s="444"/>
      <c r="G84" s="444"/>
      <c r="H84" s="444"/>
      <c r="I84" s="444"/>
      <c r="J84" s="444"/>
      <c r="K84" s="444"/>
      <c r="L84" s="444"/>
      <c r="M84" s="444"/>
      <c r="N84" s="444"/>
    </row>
    <row r="85" spans="2:14" x14ac:dyDescent="0.3">
      <c r="B85" s="471" t="s">
        <v>1064</v>
      </c>
      <c r="F85" s="444"/>
      <c r="G85" s="444"/>
      <c r="H85" s="444"/>
      <c r="I85" s="444"/>
      <c r="J85" s="444"/>
      <c r="K85" s="444"/>
      <c r="L85" s="444"/>
      <c r="M85" s="444"/>
      <c r="N85" s="444"/>
    </row>
    <row r="86" spans="2:14" x14ac:dyDescent="0.3">
      <c r="B86" s="1" t="s">
        <v>1037</v>
      </c>
      <c r="C86" s="441">
        <v>200</v>
      </c>
      <c r="F86" s="444"/>
      <c r="G86" s="444"/>
      <c r="H86" s="444"/>
      <c r="I86" s="444"/>
      <c r="J86" s="444"/>
      <c r="K86" s="444"/>
      <c r="L86" s="444"/>
      <c r="M86" s="444"/>
      <c r="N86" s="444"/>
    </row>
    <row r="87" spans="2:14" x14ac:dyDescent="0.3">
      <c r="B87" s="27"/>
      <c r="C87" s="443"/>
      <c r="F87" s="444"/>
      <c r="G87" s="444"/>
      <c r="H87" s="444"/>
      <c r="I87" s="444"/>
      <c r="J87" s="444"/>
      <c r="K87" s="444"/>
      <c r="L87" s="444"/>
      <c r="M87" s="444"/>
      <c r="N87" s="444"/>
    </row>
    <row r="88" spans="2:14" x14ac:dyDescent="0.3">
      <c r="B88" s="27" t="s">
        <v>1036</v>
      </c>
      <c r="C88" s="470">
        <v>320</v>
      </c>
      <c r="F88" s="444"/>
      <c r="G88" s="444"/>
      <c r="H88" s="444"/>
      <c r="I88" s="444"/>
      <c r="J88" s="444"/>
      <c r="K88" s="444"/>
      <c r="L88" s="444"/>
      <c r="M88" s="444"/>
      <c r="N88" s="444"/>
    </row>
    <row r="89" spans="2:14" x14ac:dyDescent="0.3">
      <c r="B89" s="443" t="s">
        <v>1063</v>
      </c>
      <c r="C89" s="469">
        <v>10</v>
      </c>
      <c r="E89" s="465"/>
      <c r="F89" s="444"/>
      <c r="G89" s="444"/>
      <c r="H89" s="444"/>
      <c r="I89" s="444"/>
      <c r="J89" s="444"/>
      <c r="K89" s="444"/>
      <c r="L89" s="444"/>
      <c r="M89" s="444"/>
      <c r="N89" s="444"/>
    </row>
    <row r="90" spans="2:14" x14ac:dyDescent="0.3">
      <c r="B90" s="27" t="s">
        <v>5</v>
      </c>
      <c r="C90" s="27">
        <v>4</v>
      </c>
      <c r="D90" s="1" t="s">
        <v>6</v>
      </c>
      <c r="F90" s="444"/>
      <c r="G90"/>
      <c r="H90" s="444"/>
      <c r="I90" s="444"/>
      <c r="J90" s="444"/>
      <c r="K90" s="444"/>
      <c r="L90" s="444"/>
      <c r="M90" s="444"/>
      <c r="N90" s="444"/>
    </row>
    <row r="91" spans="2:14" x14ac:dyDescent="0.3">
      <c r="F91" s="444"/>
      <c r="G91" s="444"/>
      <c r="H91" s="444"/>
      <c r="I91" s="444"/>
      <c r="J91" s="444"/>
      <c r="K91" s="444"/>
      <c r="L91" s="444"/>
      <c r="M91" s="444"/>
      <c r="N91" s="444"/>
    </row>
    <row r="92" spans="2:14" x14ac:dyDescent="0.3">
      <c r="B92" s="122" t="s">
        <v>1062</v>
      </c>
      <c r="F92" s="444"/>
      <c r="G92" s="444"/>
      <c r="H92" s="444"/>
      <c r="I92" s="444"/>
      <c r="J92" s="444"/>
      <c r="K92" s="444"/>
      <c r="L92" s="444"/>
      <c r="M92" s="444"/>
      <c r="N92" s="444"/>
    </row>
    <row r="93" spans="2:14" x14ac:dyDescent="0.3">
      <c r="B93" s="122" t="s">
        <v>1061</v>
      </c>
      <c r="F93" s="444"/>
      <c r="G93" s="444"/>
      <c r="H93" s="444"/>
      <c r="I93" s="444"/>
      <c r="J93" s="444"/>
      <c r="K93" s="444"/>
      <c r="L93" s="444"/>
      <c r="M93" s="444"/>
      <c r="N93" s="444"/>
    </row>
    <row r="94" spans="2:14" x14ac:dyDescent="0.3">
      <c r="D94" s="27"/>
      <c r="E94" s="468"/>
      <c r="F94" s="444"/>
      <c r="G94" s="444"/>
      <c r="H94" s="444"/>
      <c r="I94" s="444"/>
      <c r="J94" s="444"/>
      <c r="K94" s="444"/>
      <c r="L94" s="444"/>
      <c r="M94" s="444"/>
      <c r="N94" s="444"/>
    </row>
    <row r="95" spans="2:14" x14ac:dyDescent="0.3">
      <c r="B95" s="45" t="s">
        <v>15</v>
      </c>
      <c r="C95" s="8"/>
      <c r="D95" s="27"/>
      <c r="E95" s="467"/>
      <c r="F95" s="444"/>
      <c r="G95" s="444"/>
      <c r="H95" s="444"/>
      <c r="I95" s="444"/>
      <c r="J95" s="444"/>
      <c r="K95" s="444"/>
      <c r="L95" s="444"/>
      <c r="M95" s="444"/>
      <c r="N95" s="444"/>
    </row>
    <row r="96" spans="2:14" x14ac:dyDescent="0.3">
      <c r="B96" s="27"/>
      <c r="C96" s="27"/>
      <c r="D96" s="27"/>
      <c r="E96" s="27"/>
      <c r="F96" s="444"/>
      <c r="G96" s="444"/>
      <c r="H96" s="444"/>
      <c r="I96" s="444"/>
      <c r="J96" s="444"/>
      <c r="K96" s="444"/>
      <c r="L96" s="444"/>
      <c r="M96" s="444"/>
      <c r="N96" s="444"/>
    </row>
    <row r="97" spans="1:14" x14ac:dyDescent="0.3">
      <c r="B97" s="456" t="s">
        <v>1059</v>
      </c>
      <c r="C97" s="442">
        <f>(C81-C79+C82)/C79</f>
        <v>0.55000000000000004</v>
      </c>
      <c r="D97" s="27"/>
      <c r="E97" s="27"/>
      <c r="F97" s="444"/>
      <c r="G97" s="444"/>
      <c r="H97" s="444"/>
      <c r="I97" s="444"/>
      <c r="J97" s="444"/>
      <c r="K97" s="444"/>
      <c r="L97" s="444"/>
      <c r="M97" s="444"/>
      <c r="N97" s="444"/>
    </row>
    <row r="98" spans="1:14" x14ac:dyDescent="0.3">
      <c r="C98" s="27"/>
      <c r="D98" s="27"/>
      <c r="E98" s="27"/>
      <c r="F98" s="444"/>
      <c r="G98" s="444"/>
      <c r="H98" s="444"/>
      <c r="I98" s="444"/>
      <c r="J98" s="444"/>
      <c r="K98" s="444"/>
      <c r="L98" s="444"/>
      <c r="M98" s="444"/>
      <c r="N98" s="444"/>
    </row>
    <row r="99" spans="1:14" x14ac:dyDescent="0.3">
      <c r="B99" s="456" t="s">
        <v>1058</v>
      </c>
      <c r="C99" s="442">
        <f>(C89+(C88-C86))/C86</f>
        <v>0.65</v>
      </c>
      <c r="D99" s="27"/>
      <c r="E99" s="27"/>
      <c r="F99" s="444"/>
      <c r="G99" s="444"/>
      <c r="H99" s="444"/>
      <c r="I99" s="444"/>
      <c r="J99" s="444"/>
      <c r="K99" s="444"/>
      <c r="L99" s="444"/>
      <c r="M99" s="444"/>
      <c r="N99" s="444"/>
    </row>
    <row r="100" spans="1:14" x14ac:dyDescent="0.3">
      <c r="C100" s="8"/>
      <c r="D100" s="8"/>
      <c r="E100" s="8"/>
      <c r="F100" s="444"/>
      <c r="G100" s="444"/>
      <c r="H100" s="444"/>
      <c r="I100" s="444"/>
      <c r="J100" s="444"/>
      <c r="K100" s="444"/>
      <c r="L100" s="444"/>
      <c r="M100" s="444"/>
      <c r="N100" s="444"/>
    </row>
    <row r="101" spans="1:14" x14ac:dyDescent="0.3">
      <c r="C101" s="16"/>
      <c r="D101" s="16"/>
      <c r="E101" s="16"/>
      <c r="F101" s="444"/>
      <c r="G101" s="444"/>
      <c r="H101" s="444"/>
      <c r="I101" s="444"/>
      <c r="J101" s="444"/>
      <c r="K101" s="444"/>
      <c r="L101" s="444"/>
      <c r="M101" s="444"/>
      <c r="N101" s="444"/>
    </row>
    <row r="102" spans="1:14" x14ac:dyDescent="0.3">
      <c r="D102" s="5"/>
      <c r="E102" s="16"/>
      <c r="F102" s="444"/>
      <c r="G102" s="444"/>
      <c r="H102" s="444"/>
      <c r="I102" s="444"/>
      <c r="J102" s="444"/>
      <c r="K102" s="444"/>
      <c r="L102" s="444"/>
      <c r="M102" s="444"/>
      <c r="N102" s="444"/>
    </row>
    <row r="103" spans="1:14" x14ac:dyDescent="0.3">
      <c r="A103" s="434" t="s">
        <v>390</v>
      </c>
      <c r="B103" s="466" t="s">
        <v>1060</v>
      </c>
      <c r="C103" s="5"/>
      <c r="D103" s="16"/>
      <c r="E103" s="16"/>
      <c r="F103" s="444"/>
      <c r="G103" s="444"/>
      <c r="H103" s="444"/>
      <c r="I103" s="444"/>
      <c r="J103" s="444"/>
      <c r="K103" s="444"/>
      <c r="L103" s="444"/>
      <c r="M103" s="444"/>
      <c r="N103" s="444"/>
    </row>
    <row r="104" spans="1:14" x14ac:dyDescent="0.3">
      <c r="F104" s="444"/>
      <c r="G104" s="444"/>
      <c r="H104" s="444"/>
      <c r="I104" s="444"/>
      <c r="J104" s="444"/>
      <c r="K104" s="444"/>
      <c r="L104" s="444"/>
      <c r="M104" s="444"/>
      <c r="N104" s="444"/>
    </row>
    <row r="105" spans="1:14" x14ac:dyDescent="0.3">
      <c r="B105" s="448" t="s">
        <v>4</v>
      </c>
      <c r="D105" s="465"/>
      <c r="F105" s="444"/>
      <c r="G105" s="444"/>
      <c r="H105" s="444"/>
      <c r="I105" s="444"/>
      <c r="J105" s="444"/>
      <c r="K105" s="444"/>
      <c r="L105" s="444"/>
      <c r="M105" s="444"/>
      <c r="N105" s="444"/>
    </row>
    <row r="106" spans="1:14" x14ac:dyDescent="0.3">
      <c r="B106" s="444"/>
      <c r="C106" s="444"/>
      <c r="D106" s="444"/>
      <c r="E106" s="444"/>
      <c r="F106" s="444"/>
      <c r="G106" s="444"/>
      <c r="H106" s="444"/>
      <c r="I106" s="444"/>
      <c r="J106" s="444"/>
      <c r="K106" s="444"/>
      <c r="L106" s="444"/>
      <c r="M106" s="444"/>
      <c r="N106" s="444"/>
    </row>
    <row r="107" spans="1:14" x14ac:dyDescent="0.3">
      <c r="B107" s="27" t="s">
        <v>1059</v>
      </c>
      <c r="C107" s="443">
        <f>C97</f>
        <v>0.55000000000000004</v>
      </c>
      <c r="D107" s="27"/>
      <c r="E107" s="444"/>
      <c r="F107" s="444"/>
      <c r="G107" s="444"/>
      <c r="H107" s="444"/>
      <c r="I107" s="444"/>
      <c r="J107" s="444"/>
      <c r="K107" s="444"/>
      <c r="L107" s="444"/>
      <c r="M107" s="444"/>
      <c r="N107" s="444"/>
    </row>
    <row r="108" spans="1:14" x14ac:dyDescent="0.3">
      <c r="B108" s="1" t="s">
        <v>29</v>
      </c>
      <c r="C108" s="27">
        <v>3</v>
      </c>
      <c r="D108" s="122" t="s">
        <v>6</v>
      </c>
      <c r="E108" s="444"/>
      <c r="F108" s="444"/>
      <c r="G108" s="444"/>
      <c r="H108" s="444"/>
      <c r="I108" s="444"/>
      <c r="J108" s="444"/>
      <c r="K108" s="444"/>
      <c r="L108" s="444"/>
      <c r="M108" s="444"/>
      <c r="N108" s="444"/>
    </row>
    <row r="109" spans="1:14" x14ac:dyDescent="0.3">
      <c r="D109" s="16"/>
      <c r="E109" s="444"/>
      <c r="F109" s="444"/>
      <c r="G109" s="444"/>
      <c r="H109" s="444"/>
      <c r="I109" s="444"/>
      <c r="J109" s="444"/>
      <c r="K109" s="444"/>
      <c r="L109" s="444"/>
      <c r="M109" s="444"/>
      <c r="N109" s="444"/>
    </row>
    <row r="110" spans="1:14" x14ac:dyDescent="0.3">
      <c r="E110" s="444"/>
      <c r="F110" s="444"/>
      <c r="G110" s="444"/>
      <c r="H110" s="444"/>
      <c r="I110" s="444"/>
      <c r="J110" s="444"/>
      <c r="K110" s="444"/>
      <c r="L110" s="444"/>
      <c r="M110" s="444"/>
      <c r="N110" s="444"/>
    </row>
    <row r="111" spans="1:14" x14ac:dyDescent="0.3">
      <c r="B111" s="27" t="s">
        <v>1058</v>
      </c>
      <c r="C111" s="443">
        <f>C99</f>
        <v>0.65</v>
      </c>
      <c r="D111" s="452"/>
      <c r="E111" s="444"/>
      <c r="F111" s="444"/>
      <c r="G111" s="444"/>
      <c r="H111" s="444"/>
      <c r="I111" s="444"/>
      <c r="J111" s="444"/>
      <c r="K111" s="444"/>
      <c r="L111" s="444"/>
      <c r="M111" s="444"/>
      <c r="N111" s="444"/>
    </row>
    <row r="112" spans="1:14" x14ac:dyDescent="0.3">
      <c r="B112" s="1" t="s">
        <v>35</v>
      </c>
      <c r="C112" s="27">
        <v>4</v>
      </c>
      <c r="D112" s="122" t="s">
        <v>6</v>
      </c>
      <c r="E112" s="444"/>
      <c r="F112" s="444"/>
      <c r="G112" s="444"/>
      <c r="H112" s="444"/>
      <c r="I112" s="444"/>
      <c r="J112" s="444"/>
      <c r="K112" s="444"/>
      <c r="L112" s="444"/>
      <c r="M112" s="444"/>
      <c r="N112" s="444"/>
    </row>
    <row r="113" spans="1:14" x14ac:dyDescent="0.3">
      <c r="B113" s="443"/>
      <c r="C113" s="28"/>
      <c r="D113" s="27"/>
      <c r="E113" s="444"/>
      <c r="F113" s="444"/>
      <c r="G113" s="444"/>
      <c r="H113" s="444"/>
      <c r="I113" s="444"/>
      <c r="J113" s="444"/>
      <c r="K113" s="444"/>
      <c r="L113" s="444"/>
      <c r="M113" s="444"/>
      <c r="N113" s="444"/>
    </row>
    <row r="114" spans="1:14" x14ac:dyDescent="0.3">
      <c r="B114" s="27"/>
      <c r="C114" s="27"/>
      <c r="D114" s="27"/>
      <c r="E114" s="444"/>
      <c r="F114" s="444"/>
      <c r="G114" s="444"/>
      <c r="H114" s="444"/>
      <c r="I114" s="444"/>
      <c r="J114" s="444"/>
      <c r="K114" s="444"/>
      <c r="L114" s="444"/>
      <c r="M114" s="444"/>
      <c r="N114" s="444"/>
    </row>
    <row r="115" spans="1:14" x14ac:dyDescent="0.3">
      <c r="B115" s="122" t="s">
        <v>1057</v>
      </c>
      <c r="C115" s="8"/>
      <c r="D115" s="8"/>
      <c r="E115" s="444"/>
      <c r="F115" s="444"/>
      <c r="G115" s="444"/>
      <c r="H115" s="444"/>
      <c r="I115" s="444"/>
      <c r="J115" s="444"/>
      <c r="K115" s="444"/>
      <c r="L115" s="444"/>
      <c r="M115" s="444"/>
      <c r="N115" s="444"/>
    </row>
    <row r="116" spans="1:14" x14ac:dyDescent="0.3">
      <c r="B116" s="122" t="s">
        <v>1056</v>
      </c>
      <c r="C116" s="16"/>
      <c r="D116" s="16"/>
      <c r="E116" s="444"/>
      <c r="F116" s="444"/>
      <c r="G116" s="444"/>
      <c r="H116" s="444"/>
      <c r="I116" s="444"/>
      <c r="J116" s="444"/>
      <c r="K116" s="444"/>
      <c r="L116" s="444"/>
      <c r="M116" s="444"/>
      <c r="N116" s="444"/>
    </row>
    <row r="117" spans="1:14" x14ac:dyDescent="0.3">
      <c r="B117" s="444"/>
      <c r="C117" s="464"/>
      <c r="D117" s="444"/>
      <c r="E117" s="444"/>
      <c r="F117" s="444"/>
      <c r="G117" s="444"/>
      <c r="H117" s="444"/>
      <c r="I117" s="444"/>
      <c r="J117" s="444"/>
      <c r="K117" s="444"/>
      <c r="L117" s="444"/>
      <c r="M117" s="444"/>
      <c r="N117" s="444"/>
    </row>
    <row r="118" spans="1:14" x14ac:dyDescent="0.3">
      <c r="B118" s="444"/>
      <c r="C118" s="444"/>
      <c r="D118" s="444"/>
      <c r="E118" s="444"/>
      <c r="F118" s="444"/>
      <c r="G118" s="444"/>
      <c r="H118" s="444"/>
      <c r="I118" s="444"/>
      <c r="J118" s="444"/>
      <c r="K118" s="444"/>
      <c r="L118" s="444"/>
      <c r="M118" s="444"/>
      <c r="N118" s="444"/>
    </row>
    <row r="119" spans="1:14" x14ac:dyDescent="0.3">
      <c r="B119" s="45" t="s">
        <v>15</v>
      </c>
      <c r="C119" s="443"/>
      <c r="D119" s="444"/>
      <c r="E119" s="444"/>
      <c r="F119" s="444"/>
      <c r="G119" s="444"/>
      <c r="H119" s="444"/>
      <c r="I119" s="444"/>
      <c r="J119" s="444"/>
      <c r="K119" s="444"/>
      <c r="L119" s="444"/>
      <c r="M119" s="444"/>
      <c r="N119" s="444"/>
    </row>
    <row r="120" spans="1:14" x14ac:dyDescent="0.3">
      <c r="B120" s="444"/>
      <c r="C120" s="444"/>
      <c r="D120" s="444"/>
      <c r="E120" s="444"/>
      <c r="F120" s="444"/>
      <c r="G120" s="444"/>
      <c r="H120" s="444"/>
      <c r="I120" s="444"/>
      <c r="J120" s="444"/>
      <c r="K120" s="444"/>
      <c r="L120" s="444"/>
      <c r="M120" s="444"/>
      <c r="N120" s="444"/>
    </row>
    <row r="121" spans="1:14" x14ac:dyDescent="0.3">
      <c r="B121" s="444"/>
      <c r="C121" s="27"/>
      <c r="D121" s="444"/>
      <c r="E121" s="444"/>
      <c r="F121" s="444"/>
      <c r="G121" s="444"/>
      <c r="H121" s="444"/>
      <c r="I121" s="444"/>
      <c r="J121" s="444"/>
      <c r="K121" s="444"/>
      <c r="L121" s="444"/>
      <c r="M121" s="444"/>
      <c r="N121" s="444"/>
    </row>
    <row r="122" spans="1:14" x14ac:dyDescent="0.3">
      <c r="B122" s="27"/>
      <c r="C122" s="443"/>
      <c r="D122" s="444"/>
      <c r="E122" s="444"/>
      <c r="F122" s="444"/>
      <c r="G122" s="444"/>
      <c r="H122" s="444"/>
      <c r="I122" s="444"/>
      <c r="J122" s="444"/>
      <c r="K122" s="444"/>
      <c r="L122" s="444"/>
      <c r="M122" s="444"/>
      <c r="N122" s="444"/>
    </row>
    <row r="123" spans="1:14" x14ac:dyDescent="0.3">
      <c r="B123" s="444"/>
      <c r="C123" s="443"/>
      <c r="E123" s="444"/>
      <c r="F123" s="444"/>
      <c r="G123" s="444"/>
      <c r="H123" s="444"/>
      <c r="I123" s="444"/>
      <c r="J123" s="444"/>
      <c r="K123" s="444"/>
      <c r="L123" s="444"/>
      <c r="M123" s="444"/>
      <c r="N123" s="444"/>
    </row>
    <row r="124" spans="1:14" x14ac:dyDescent="0.3">
      <c r="B124" s="463" t="s">
        <v>1055</v>
      </c>
      <c r="C124" s="442">
        <f>(1+C107)^(1/C108)-1</f>
        <v>0.1572945272629378</v>
      </c>
      <c r="E124" s="444"/>
      <c r="F124" s="444"/>
      <c r="G124" s="444"/>
      <c r="H124" s="444"/>
      <c r="I124" s="444"/>
      <c r="J124" s="444"/>
      <c r="K124" s="444"/>
      <c r="L124" s="444"/>
      <c r="M124" s="444"/>
      <c r="N124" s="444"/>
    </row>
    <row r="125" spans="1:14" x14ac:dyDescent="0.3">
      <c r="A125" s="120"/>
      <c r="C125" s="27"/>
      <c r="D125" s="444"/>
      <c r="E125" s="444"/>
      <c r="F125" s="444"/>
      <c r="G125" s="444"/>
      <c r="H125" s="444"/>
      <c r="I125" s="444"/>
      <c r="J125" s="444"/>
      <c r="K125" s="444"/>
      <c r="L125" s="444"/>
      <c r="M125" s="444"/>
      <c r="N125" s="444"/>
    </row>
    <row r="126" spans="1:14" x14ac:dyDescent="0.3">
      <c r="B126" s="444"/>
      <c r="C126" s="27"/>
      <c r="D126" s="444"/>
      <c r="E126" s="444"/>
      <c r="F126" s="444"/>
      <c r="G126" s="444"/>
      <c r="H126" s="444"/>
      <c r="I126" s="444"/>
      <c r="J126" s="444"/>
      <c r="K126" s="444"/>
      <c r="L126" s="444"/>
      <c r="M126" s="444"/>
      <c r="N126" s="444"/>
    </row>
    <row r="127" spans="1:14" x14ac:dyDescent="0.3">
      <c r="B127" s="463" t="s">
        <v>1054</v>
      </c>
      <c r="C127" s="442">
        <f>(1+C111)^(1/C112)-1</f>
        <v>0.13336810342735195</v>
      </c>
      <c r="E127" s="444"/>
      <c r="G127" s="444"/>
      <c r="H127" s="444"/>
      <c r="I127" s="444"/>
      <c r="J127" s="444"/>
      <c r="K127" s="444"/>
      <c r="L127" s="444"/>
      <c r="M127" s="444"/>
      <c r="N127" s="444"/>
    </row>
    <row r="128" spans="1:14" x14ac:dyDescent="0.3">
      <c r="B128" s="444"/>
      <c r="C128" s="27"/>
      <c r="E128" s="444"/>
      <c r="F128" s="444"/>
      <c r="G128" s="444"/>
      <c r="H128" s="444"/>
      <c r="I128" s="444"/>
      <c r="J128" s="444"/>
      <c r="K128" s="444"/>
      <c r="L128" s="444"/>
      <c r="M128" s="444"/>
      <c r="N128" s="444"/>
    </row>
    <row r="129" spans="1:14" x14ac:dyDescent="0.3">
      <c r="B129" s="445"/>
      <c r="C129" s="446"/>
      <c r="D129" s="444"/>
      <c r="E129" s="444"/>
      <c r="F129" s="444"/>
      <c r="G129" s="444"/>
      <c r="H129" s="444"/>
      <c r="I129" s="444"/>
      <c r="J129" s="444"/>
      <c r="K129" s="444"/>
      <c r="L129" s="444"/>
      <c r="M129" s="444"/>
      <c r="N129" s="444"/>
    </row>
    <row r="130" spans="1:14" x14ac:dyDescent="0.3">
      <c r="B130" s="444"/>
      <c r="C130" s="443"/>
      <c r="D130" s="444"/>
      <c r="E130" s="444"/>
      <c r="F130" s="444"/>
      <c r="G130" s="444"/>
      <c r="H130" s="444"/>
      <c r="I130" s="444"/>
      <c r="J130" s="444"/>
      <c r="K130" s="444"/>
      <c r="L130" s="444"/>
      <c r="M130" s="444"/>
      <c r="N130" s="444"/>
    </row>
    <row r="131" spans="1:14" x14ac:dyDescent="0.3">
      <c r="B131" s="444"/>
      <c r="C131" s="27"/>
      <c r="D131" s="444"/>
      <c r="E131" s="444"/>
      <c r="F131" s="444"/>
      <c r="G131" s="444"/>
      <c r="H131" s="444"/>
      <c r="I131" s="444"/>
      <c r="J131" s="444"/>
      <c r="K131" s="444"/>
      <c r="L131" s="444"/>
      <c r="M131" s="444"/>
      <c r="N131" s="444"/>
    </row>
    <row r="132" spans="1:14" x14ac:dyDescent="0.3">
      <c r="B132" s="445"/>
      <c r="C132" s="444"/>
      <c r="D132" s="444"/>
      <c r="E132" s="444"/>
      <c r="F132" s="444"/>
      <c r="G132" s="444"/>
      <c r="H132" s="444"/>
      <c r="I132" s="444"/>
      <c r="J132" s="444"/>
      <c r="K132" s="444"/>
      <c r="L132" s="444"/>
      <c r="M132" s="444"/>
      <c r="N132" s="444"/>
    </row>
    <row r="133" spans="1:14" x14ac:dyDescent="0.3">
      <c r="A133" s="434" t="s">
        <v>236</v>
      </c>
      <c r="B133" s="27" t="s">
        <v>1053</v>
      </c>
      <c r="C133" s="443"/>
      <c r="D133" s="27"/>
      <c r="E133" s="27"/>
      <c r="F133" s="27"/>
      <c r="G133" s="27"/>
      <c r="H133" s="27"/>
      <c r="I133" s="27"/>
      <c r="J133" s="27"/>
      <c r="K133" s="444"/>
      <c r="L133" s="444"/>
      <c r="M133" s="444"/>
      <c r="N133" s="444"/>
    </row>
    <row r="134" spans="1:14" x14ac:dyDescent="0.3">
      <c r="B134" s="27"/>
      <c r="C134" s="27"/>
      <c r="D134" s="27"/>
      <c r="E134" s="27"/>
      <c r="F134" s="27"/>
      <c r="G134" s="27"/>
      <c r="H134" s="27"/>
      <c r="I134" s="27"/>
      <c r="J134" s="27"/>
      <c r="K134" s="444"/>
      <c r="L134" s="444"/>
      <c r="M134" s="444"/>
      <c r="N134" s="444"/>
    </row>
    <row r="135" spans="1:14" x14ac:dyDescent="0.3">
      <c r="B135" s="27"/>
      <c r="C135" s="27"/>
      <c r="D135" s="27"/>
      <c r="E135" s="27"/>
      <c r="F135" s="27"/>
      <c r="G135" s="27"/>
      <c r="H135" s="27"/>
      <c r="I135" s="27"/>
      <c r="J135" s="27"/>
      <c r="K135" s="444"/>
      <c r="L135" s="444"/>
      <c r="M135" s="444"/>
      <c r="N135" s="444"/>
    </row>
    <row r="136" spans="1:14" x14ac:dyDescent="0.3">
      <c r="B136" s="448" t="s">
        <v>4</v>
      </c>
      <c r="C136" s="27"/>
      <c r="D136" s="27"/>
      <c r="E136" s="27"/>
      <c r="F136" s="27"/>
      <c r="G136" s="27"/>
      <c r="H136" s="27"/>
      <c r="I136" s="27"/>
      <c r="J136" s="27"/>
      <c r="K136" s="444"/>
      <c r="L136" s="444"/>
      <c r="M136" s="444"/>
      <c r="N136" s="444"/>
    </row>
    <row r="137" spans="1:14" x14ac:dyDescent="0.3">
      <c r="B137" s="27" t="s">
        <v>1052</v>
      </c>
      <c r="C137" s="443">
        <f>0.08</f>
        <v>0.08</v>
      </c>
      <c r="D137" s="27"/>
      <c r="E137"/>
      <c r="F137" s="27"/>
      <c r="G137" s="27"/>
      <c r="H137" s="27"/>
      <c r="I137" s="27"/>
      <c r="J137" s="27"/>
      <c r="K137" s="444"/>
      <c r="L137" s="444"/>
      <c r="M137" s="444"/>
      <c r="N137" s="444"/>
    </row>
    <row r="138" spans="1:14" x14ac:dyDescent="0.3">
      <c r="B138" s="27" t="s">
        <v>1051</v>
      </c>
      <c r="C138" s="443">
        <v>-0.05</v>
      </c>
      <c r="D138" s="455"/>
      <c r="E138"/>
      <c r="F138" s="455"/>
      <c r="G138" s="455"/>
      <c r="H138" s="455"/>
      <c r="I138" s="455"/>
      <c r="J138" s="455"/>
      <c r="K138" s="454"/>
      <c r="L138" s="454"/>
      <c r="M138" s="454"/>
      <c r="N138" s="454"/>
    </row>
    <row r="139" spans="1:14" x14ac:dyDescent="0.3">
      <c r="B139" s="27" t="s">
        <v>1050</v>
      </c>
      <c r="C139" s="443">
        <v>0.06</v>
      </c>
      <c r="D139" s="462"/>
      <c r="E139" s="462"/>
      <c r="F139" s="462"/>
      <c r="G139" s="462"/>
      <c r="H139" s="462"/>
      <c r="I139" s="462"/>
      <c r="J139" s="462"/>
      <c r="K139" s="461"/>
      <c r="L139" s="461"/>
      <c r="M139" s="461"/>
      <c r="N139" s="461"/>
    </row>
    <row r="140" spans="1:14" x14ac:dyDescent="0.3">
      <c r="B140" s="27" t="s">
        <v>1049</v>
      </c>
      <c r="C140" s="460">
        <v>0.04</v>
      </c>
      <c r="D140" s="459"/>
      <c r="E140" s="459"/>
      <c r="F140" s="459"/>
      <c r="G140" s="459"/>
      <c r="H140" s="459"/>
      <c r="I140" s="459"/>
      <c r="J140" s="459"/>
      <c r="K140" s="458"/>
      <c r="L140" s="458"/>
      <c r="M140" s="458"/>
      <c r="N140" s="458"/>
    </row>
    <row r="141" spans="1:14" x14ac:dyDescent="0.3">
      <c r="B141" s="27"/>
      <c r="C141" s="457"/>
      <c r="D141" s="452"/>
      <c r="E141"/>
      <c r="F141" s="452"/>
      <c r="G141" s="452"/>
      <c r="H141" s="452"/>
      <c r="I141" s="452"/>
      <c r="J141" s="452"/>
      <c r="K141" s="451"/>
      <c r="L141" s="451"/>
      <c r="M141" s="451"/>
      <c r="N141" s="451"/>
    </row>
    <row r="142" spans="1:14" x14ac:dyDescent="0.3">
      <c r="B142" s="27" t="s">
        <v>1048</v>
      </c>
      <c r="C142" s="27"/>
      <c r="D142" s="27"/>
      <c r="E142"/>
      <c r="F142" s="27"/>
      <c r="G142" s="27"/>
      <c r="H142" s="27"/>
      <c r="I142" s="27"/>
      <c r="J142" s="27"/>
      <c r="K142" s="444"/>
      <c r="L142" s="444"/>
      <c r="M142" s="444"/>
      <c r="N142" s="444"/>
    </row>
    <row r="143" spans="1:14" x14ac:dyDescent="0.3">
      <c r="D143" s="27"/>
      <c r="E143" s="27"/>
      <c r="F143" s="27"/>
      <c r="G143" s="27"/>
      <c r="H143" s="27"/>
      <c r="I143" s="27"/>
      <c r="J143" s="27"/>
      <c r="K143" s="444"/>
      <c r="L143" s="444"/>
      <c r="M143" s="444"/>
      <c r="N143" s="444"/>
    </row>
    <row r="144" spans="1:14" x14ac:dyDescent="0.3">
      <c r="B144" s="45" t="s">
        <v>15</v>
      </c>
      <c r="C144" s="27"/>
      <c r="D144" s="27"/>
      <c r="E144" s="27"/>
      <c r="F144" s="27"/>
      <c r="G144" s="27"/>
      <c r="H144" s="27"/>
      <c r="I144" s="27"/>
      <c r="J144" s="27"/>
      <c r="K144" s="444"/>
      <c r="L144" s="444"/>
      <c r="M144" s="444"/>
      <c r="N144" s="444"/>
    </row>
    <row r="145" spans="1:14" x14ac:dyDescent="0.3">
      <c r="B145" s="27"/>
      <c r="C145" s="27"/>
      <c r="D145" s="27"/>
      <c r="E145"/>
      <c r="F145" s="444"/>
      <c r="G145" s="444"/>
      <c r="H145" s="444"/>
      <c r="I145" s="444"/>
      <c r="J145" s="444"/>
      <c r="K145" s="444"/>
      <c r="L145" s="444"/>
      <c r="M145" s="444"/>
      <c r="N145" s="444"/>
    </row>
    <row r="146" spans="1:14" x14ac:dyDescent="0.3">
      <c r="B146" s="456" t="s">
        <v>1047</v>
      </c>
      <c r="C146" s="442">
        <f>((1+C137)*(1+C138)*(1+C139)*(1+C140))-1</f>
        <v>0.13106240000000002</v>
      </c>
      <c r="D146" s="27"/>
      <c r="E146" s="27"/>
      <c r="F146" s="444"/>
      <c r="G146" s="444"/>
      <c r="H146" s="444"/>
      <c r="I146" s="444"/>
      <c r="J146" s="444"/>
      <c r="K146" s="444"/>
      <c r="L146" s="444"/>
      <c r="M146" s="444"/>
      <c r="N146" s="444"/>
    </row>
    <row r="147" spans="1:14" x14ac:dyDescent="0.3">
      <c r="B147" s="444"/>
      <c r="C147" s="27"/>
      <c r="D147" s="27"/>
      <c r="E147" s="27"/>
      <c r="F147" s="444"/>
      <c r="G147" s="444"/>
      <c r="H147" s="444"/>
      <c r="I147" s="444"/>
      <c r="J147" s="444"/>
      <c r="K147" s="444"/>
      <c r="L147" s="444"/>
      <c r="M147" s="444"/>
      <c r="N147" s="444"/>
    </row>
    <row r="148" spans="1:14" x14ac:dyDescent="0.3">
      <c r="B148" s="444"/>
      <c r="C148" s="27"/>
      <c r="D148" s="27"/>
      <c r="E148" s="27"/>
      <c r="F148" s="444"/>
      <c r="G148" s="444"/>
      <c r="H148" s="444"/>
      <c r="I148" s="444"/>
      <c r="J148" s="444"/>
      <c r="K148" s="444"/>
      <c r="L148" s="444"/>
      <c r="M148" s="444"/>
      <c r="N148" s="444"/>
    </row>
    <row r="149" spans="1:14" x14ac:dyDescent="0.3">
      <c r="B149" s="444"/>
      <c r="C149" s="446"/>
      <c r="D149" s="27"/>
      <c r="E149" s="27"/>
      <c r="F149" s="444"/>
      <c r="G149" s="444"/>
      <c r="H149" s="444"/>
      <c r="I149" s="444"/>
      <c r="J149" s="444"/>
      <c r="K149" s="444"/>
      <c r="L149" s="444"/>
      <c r="M149" s="444"/>
      <c r="N149" s="444"/>
    </row>
    <row r="150" spans="1:14" x14ac:dyDescent="0.3">
      <c r="A150" s="434" t="s">
        <v>209</v>
      </c>
      <c r="B150" s="66" t="s">
        <v>1046</v>
      </c>
      <c r="C150" s="27"/>
      <c r="D150" s="27"/>
      <c r="E150" s="27"/>
      <c r="F150" s="444"/>
      <c r="G150" s="444"/>
      <c r="H150" s="444"/>
      <c r="I150" s="444"/>
      <c r="J150" s="444"/>
      <c r="K150" s="444"/>
      <c r="L150" s="444"/>
      <c r="M150" s="444"/>
      <c r="N150" s="444"/>
    </row>
    <row r="151" spans="1:14" x14ac:dyDescent="0.3">
      <c r="B151" s="66" t="s">
        <v>1045</v>
      </c>
      <c r="C151" s="27"/>
      <c r="D151" s="27"/>
      <c r="E151" s="27"/>
      <c r="F151" s="444"/>
      <c r="G151" s="444"/>
      <c r="H151" s="444"/>
      <c r="I151" s="444"/>
      <c r="J151" s="444"/>
      <c r="K151" s="444"/>
      <c r="L151" s="444"/>
      <c r="M151" s="444"/>
      <c r="N151" s="444"/>
    </row>
    <row r="152" spans="1:14" x14ac:dyDescent="0.3">
      <c r="B152" s="444"/>
      <c r="C152" s="27"/>
      <c r="D152" s="27"/>
      <c r="E152" s="27"/>
      <c r="F152" s="444"/>
      <c r="G152" s="444"/>
      <c r="H152" s="444"/>
      <c r="I152" s="444"/>
      <c r="J152" s="444"/>
      <c r="K152" s="444"/>
      <c r="L152" s="444"/>
      <c r="M152" s="444"/>
      <c r="N152" s="444"/>
    </row>
    <row r="153" spans="1:14" x14ac:dyDescent="0.3">
      <c r="A153" s="120"/>
      <c r="D153" s="27"/>
      <c r="E153" s="27"/>
      <c r="F153" s="444"/>
      <c r="G153" s="444"/>
      <c r="H153" s="444"/>
      <c r="I153" s="444"/>
      <c r="J153" s="444"/>
      <c r="K153" s="444"/>
      <c r="L153" s="444"/>
      <c r="M153" s="444"/>
      <c r="N153" s="444"/>
    </row>
    <row r="154" spans="1:14" x14ac:dyDescent="0.3">
      <c r="A154" s="27"/>
      <c r="B154" s="448" t="s">
        <v>4</v>
      </c>
      <c r="C154" s="27"/>
      <c r="D154" s="27"/>
      <c r="E154" s="27"/>
      <c r="F154" s="444"/>
      <c r="G154" s="444"/>
      <c r="H154" s="444"/>
      <c r="I154" s="444"/>
      <c r="J154" s="444"/>
      <c r="K154" s="444"/>
      <c r="L154" s="444"/>
      <c r="M154" s="444"/>
      <c r="N154" s="444"/>
    </row>
    <row r="155" spans="1:14" x14ac:dyDescent="0.3">
      <c r="A155" s="27"/>
      <c r="B155" s="27" t="s">
        <v>1040</v>
      </c>
      <c r="C155" s="27"/>
      <c r="D155" s="27"/>
      <c r="E155" s="27"/>
      <c r="F155" s="444"/>
      <c r="G155" s="444"/>
      <c r="H155" s="444"/>
      <c r="I155" s="444"/>
      <c r="J155" s="444"/>
      <c r="K155" s="444"/>
      <c r="L155" s="444"/>
      <c r="M155" s="444"/>
      <c r="N155" s="444"/>
    </row>
    <row r="156" spans="1:14" x14ac:dyDescent="0.3">
      <c r="A156" s="27"/>
      <c r="B156" s="27" t="s">
        <v>1038</v>
      </c>
      <c r="C156" s="27"/>
      <c r="D156" s="27"/>
      <c r="E156" s="27"/>
      <c r="F156" s="444"/>
      <c r="G156" s="444"/>
      <c r="H156" s="444"/>
      <c r="I156" s="444"/>
      <c r="J156" s="444"/>
      <c r="K156" s="444"/>
      <c r="L156" s="444"/>
      <c r="M156" s="444"/>
      <c r="N156" s="444"/>
    </row>
    <row r="157" spans="1:14" x14ac:dyDescent="0.3">
      <c r="A157" s="27"/>
      <c r="B157" s="27" t="s">
        <v>1037</v>
      </c>
      <c r="C157" s="446">
        <v>1000000</v>
      </c>
      <c r="D157" s="27"/>
      <c r="E157" s="27"/>
      <c r="F157" s="444"/>
      <c r="G157" s="444"/>
      <c r="H157" s="444"/>
      <c r="I157" s="444"/>
      <c r="J157" s="444"/>
      <c r="K157" s="444"/>
      <c r="L157" s="444"/>
      <c r="M157" s="444"/>
      <c r="N157" s="444"/>
    </row>
    <row r="158" spans="1:14" x14ac:dyDescent="0.3">
      <c r="A158" s="27"/>
      <c r="B158" s="447" t="s">
        <v>1036</v>
      </c>
      <c r="C158" s="446">
        <v>1162484</v>
      </c>
      <c r="D158" s="27"/>
      <c r="E158" s="27"/>
      <c r="F158" s="444"/>
      <c r="G158" s="444"/>
      <c r="H158" s="444"/>
      <c r="I158" s="444"/>
      <c r="J158" s="444"/>
      <c r="K158" s="444"/>
      <c r="L158" s="444"/>
      <c r="M158" s="444"/>
      <c r="N158" s="444"/>
    </row>
    <row r="159" spans="1:14" x14ac:dyDescent="0.3">
      <c r="A159" s="27"/>
      <c r="B159" s="27"/>
      <c r="C159" s="27"/>
      <c r="D159" s="27"/>
      <c r="E159" s="27"/>
      <c r="F159" s="444"/>
      <c r="G159" s="444"/>
      <c r="H159" s="444"/>
      <c r="I159" s="444"/>
      <c r="J159" s="444"/>
      <c r="K159" s="444"/>
      <c r="L159" s="444"/>
      <c r="M159" s="444"/>
      <c r="N159" s="444"/>
    </row>
    <row r="160" spans="1:14" x14ac:dyDescent="0.3">
      <c r="A160" s="27"/>
      <c r="B160" s="27" t="s">
        <v>1039</v>
      </c>
      <c r="C160" s="27"/>
      <c r="D160" s="27"/>
      <c r="E160" s="27"/>
      <c r="F160" s="444"/>
      <c r="G160" s="444"/>
      <c r="H160" s="444"/>
      <c r="I160" s="444"/>
      <c r="J160" s="444"/>
      <c r="K160" s="444"/>
      <c r="L160" s="444"/>
      <c r="M160" s="444"/>
      <c r="N160" s="444"/>
    </row>
    <row r="161" spans="1:14" x14ac:dyDescent="0.3">
      <c r="A161" s="27"/>
      <c r="B161" s="27" t="s">
        <v>1038</v>
      </c>
      <c r="C161" s="27"/>
      <c r="D161" s="27"/>
      <c r="E161" s="27"/>
      <c r="F161" s="444"/>
      <c r="G161" s="444"/>
      <c r="H161" s="444"/>
      <c r="I161" s="444"/>
      <c r="J161" s="444"/>
      <c r="K161" s="444"/>
      <c r="L161" s="444"/>
      <c r="M161" s="444"/>
      <c r="N161" s="444"/>
    </row>
    <row r="162" spans="1:14" x14ac:dyDescent="0.3">
      <c r="A162" s="27"/>
      <c r="B162" s="27" t="s">
        <v>1037</v>
      </c>
      <c r="C162" s="446">
        <f>C158+100000</f>
        <v>1262484</v>
      </c>
      <c r="D162" s="27"/>
      <c r="E162"/>
      <c r="F162" s="444"/>
      <c r="G162" s="444"/>
      <c r="H162" s="444"/>
      <c r="I162" s="444"/>
      <c r="J162" s="444"/>
      <c r="K162" s="444"/>
      <c r="L162" s="444"/>
      <c r="M162" s="444"/>
      <c r="N162" s="444"/>
    </row>
    <row r="163" spans="1:14" x14ac:dyDescent="0.3">
      <c r="A163" s="27"/>
      <c r="B163" s="447" t="s">
        <v>1036</v>
      </c>
      <c r="C163" s="446">
        <v>1192328</v>
      </c>
      <c r="D163" s="27"/>
      <c r="E163" s="27"/>
      <c r="F163" s="444"/>
      <c r="G163" s="444"/>
      <c r="H163" s="444"/>
      <c r="I163" s="444"/>
      <c r="J163" s="444"/>
      <c r="K163" s="444"/>
      <c r="L163" s="444"/>
      <c r="M163" s="444"/>
      <c r="N163" s="444"/>
    </row>
    <row r="164" spans="1:14" x14ac:dyDescent="0.3">
      <c r="A164" s="27"/>
      <c r="B164" s="27"/>
      <c r="C164" s="27"/>
      <c r="D164" s="27"/>
      <c r="E164" s="27"/>
      <c r="F164" s="444"/>
      <c r="G164" s="444"/>
      <c r="H164" s="444"/>
      <c r="I164" s="444"/>
      <c r="J164" s="444"/>
      <c r="K164" s="444"/>
      <c r="L164" s="444"/>
      <c r="M164" s="444"/>
      <c r="N164" s="444"/>
    </row>
    <row r="165" spans="1:14" x14ac:dyDescent="0.3">
      <c r="A165" s="27"/>
      <c r="B165" s="27" t="s">
        <v>1035</v>
      </c>
      <c r="C165" s="27"/>
      <c r="D165" s="27"/>
      <c r="E165" s="27"/>
      <c r="F165" s="444"/>
      <c r="G165" s="444"/>
      <c r="H165" s="444"/>
      <c r="I165" s="444"/>
      <c r="J165" s="444"/>
      <c r="K165" s="444"/>
      <c r="L165" s="444"/>
      <c r="M165" s="444"/>
      <c r="N165" s="444"/>
    </row>
    <row r="166" spans="1:14" x14ac:dyDescent="0.3">
      <c r="A166" s="27"/>
      <c r="B166" s="27" t="s">
        <v>1034</v>
      </c>
      <c r="C166" s="27"/>
      <c r="D166" s="455"/>
      <c r="E166" s="455"/>
      <c r="F166" s="454"/>
      <c r="G166" s="454"/>
      <c r="H166" s="454"/>
      <c r="I166" s="454"/>
      <c r="J166" s="454"/>
      <c r="K166" s="444"/>
      <c r="L166" s="444"/>
      <c r="M166" s="444"/>
      <c r="N166" s="444"/>
    </row>
    <row r="167" spans="1:14" x14ac:dyDescent="0.3">
      <c r="A167" s="27"/>
      <c r="B167" s="27" t="s">
        <v>1033</v>
      </c>
      <c r="C167" s="27"/>
      <c r="D167" s="27"/>
      <c r="E167" s="455"/>
      <c r="F167" s="454"/>
      <c r="G167" s="454"/>
      <c r="H167" s="454"/>
      <c r="I167" s="454"/>
      <c r="J167" s="454"/>
      <c r="K167" s="444"/>
      <c r="L167" s="444"/>
      <c r="M167" s="444"/>
      <c r="N167" s="444"/>
    </row>
    <row r="168" spans="1:14" x14ac:dyDescent="0.3">
      <c r="A168" s="27"/>
      <c r="B168" s="27"/>
      <c r="C168" s="453"/>
      <c r="D168" s="452"/>
      <c r="E168" s="452"/>
      <c r="F168" s="451"/>
      <c r="G168" s="451"/>
      <c r="H168" s="451"/>
      <c r="I168" s="451"/>
      <c r="J168" s="451"/>
      <c r="K168" s="444"/>
      <c r="L168" s="444"/>
      <c r="M168" s="444"/>
      <c r="N168" s="444"/>
    </row>
    <row r="169" spans="1:14" x14ac:dyDescent="0.3">
      <c r="B169" s="45" t="s">
        <v>15</v>
      </c>
      <c r="C169" s="445"/>
      <c r="D169" s="451"/>
      <c r="E169" s="451"/>
      <c r="F169" s="451"/>
      <c r="G169" s="451"/>
      <c r="H169" s="451"/>
      <c r="I169" s="451"/>
      <c r="J169" s="451"/>
      <c r="K169" s="444"/>
      <c r="L169" s="444"/>
      <c r="M169" s="444"/>
      <c r="N169" s="444"/>
    </row>
    <row r="170" spans="1:14" x14ac:dyDescent="0.3">
      <c r="B170" s="27"/>
      <c r="C170" s="27"/>
      <c r="D170" s="444"/>
      <c r="E170" s="444"/>
      <c r="F170" s="444"/>
      <c r="G170" s="444"/>
      <c r="H170" s="444"/>
      <c r="I170" s="444"/>
      <c r="J170" s="444"/>
      <c r="K170" s="444"/>
      <c r="L170" s="444"/>
      <c r="M170" s="444"/>
      <c r="N170" s="444"/>
    </row>
    <row r="171" spans="1:14" x14ac:dyDescent="0.3">
      <c r="B171" s="27" t="s">
        <v>1032</v>
      </c>
      <c r="C171" s="443">
        <f>(C158-C157)/C157</f>
        <v>0.16248399999999999</v>
      </c>
      <c r="D171" s="444"/>
      <c r="E171" s="444"/>
      <c r="F171" s="444"/>
      <c r="G171" s="444"/>
      <c r="H171" s="444"/>
      <c r="I171" s="444"/>
      <c r="J171" s="444"/>
      <c r="K171" s="444"/>
      <c r="L171" s="444"/>
      <c r="M171" s="444"/>
      <c r="N171" s="444"/>
    </row>
    <row r="172" spans="1:14" x14ac:dyDescent="0.3">
      <c r="B172" s="27"/>
      <c r="C172" s="27"/>
      <c r="D172" s="444"/>
      <c r="E172"/>
      <c r="F172" s="444"/>
      <c r="G172" s="444"/>
      <c r="H172" s="444"/>
      <c r="I172" s="444"/>
      <c r="J172" s="444"/>
      <c r="K172" s="444"/>
      <c r="L172" s="444"/>
      <c r="M172" s="444"/>
      <c r="N172" s="444"/>
    </row>
    <row r="173" spans="1:14" x14ac:dyDescent="0.3">
      <c r="B173" s="27"/>
      <c r="C173" s="27"/>
      <c r="D173" s="444"/>
      <c r="E173" s="444"/>
      <c r="F173" s="444"/>
      <c r="G173" s="444"/>
      <c r="H173" s="444"/>
      <c r="I173" s="444"/>
      <c r="J173" s="444"/>
      <c r="K173" s="444"/>
      <c r="L173" s="444"/>
      <c r="M173" s="444"/>
      <c r="N173" s="444"/>
    </row>
    <row r="174" spans="1:14" x14ac:dyDescent="0.3">
      <c r="B174" s="27" t="s">
        <v>1031</v>
      </c>
      <c r="C174" s="443">
        <f>(C163-C162)/C162</f>
        <v>-5.5569813161988585E-2</v>
      </c>
      <c r="D174" s="444"/>
      <c r="E174" s="444"/>
      <c r="F174" s="444"/>
      <c r="G174" s="444"/>
      <c r="H174" s="444"/>
      <c r="I174" s="444"/>
      <c r="J174" s="444"/>
      <c r="K174" s="444"/>
      <c r="L174" s="444"/>
      <c r="M174" s="444"/>
      <c r="N174" s="444"/>
    </row>
    <row r="175" spans="1:14" x14ac:dyDescent="0.3">
      <c r="B175" s="27"/>
      <c r="C175" s="27"/>
      <c r="D175" s="444"/>
      <c r="E175"/>
      <c r="F175" s="444"/>
      <c r="G175" s="444"/>
      <c r="H175" s="444"/>
      <c r="I175" s="444"/>
      <c r="J175" s="444"/>
      <c r="K175" s="444"/>
      <c r="L175" s="444"/>
      <c r="M175" s="444"/>
      <c r="N175" s="444"/>
    </row>
    <row r="176" spans="1:14" x14ac:dyDescent="0.3">
      <c r="B176" s="27" t="s">
        <v>1030</v>
      </c>
      <c r="C176" s="442">
        <f>(1+C171)*(1+C174)-1</f>
        <v>9.7884981316198827E-2</v>
      </c>
      <c r="D176" s="444"/>
      <c r="E176"/>
      <c r="F176" s="444"/>
      <c r="G176" s="444"/>
      <c r="H176" s="444"/>
      <c r="I176" s="444"/>
      <c r="J176" s="444"/>
      <c r="K176" s="444"/>
      <c r="L176" s="444"/>
      <c r="M176" s="444"/>
      <c r="N176" s="444"/>
    </row>
    <row r="177" spans="1:14" x14ac:dyDescent="0.3">
      <c r="B177" s="27"/>
      <c r="C177" s="27"/>
      <c r="D177" s="444"/>
      <c r="E177" s="444"/>
      <c r="F177" s="444"/>
      <c r="G177" s="444"/>
      <c r="H177" s="444"/>
      <c r="I177" s="444"/>
      <c r="J177" s="444"/>
      <c r="K177" s="444"/>
      <c r="L177" s="444"/>
      <c r="M177" s="444"/>
      <c r="N177" s="444"/>
    </row>
    <row r="178" spans="1:14" x14ac:dyDescent="0.3">
      <c r="B178" s="27"/>
      <c r="C178" s="27"/>
      <c r="D178" s="444"/>
      <c r="E178" s="444"/>
      <c r="F178" s="444"/>
      <c r="G178" s="444"/>
      <c r="H178" s="444"/>
      <c r="I178" s="444"/>
      <c r="J178" s="444"/>
      <c r="K178" s="444"/>
      <c r="L178" s="444"/>
      <c r="M178" s="444"/>
      <c r="N178" s="444"/>
    </row>
    <row r="179" spans="1:14" x14ac:dyDescent="0.3">
      <c r="B179" s="27"/>
      <c r="C179" s="27"/>
      <c r="D179" s="444"/>
      <c r="E179" s="444"/>
      <c r="F179" s="444"/>
      <c r="G179" s="444"/>
      <c r="H179" s="444"/>
      <c r="I179" s="444"/>
      <c r="J179" s="444"/>
      <c r="K179" s="444"/>
      <c r="L179" s="444"/>
      <c r="M179" s="444"/>
      <c r="N179" s="444"/>
    </row>
    <row r="180" spans="1:14" x14ac:dyDescent="0.3">
      <c r="B180" s="27"/>
      <c r="C180" s="446"/>
      <c r="D180" s="444"/>
      <c r="E180" s="444"/>
      <c r="F180" s="444"/>
      <c r="G180" s="444"/>
      <c r="H180" s="444"/>
      <c r="I180" s="444"/>
      <c r="J180" s="444"/>
      <c r="K180" s="444"/>
      <c r="L180" s="444"/>
      <c r="M180" s="444"/>
      <c r="N180" s="444"/>
    </row>
    <row r="181" spans="1:14" x14ac:dyDescent="0.3">
      <c r="B181" s="27"/>
      <c r="C181" s="27"/>
      <c r="D181" s="444"/>
      <c r="E181" s="444"/>
      <c r="F181" s="444"/>
      <c r="G181" s="444"/>
      <c r="H181" s="444"/>
      <c r="I181" s="444"/>
      <c r="J181" s="444"/>
      <c r="K181" s="444"/>
      <c r="L181" s="444"/>
      <c r="M181" s="444"/>
      <c r="N181" s="444"/>
    </row>
    <row r="182" spans="1:14" x14ac:dyDescent="0.3">
      <c r="A182" s="434" t="s">
        <v>205</v>
      </c>
      <c r="B182" s="66" t="s">
        <v>1044</v>
      </c>
      <c r="C182" s="27"/>
      <c r="D182" s="444"/>
      <c r="E182" s="444"/>
      <c r="F182" s="444"/>
      <c r="G182" s="444"/>
      <c r="H182" s="444"/>
      <c r="I182" s="444"/>
      <c r="J182" s="444"/>
      <c r="K182" s="444"/>
      <c r="L182" s="444"/>
      <c r="M182" s="444"/>
      <c r="N182" s="444"/>
    </row>
    <row r="183" spans="1:14" x14ac:dyDescent="0.3">
      <c r="A183" s="120"/>
      <c r="B183" s="27" t="s">
        <v>1043</v>
      </c>
      <c r="C183" s="444"/>
      <c r="D183" s="444"/>
      <c r="E183" s="444"/>
      <c r="F183" s="444"/>
      <c r="G183" s="444"/>
      <c r="H183" s="444"/>
      <c r="I183" s="444"/>
      <c r="J183" s="444"/>
      <c r="K183" s="444"/>
      <c r="L183" s="444"/>
      <c r="M183" s="444"/>
      <c r="N183" s="444"/>
    </row>
    <row r="184" spans="1:14" x14ac:dyDescent="0.3">
      <c r="B184" s="450" t="s">
        <v>1042</v>
      </c>
      <c r="C184" s="27"/>
      <c r="D184" s="27"/>
      <c r="E184" s="27"/>
      <c r="F184" s="27"/>
      <c r="G184" s="444"/>
      <c r="H184" s="444"/>
      <c r="I184" s="444"/>
      <c r="J184" s="444"/>
      <c r="K184" s="444"/>
      <c r="L184" s="444"/>
      <c r="M184" s="444"/>
      <c r="N184" s="444"/>
    </row>
    <row r="185" spans="1:14" x14ac:dyDescent="0.3">
      <c r="B185" s="449" t="s">
        <v>1041</v>
      </c>
      <c r="C185" s="27"/>
      <c r="D185" s="27"/>
      <c r="E185" s="27"/>
      <c r="F185" s="27"/>
      <c r="G185" s="444"/>
      <c r="H185" s="444"/>
      <c r="I185" s="444"/>
      <c r="J185" s="444"/>
      <c r="K185" s="444"/>
      <c r="L185" s="444"/>
      <c r="M185" s="444"/>
      <c r="N185" s="444"/>
    </row>
    <row r="186" spans="1:14" x14ac:dyDescent="0.3">
      <c r="C186" s="27"/>
      <c r="D186" s="27"/>
      <c r="E186" s="27"/>
      <c r="F186" s="27"/>
      <c r="G186" s="444"/>
      <c r="H186" s="444"/>
      <c r="I186" s="444"/>
      <c r="J186" s="444"/>
      <c r="K186" s="444"/>
      <c r="L186" s="444"/>
      <c r="M186" s="444"/>
      <c r="N186" s="444"/>
    </row>
    <row r="187" spans="1:14" x14ac:dyDescent="0.3">
      <c r="B187" s="448" t="s">
        <v>4</v>
      </c>
      <c r="C187" s="27"/>
      <c r="D187" s="27"/>
      <c r="E187" s="27"/>
      <c r="F187" s="27"/>
      <c r="G187" s="444"/>
      <c r="H187" s="444"/>
      <c r="I187" s="444"/>
      <c r="J187" s="444"/>
      <c r="K187" s="444"/>
      <c r="L187" s="444"/>
      <c r="M187" s="444"/>
      <c r="N187" s="444"/>
    </row>
    <row r="188" spans="1:14" x14ac:dyDescent="0.3">
      <c r="B188" s="27" t="s">
        <v>1040</v>
      </c>
      <c r="C188" s="27"/>
      <c r="D188" s="27"/>
      <c r="E188" s="27"/>
      <c r="F188" s="27"/>
      <c r="G188" s="444"/>
      <c r="H188" s="444"/>
      <c r="I188" s="444"/>
      <c r="J188" s="444"/>
      <c r="K188" s="444"/>
      <c r="L188" s="444"/>
      <c r="M188" s="444"/>
      <c r="N188" s="444"/>
    </row>
    <row r="189" spans="1:14" x14ac:dyDescent="0.3">
      <c r="B189" s="27" t="s">
        <v>1038</v>
      </c>
      <c r="C189" s="27"/>
      <c r="D189" s="27"/>
      <c r="E189"/>
      <c r="F189" s="27"/>
      <c r="G189" s="444"/>
      <c r="H189" s="444"/>
      <c r="I189" s="444"/>
      <c r="J189" s="444"/>
      <c r="K189" s="444"/>
      <c r="L189" s="444"/>
      <c r="M189" s="444"/>
      <c r="N189" s="444"/>
    </row>
    <row r="190" spans="1:14" x14ac:dyDescent="0.3">
      <c r="B190" s="27" t="s">
        <v>1037</v>
      </c>
      <c r="C190" s="446">
        <v>1000000</v>
      </c>
      <c r="D190" s="27"/>
      <c r="E190" s="27"/>
      <c r="F190" s="27"/>
      <c r="G190" s="444"/>
      <c r="H190" s="444"/>
      <c r="I190" s="444"/>
      <c r="J190" s="444"/>
      <c r="K190" s="444"/>
      <c r="L190" s="444"/>
      <c r="M190" s="444"/>
      <c r="N190" s="444"/>
    </row>
    <row r="191" spans="1:14" x14ac:dyDescent="0.3">
      <c r="B191" s="447" t="s">
        <v>1036</v>
      </c>
      <c r="C191" s="446">
        <v>1162484</v>
      </c>
      <c r="D191" s="27"/>
      <c r="E191" s="27"/>
      <c r="F191" s="27"/>
      <c r="G191" s="444"/>
      <c r="H191" s="444"/>
      <c r="I191" s="444"/>
      <c r="J191" s="444"/>
      <c r="K191" s="444"/>
      <c r="L191" s="444"/>
      <c r="M191" s="444"/>
      <c r="N191" s="444"/>
    </row>
    <row r="192" spans="1:14" x14ac:dyDescent="0.3">
      <c r="B192" s="27"/>
      <c r="C192" s="27"/>
      <c r="D192" s="27"/>
      <c r="E192" s="27"/>
      <c r="F192" s="27"/>
      <c r="G192" s="444"/>
      <c r="H192" s="444"/>
      <c r="I192" s="444"/>
      <c r="J192" s="444"/>
      <c r="K192" s="444"/>
      <c r="L192" s="444"/>
      <c r="M192" s="444"/>
      <c r="N192" s="444"/>
    </row>
    <row r="193" spans="2:14" x14ac:dyDescent="0.3">
      <c r="B193" s="27" t="s">
        <v>1039</v>
      </c>
      <c r="C193" s="27"/>
      <c r="D193" s="27"/>
      <c r="E193" s="27"/>
      <c r="F193" s="27"/>
      <c r="G193" s="444"/>
      <c r="H193" s="444"/>
      <c r="I193" s="444"/>
      <c r="J193" s="444"/>
      <c r="K193" s="444"/>
      <c r="L193" s="444"/>
      <c r="M193" s="444"/>
      <c r="N193" s="444"/>
    </row>
    <row r="194" spans="2:14" x14ac:dyDescent="0.3">
      <c r="B194" s="27" t="s">
        <v>1038</v>
      </c>
      <c r="C194" s="27"/>
      <c r="D194" s="27"/>
      <c r="E194" s="27"/>
      <c r="F194"/>
      <c r="G194" s="444"/>
      <c r="H194" s="444"/>
      <c r="I194" s="444"/>
      <c r="J194" s="444"/>
      <c r="K194" s="444"/>
      <c r="L194" s="444"/>
      <c r="M194" s="444"/>
      <c r="N194" s="444"/>
    </row>
    <row r="195" spans="2:14" x14ac:dyDescent="0.3">
      <c r="B195" s="27" t="s">
        <v>1037</v>
      </c>
      <c r="C195" s="446">
        <v>1062484</v>
      </c>
      <c r="D195" s="27"/>
      <c r="E195" s="27"/>
      <c r="F195" s="27"/>
      <c r="G195" s="444"/>
      <c r="H195" s="444"/>
      <c r="I195" s="444"/>
      <c r="J195" s="444"/>
      <c r="K195" s="444"/>
      <c r="L195" s="444"/>
      <c r="M195" s="444"/>
      <c r="N195" s="444"/>
    </row>
    <row r="196" spans="2:14" x14ac:dyDescent="0.3">
      <c r="B196" s="447" t="s">
        <v>1036</v>
      </c>
      <c r="C196" s="446">
        <v>1003440</v>
      </c>
      <c r="D196" s="27"/>
      <c r="E196" s="27"/>
      <c r="F196" s="27"/>
      <c r="G196" s="444"/>
      <c r="H196" s="444"/>
      <c r="I196" s="444"/>
      <c r="J196" s="444"/>
      <c r="K196" s="444"/>
      <c r="L196" s="444"/>
      <c r="M196" s="444"/>
      <c r="N196" s="444"/>
    </row>
    <row r="197" spans="2:14" x14ac:dyDescent="0.3">
      <c r="B197" s="27"/>
      <c r="C197" s="27"/>
      <c r="D197" s="27"/>
      <c r="E197" s="27"/>
      <c r="F197" s="27"/>
      <c r="G197" s="444"/>
      <c r="H197" s="444"/>
      <c r="I197" s="444"/>
      <c r="J197" s="444"/>
      <c r="K197" s="444"/>
      <c r="L197" s="444"/>
      <c r="M197" s="444"/>
      <c r="N197" s="444"/>
    </row>
    <row r="198" spans="2:14" x14ac:dyDescent="0.3">
      <c r="B198" s="27" t="s">
        <v>1035</v>
      </c>
      <c r="C198" s="27"/>
      <c r="D198" s="27"/>
      <c r="E198" s="27"/>
      <c r="F198" s="27"/>
      <c r="G198" s="444"/>
      <c r="H198" s="444"/>
      <c r="I198" s="444"/>
      <c r="J198" s="444"/>
      <c r="K198" s="444"/>
      <c r="L198" s="444"/>
      <c r="M198" s="444"/>
      <c r="N198" s="444"/>
    </row>
    <row r="199" spans="2:14" x14ac:dyDescent="0.3">
      <c r="B199" s="27" t="s">
        <v>1034</v>
      </c>
      <c r="C199" s="27"/>
      <c r="D199" s="27"/>
      <c r="E199" s="27"/>
      <c r="F199" s="27"/>
      <c r="G199" s="444"/>
      <c r="H199" s="444"/>
      <c r="I199" s="444"/>
      <c r="J199" s="444"/>
      <c r="K199" s="444"/>
      <c r="L199" s="444"/>
      <c r="M199" s="444"/>
      <c r="N199" s="444"/>
    </row>
    <row r="200" spans="2:14" x14ac:dyDescent="0.3">
      <c r="B200" s="27" t="s">
        <v>1033</v>
      </c>
      <c r="C200" s="27"/>
      <c r="D200" s="27"/>
      <c r="E200" s="27"/>
      <c r="F200" s="27"/>
      <c r="G200" s="444"/>
      <c r="H200" s="444"/>
      <c r="I200" s="444"/>
      <c r="J200" s="444"/>
      <c r="K200" s="444"/>
      <c r="L200" s="444"/>
      <c r="M200" s="444"/>
      <c r="N200" s="444"/>
    </row>
    <row r="201" spans="2:14" x14ac:dyDescent="0.3">
      <c r="B201" s="27"/>
      <c r="C201" s="28"/>
      <c r="D201" s="27"/>
      <c r="E201"/>
      <c r="F201" s="27"/>
      <c r="G201" s="444"/>
      <c r="H201" s="444"/>
      <c r="I201" s="444"/>
      <c r="J201" s="444"/>
      <c r="K201" s="444"/>
      <c r="L201" s="444"/>
      <c r="M201" s="444"/>
      <c r="N201" s="444"/>
    </row>
    <row r="202" spans="2:14" x14ac:dyDescent="0.3">
      <c r="B202" s="27"/>
      <c r="C202" s="27"/>
      <c r="D202" s="27"/>
      <c r="E202" s="27"/>
      <c r="F202" s="27"/>
      <c r="G202" s="444"/>
      <c r="H202" s="444"/>
      <c r="I202" s="444"/>
      <c r="J202" s="444"/>
      <c r="K202" s="444"/>
      <c r="L202" s="444"/>
      <c r="M202" s="444"/>
      <c r="N202" s="444"/>
    </row>
    <row r="203" spans="2:14" x14ac:dyDescent="0.3">
      <c r="B203" s="27"/>
      <c r="C203" s="27"/>
      <c r="D203" s="27"/>
      <c r="E203" s="27"/>
      <c r="F203" s="27"/>
      <c r="G203" s="444"/>
      <c r="H203" s="444"/>
      <c r="I203" s="444"/>
      <c r="J203" s="444"/>
      <c r="K203" s="444"/>
      <c r="L203" s="444"/>
      <c r="M203" s="444"/>
      <c r="N203" s="444"/>
    </row>
    <row r="204" spans="2:14" x14ac:dyDescent="0.3">
      <c r="B204" s="45" t="s">
        <v>15</v>
      </c>
      <c r="C204" s="445"/>
      <c r="D204" s="27"/>
      <c r="E204" s="27"/>
      <c r="F204" s="27"/>
      <c r="G204" s="444"/>
      <c r="H204" s="444"/>
      <c r="I204" s="444"/>
      <c r="J204" s="444"/>
      <c r="K204" s="444"/>
      <c r="L204" s="444"/>
      <c r="M204" s="444"/>
      <c r="N204" s="444"/>
    </row>
    <row r="205" spans="2:14" x14ac:dyDescent="0.3">
      <c r="B205" s="27"/>
      <c r="C205" s="27"/>
      <c r="D205" s="27"/>
      <c r="E205" s="27"/>
      <c r="F205" s="27"/>
      <c r="G205" s="444"/>
      <c r="H205" s="444"/>
      <c r="I205" s="444"/>
      <c r="J205" s="444"/>
      <c r="K205" s="444"/>
      <c r="L205" s="444"/>
      <c r="M205" s="444"/>
      <c r="N205" s="444"/>
    </row>
    <row r="206" spans="2:14" x14ac:dyDescent="0.3">
      <c r="B206" s="27" t="s">
        <v>1032</v>
      </c>
      <c r="C206" s="443">
        <f>(C191-C190)/C190</f>
        <v>0.16248399999999999</v>
      </c>
      <c r="D206" s="27"/>
      <c r="E206" s="27"/>
      <c r="F206" s="27"/>
      <c r="G206" s="444"/>
      <c r="H206" s="444"/>
      <c r="I206" s="444"/>
      <c r="J206" s="444"/>
      <c r="K206" s="444"/>
      <c r="L206" s="444"/>
      <c r="M206" s="444"/>
      <c r="N206" s="444"/>
    </row>
    <row r="207" spans="2:14" x14ac:dyDescent="0.3">
      <c r="B207" s="27"/>
      <c r="C207" s="27"/>
      <c r="D207" s="27"/>
      <c r="E207" s="27"/>
      <c r="F207" s="27"/>
      <c r="G207" s="444"/>
      <c r="H207" s="444"/>
      <c r="I207" s="444"/>
      <c r="J207" s="444"/>
      <c r="K207" s="444"/>
      <c r="L207" s="444"/>
      <c r="M207" s="444"/>
      <c r="N207" s="444"/>
    </row>
    <row r="208" spans="2:14" x14ac:dyDescent="0.3">
      <c r="B208" s="27"/>
      <c r="C208" s="27"/>
    </row>
    <row r="209" spans="1:5" x14ac:dyDescent="0.3">
      <c r="B209" s="27" t="s">
        <v>1031</v>
      </c>
      <c r="C209" s="443">
        <f>(C196-C195)/C195</f>
        <v>-5.557166037323856E-2</v>
      </c>
    </row>
    <row r="210" spans="1:5" x14ac:dyDescent="0.3">
      <c r="B210" s="27"/>
      <c r="C210" s="27"/>
    </row>
    <row r="211" spans="1:5" x14ac:dyDescent="0.3">
      <c r="B211" s="27" t="s">
        <v>1030</v>
      </c>
      <c r="C211" s="442">
        <f>(1+C206)*(1+C209)-1</f>
        <v>9.7882833962676274E-2</v>
      </c>
    </row>
    <row r="218" spans="1:5" x14ac:dyDescent="0.3">
      <c r="A218" s="434" t="s">
        <v>201</v>
      </c>
      <c r="B218" s="66" t="s">
        <v>1029</v>
      </c>
    </row>
    <row r="219" spans="1:5" x14ac:dyDescent="0.3">
      <c r="B219" s="66" t="s">
        <v>1028</v>
      </c>
      <c r="E219" s="9"/>
    </row>
    <row r="221" spans="1:5" x14ac:dyDescent="0.3">
      <c r="B221" s="3" t="s">
        <v>4</v>
      </c>
    </row>
    <row r="222" spans="1:5" x14ac:dyDescent="0.3">
      <c r="B222" s="1" t="s">
        <v>1027</v>
      </c>
      <c r="D222" s="441">
        <v>-5000000</v>
      </c>
    </row>
    <row r="223" spans="1:5" x14ac:dyDescent="0.3">
      <c r="B223" s="1" t="s">
        <v>1026</v>
      </c>
      <c r="D223" s="441">
        <v>1600000</v>
      </c>
    </row>
    <row r="224" spans="1:5" x14ac:dyDescent="0.3">
      <c r="B224" s="1" t="s">
        <v>1025</v>
      </c>
      <c r="D224" s="441">
        <v>2400000</v>
      </c>
    </row>
    <row r="225" spans="2:7" x14ac:dyDescent="0.3">
      <c r="B225" s="1" t="s">
        <v>1024</v>
      </c>
      <c r="D225" s="441">
        <v>2800000</v>
      </c>
      <c r="E225" s="8"/>
      <c r="F225" s="8"/>
    </row>
    <row r="226" spans="2:7" x14ac:dyDescent="0.3">
      <c r="D226" s="22"/>
      <c r="E226" s="22"/>
      <c r="F226" s="22"/>
    </row>
    <row r="227" spans="2:7" x14ac:dyDescent="0.3">
      <c r="B227" s="1" t="s">
        <v>1023</v>
      </c>
      <c r="C227" s="9"/>
      <c r="D227" s="433"/>
      <c r="E227" s="433"/>
      <c r="F227" s="433"/>
    </row>
    <row r="228" spans="2:7" x14ac:dyDescent="0.3">
      <c r="D228" s="440"/>
      <c r="E228" s="440"/>
      <c r="F228" s="440"/>
    </row>
    <row r="229" spans="2:7" x14ac:dyDescent="0.3">
      <c r="B229" s="45" t="s">
        <v>15</v>
      </c>
      <c r="D229" s="64"/>
      <c r="E229" s="64"/>
      <c r="F229" s="64"/>
      <c r="G229" s="90"/>
    </row>
    <row r="231" spans="2:7" x14ac:dyDescent="0.3">
      <c r="C231" s="6" t="s">
        <v>1019</v>
      </c>
      <c r="D231" s="65">
        <v>0</v>
      </c>
      <c r="E231" s="65">
        <v>1</v>
      </c>
      <c r="F231" s="65">
        <v>2</v>
      </c>
      <c r="G231" s="65">
        <v>3</v>
      </c>
    </row>
    <row r="232" spans="2:7" x14ac:dyDescent="0.3">
      <c r="C232" s="6" t="s">
        <v>1018</v>
      </c>
      <c r="D232" s="436">
        <f>D222</f>
        <v>-5000000</v>
      </c>
      <c r="E232" s="439">
        <f>D223</f>
        <v>1600000</v>
      </c>
      <c r="F232" s="439">
        <f>D224</f>
        <v>2400000</v>
      </c>
      <c r="G232" s="439">
        <f>D225</f>
        <v>2800000</v>
      </c>
    </row>
    <row r="235" spans="2:7" x14ac:dyDescent="0.3">
      <c r="B235" s="1" t="s">
        <v>503</v>
      </c>
      <c r="C235" s="438">
        <f>IRR(D232:G232)</f>
        <v>0.1551757275754051</v>
      </c>
    </row>
    <row r="244" spans="2:7" x14ac:dyDescent="0.3">
      <c r="B244" s="1" t="s">
        <v>1022</v>
      </c>
      <c r="C244" s="437">
        <f>C235</f>
        <v>0.1551757275754051</v>
      </c>
    </row>
    <row r="246" spans="2:7" x14ac:dyDescent="0.3">
      <c r="B246" s="1" t="s">
        <v>1021</v>
      </c>
      <c r="C246" s="437">
        <v>0.14000000000000001</v>
      </c>
    </row>
    <row r="248" spans="2:7" x14ac:dyDescent="0.3">
      <c r="B248" s="1" t="s">
        <v>1020</v>
      </c>
      <c r="C248" s="437">
        <v>0.18</v>
      </c>
    </row>
    <row r="251" spans="2:7" x14ac:dyDescent="0.3">
      <c r="C251" s="6" t="s">
        <v>1019</v>
      </c>
      <c r="D251" s="65">
        <v>0</v>
      </c>
      <c r="E251" s="65">
        <v>1</v>
      </c>
      <c r="F251" s="65">
        <v>2</v>
      </c>
      <c r="G251" s="65">
        <v>3</v>
      </c>
    </row>
    <row r="252" spans="2:7" x14ac:dyDescent="0.3">
      <c r="C252" s="6" t="s">
        <v>1018</v>
      </c>
      <c r="D252" s="436">
        <f>D232</f>
        <v>-5000000</v>
      </c>
      <c r="E252" s="436">
        <f>E232</f>
        <v>1600000</v>
      </c>
      <c r="F252" s="436">
        <f>F232</f>
        <v>2400000</v>
      </c>
      <c r="G252" s="436">
        <f>G232</f>
        <v>2800000</v>
      </c>
    </row>
    <row r="253" spans="2:7" x14ac:dyDescent="0.3">
      <c r="C253" s="6" t="s">
        <v>1017</v>
      </c>
      <c r="D253" s="13">
        <f>1/(1+$C$244)^D251</f>
        <v>1</v>
      </c>
      <c r="E253" s="13">
        <f>1/(1+$C$244)^E251</f>
        <v>0.86566915849149373</v>
      </c>
      <c r="F253" s="13">
        <f>1/(1+$C$244)^F251</f>
        <v>0.74938309196337094</v>
      </c>
      <c r="G253" s="13">
        <f>1/(1+$C$244)^G251</f>
        <v>0.64871783060768506</v>
      </c>
    </row>
    <row r="254" spans="2:7" x14ac:dyDescent="0.3">
      <c r="C254" s="6" t="s">
        <v>1016</v>
      </c>
      <c r="D254" s="13">
        <f>1/(1+$C$246)^D251</f>
        <v>1</v>
      </c>
      <c r="E254" s="13">
        <f>1/(1+$C$246)^E251</f>
        <v>0.8771929824561403</v>
      </c>
      <c r="F254" s="13">
        <f>1/(1+$C$246)^F251</f>
        <v>0.76946752847029842</v>
      </c>
      <c r="G254" s="13">
        <f>1/(1+$C$246)^G251</f>
        <v>0.67497151620201612</v>
      </c>
    </row>
    <row r="255" spans="2:7" x14ac:dyDescent="0.3">
      <c r="C255" s="6" t="s">
        <v>1015</v>
      </c>
      <c r="D255" s="13">
        <f>1/(1+$C$248)^D251</f>
        <v>1</v>
      </c>
      <c r="E255" s="13">
        <f>1/(1+$C$248)^E251</f>
        <v>0.84745762711864414</v>
      </c>
      <c r="F255" s="13">
        <f>1/(1+$C$248)^F251</f>
        <v>0.71818442976156283</v>
      </c>
      <c r="G255" s="13">
        <f>1/(1+$C$248)^G251</f>
        <v>0.6086308726792905</v>
      </c>
    </row>
    <row r="256" spans="2:7" x14ac:dyDescent="0.3">
      <c r="C256" s="6" t="s">
        <v>1014</v>
      </c>
      <c r="D256" s="436">
        <f>D252*D253</f>
        <v>-5000000</v>
      </c>
      <c r="E256" s="436">
        <f>E252*E253</f>
        <v>1385070.65358639</v>
      </c>
      <c r="F256" s="436">
        <f>F252*F253</f>
        <v>1798519.4207120903</v>
      </c>
      <c r="G256" s="436">
        <f>G252*G253</f>
        <v>1816409.9257015181</v>
      </c>
    </row>
    <row r="257" spans="1:7" x14ac:dyDescent="0.3">
      <c r="C257" s="6" t="s">
        <v>1013</v>
      </c>
      <c r="D257" s="436">
        <f>D252*D254</f>
        <v>-5000000</v>
      </c>
      <c r="E257" s="436">
        <f>E252*E254</f>
        <v>1403508.7719298245</v>
      </c>
      <c r="F257" s="436">
        <f>F252*F254</f>
        <v>1846722.0683287163</v>
      </c>
      <c r="G257" s="436">
        <f>G252*G254</f>
        <v>1889920.245365645</v>
      </c>
    </row>
    <row r="258" spans="1:7" x14ac:dyDescent="0.3">
      <c r="C258" s="6" t="s">
        <v>1012</v>
      </c>
      <c r="D258" s="436">
        <f>D252*D255</f>
        <v>-5000000</v>
      </c>
      <c r="E258" s="436">
        <f>E252*E255</f>
        <v>1355932.2033898307</v>
      </c>
      <c r="F258" s="436">
        <f>F252*F255</f>
        <v>1723642.6314277507</v>
      </c>
      <c r="G258" s="436">
        <f>G252*G255</f>
        <v>1704166.4435020133</v>
      </c>
    </row>
    <row r="260" spans="1:7" x14ac:dyDescent="0.3">
      <c r="C260" s="235" t="s">
        <v>1011</v>
      </c>
      <c r="D260" s="435">
        <f>SUM(D256:G256)</f>
        <v>0</v>
      </c>
    </row>
    <row r="261" spans="1:7" x14ac:dyDescent="0.3">
      <c r="C261" s="235" t="s">
        <v>1010</v>
      </c>
      <c r="D261" s="435">
        <f>SUM(D257:G257)</f>
        <v>140151.08562418609</v>
      </c>
    </row>
    <row r="262" spans="1:7" x14ac:dyDescent="0.3">
      <c r="C262" s="235" t="s">
        <v>1009</v>
      </c>
      <c r="D262" s="435">
        <f>SUM(D258:G258)</f>
        <v>-216258.72168040508</v>
      </c>
    </row>
    <row r="266" spans="1:7" x14ac:dyDescent="0.3">
      <c r="A266" s="434" t="s">
        <v>942</v>
      </c>
      <c r="B266" s="233" t="s">
        <v>1008</v>
      </c>
    </row>
    <row r="267" spans="1:7" x14ac:dyDescent="0.3">
      <c r="B267" s="1" t="s">
        <v>1007</v>
      </c>
    </row>
    <row r="269" spans="1:7" x14ac:dyDescent="0.3">
      <c r="B269" s="3" t="s">
        <v>4</v>
      </c>
    </row>
    <row r="270" spans="1:7" x14ac:dyDescent="0.3">
      <c r="B270" s="1" t="s">
        <v>97</v>
      </c>
      <c r="C270" s="5">
        <v>10000</v>
      </c>
    </row>
    <row r="271" spans="1:7" x14ac:dyDescent="0.3">
      <c r="B271" s="1" t="s">
        <v>5</v>
      </c>
      <c r="C271" s="1">
        <v>10</v>
      </c>
      <c r="D271" s="1" t="s">
        <v>6</v>
      </c>
    </row>
    <row r="272" spans="1:7" x14ac:dyDescent="0.3">
      <c r="B272" s="1" t="s">
        <v>83</v>
      </c>
      <c r="C272" s="9">
        <v>0.1</v>
      </c>
    </row>
    <row r="273" spans="2:5" x14ac:dyDescent="0.3">
      <c r="B273" s="1" t="s">
        <v>1006</v>
      </c>
      <c r="C273" s="120" t="s">
        <v>1005</v>
      </c>
    </row>
    <row r="274" spans="2:5" x14ac:dyDescent="0.3">
      <c r="D274" s="22"/>
    </row>
    <row r="275" spans="2:5" x14ac:dyDescent="0.3">
      <c r="B275" s="1" t="s">
        <v>1004</v>
      </c>
      <c r="C275" s="9"/>
      <c r="D275" s="433"/>
    </row>
    <row r="278" spans="2:5" x14ac:dyDescent="0.3">
      <c r="B278" s="45" t="s">
        <v>15</v>
      </c>
    </row>
    <row r="279" spans="2:5" x14ac:dyDescent="0.3">
      <c r="B279" s="1" t="s">
        <v>1003</v>
      </c>
      <c r="C279" s="1">
        <v>20</v>
      </c>
      <c r="D279" s="1" t="s">
        <v>1002</v>
      </c>
    </row>
    <row r="281" spans="2:5" x14ac:dyDescent="0.3">
      <c r="B281" s="1" t="s">
        <v>1001</v>
      </c>
      <c r="C281" s="9">
        <f>C272/2</f>
        <v>0.05</v>
      </c>
    </row>
    <row r="283" spans="2:5" x14ac:dyDescent="0.3">
      <c r="B283"/>
    </row>
    <row r="286" spans="2:5" x14ac:dyDescent="0.3">
      <c r="B286"/>
      <c r="C286" s="432">
        <f>(1/C281)-(1/(C281*(1+C281)^C279))</f>
        <v>12.46221034253999</v>
      </c>
      <c r="E286"/>
    </row>
    <row r="288" spans="2:5" x14ac:dyDescent="0.3">
      <c r="B288" s="235" t="s">
        <v>927</v>
      </c>
      <c r="C288" s="431">
        <f>C270/C286</f>
        <v>802.42587190691302</v>
      </c>
    </row>
    <row r="291" spans="2:9" x14ac:dyDescent="0.3">
      <c r="B291" s="1" t="s">
        <v>1000</v>
      </c>
    </row>
    <row r="293" spans="2:9" ht="37.5" x14ac:dyDescent="0.3">
      <c r="B293" s="430" t="s">
        <v>999</v>
      </c>
      <c r="C293" s="430" t="s">
        <v>998</v>
      </c>
      <c r="D293" s="430" t="s">
        <v>997</v>
      </c>
      <c r="E293" s="430" t="s">
        <v>996</v>
      </c>
      <c r="F293" s="430" t="s">
        <v>995</v>
      </c>
      <c r="G293" s="430" t="s">
        <v>994</v>
      </c>
    </row>
    <row r="294" spans="2:9" x14ac:dyDescent="0.3">
      <c r="B294" s="427">
        <v>1</v>
      </c>
      <c r="C294" s="426">
        <f>C270</f>
        <v>10000</v>
      </c>
      <c r="D294" s="426">
        <f>$C$288</f>
        <v>802.42587190691302</v>
      </c>
      <c r="E294" s="426">
        <f>C294*$C$281</f>
        <v>500</v>
      </c>
      <c r="F294" s="426">
        <f>D294-E294</f>
        <v>302.42587190691302</v>
      </c>
      <c r="G294" s="426">
        <f>C294-F294</f>
        <v>9697.574128093087</v>
      </c>
    </row>
    <row r="295" spans="2:9" x14ac:dyDescent="0.3">
      <c r="B295" s="427">
        <v>2</v>
      </c>
      <c r="C295" s="426">
        <f>G294</f>
        <v>9697.574128093087</v>
      </c>
      <c r="D295" s="426">
        <f>$C$288</f>
        <v>802.42587190691302</v>
      </c>
      <c r="E295" s="426">
        <f>C295*$C$281</f>
        <v>484.87870640465439</v>
      </c>
      <c r="F295" s="426">
        <f>D295-E295</f>
        <v>317.54716550225862</v>
      </c>
      <c r="G295" s="429">
        <f>C295-F295</f>
        <v>9380.0269625908277</v>
      </c>
      <c r="H295"/>
      <c r="I295"/>
    </row>
    <row r="296" spans="2:9" x14ac:dyDescent="0.3">
      <c r="B296" s="427">
        <v>3</v>
      </c>
      <c r="C296" s="426">
        <f>G295</f>
        <v>9380.0269625908277</v>
      </c>
      <c r="D296" s="426">
        <f>$C$288</f>
        <v>802.42587190691302</v>
      </c>
      <c r="E296" s="426">
        <f>C296*$C$281</f>
        <v>469.00134812954138</v>
      </c>
      <c r="F296" s="426">
        <f>D296-E296</f>
        <v>333.42452377737163</v>
      </c>
      <c r="G296" s="426">
        <f>C296-F296</f>
        <v>9046.6024388134556</v>
      </c>
    </row>
    <row r="297" spans="2:9" x14ac:dyDescent="0.3">
      <c r="B297" s="427">
        <v>4</v>
      </c>
      <c r="C297" s="426">
        <f>G296</f>
        <v>9046.6024388134556</v>
      </c>
      <c r="D297" s="426">
        <f>$C$288</f>
        <v>802.42587190691302</v>
      </c>
      <c r="E297" s="426">
        <f>C297*$C$281</f>
        <v>452.33012194067283</v>
      </c>
      <c r="F297" s="426">
        <f>D297-E297</f>
        <v>350.09574996624019</v>
      </c>
      <c r="G297" s="426">
        <f>C297-F297</f>
        <v>8696.5066888472156</v>
      </c>
      <c r="H297"/>
    </row>
    <row r="298" spans="2:9" x14ac:dyDescent="0.3">
      <c r="B298" s="427">
        <v>5</v>
      </c>
      <c r="C298" s="426">
        <f>G297</f>
        <v>8696.5066888472156</v>
      </c>
      <c r="D298" s="426">
        <f>$C$288</f>
        <v>802.42587190691302</v>
      </c>
      <c r="E298" s="426">
        <f>C298*$C$281</f>
        <v>434.82533444236083</v>
      </c>
      <c r="F298" s="426">
        <f>D298-E298</f>
        <v>367.60053746455219</v>
      </c>
      <c r="G298" s="426">
        <f>C298-F298</f>
        <v>8328.9061513826637</v>
      </c>
    </row>
    <row r="299" spans="2:9" x14ac:dyDescent="0.3">
      <c r="B299" s="427">
        <v>6</v>
      </c>
      <c r="C299" s="426">
        <f>G298</f>
        <v>8328.9061513826637</v>
      </c>
      <c r="D299" s="426">
        <f>$C$288</f>
        <v>802.42587190691302</v>
      </c>
      <c r="E299" s="426">
        <f>C299*$C$281</f>
        <v>416.44530756913321</v>
      </c>
      <c r="F299" s="426">
        <f>D299-E299</f>
        <v>385.98056433777981</v>
      </c>
      <c r="G299" s="426">
        <f>C299-F299</f>
        <v>7942.9255870448842</v>
      </c>
      <c r="H299"/>
    </row>
    <row r="300" spans="2:9" x14ac:dyDescent="0.3">
      <c r="B300" s="427">
        <v>7</v>
      </c>
      <c r="C300" s="426">
        <f>G299</f>
        <v>7942.9255870448842</v>
      </c>
      <c r="D300" s="426">
        <f>$C$288</f>
        <v>802.42587190691302</v>
      </c>
      <c r="E300" s="426">
        <f>C300*$C$281</f>
        <v>397.14627935224422</v>
      </c>
      <c r="F300" s="426">
        <f>D300-E300</f>
        <v>405.2795925546688</v>
      </c>
      <c r="G300" s="426">
        <f>C300-F300</f>
        <v>7537.6459944902153</v>
      </c>
    </row>
    <row r="301" spans="2:9" x14ac:dyDescent="0.3">
      <c r="B301" s="427">
        <v>8</v>
      </c>
      <c r="C301" s="426">
        <f>G300</f>
        <v>7537.6459944902153</v>
      </c>
      <c r="D301" s="426">
        <f>$C$288</f>
        <v>802.42587190691302</v>
      </c>
      <c r="E301" s="426">
        <f>C301*$C$281</f>
        <v>376.8822997245108</v>
      </c>
      <c r="F301" s="426">
        <f>D301-E301</f>
        <v>425.54357218240222</v>
      </c>
      <c r="G301" s="426">
        <f>C301-F301</f>
        <v>7112.102422307813</v>
      </c>
    </row>
    <row r="302" spans="2:9" x14ac:dyDescent="0.3">
      <c r="B302" s="427">
        <v>9</v>
      </c>
      <c r="C302" s="426">
        <f>G301</f>
        <v>7112.102422307813</v>
      </c>
      <c r="D302" s="426">
        <f>$C$288</f>
        <v>802.42587190691302</v>
      </c>
      <c r="E302" s="426">
        <f>C302*$C$281</f>
        <v>355.60512111539066</v>
      </c>
      <c r="F302" s="426">
        <f>D302-E302</f>
        <v>446.82075079152236</v>
      </c>
      <c r="G302" s="428">
        <f>C302-F302</f>
        <v>6665.2816715162908</v>
      </c>
      <c r="H302"/>
    </row>
    <row r="303" spans="2:9" x14ac:dyDescent="0.3">
      <c r="B303" s="427">
        <v>10</v>
      </c>
      <c r="C303" s="426">
        <f>G302</f>
        <v>6665.2816715162908</v>
      </c>
      <c r="D303" s="426">
        <f>$C$288</f>
        <v>802.42587190691302</v>
      </c>
      <c r="E303" s="426">
        <f>C303*$C$281</f>
        <v>333.26408357581454</v>
      </c>
      <c r="F303" s="426">
        <f>D303-E303</f>
        <v>469.16178833109848</v>
      </c>
      <c r="G303" s="426">
        <f>C303-F303</f>
        <v>6196.1198831851925</v>
      </c>
    </row>
    <row r="304" spans="2:9" x14ac:dyDescent="0.3">
      <c r="B304" s="427">
        <v>11</v>
      </c>
      <c r="C304" s="426">
        <f>G303</f>
        <v>6196.1198831851925</v>
      </c>
      <c r="D304" s="426">
        <f>$C$288</f>
        <v>802.42587190691302</v>
      </c>
      <c r="E304" s="426">
        <f>C304*$C$281</f>
        <v>309.80599415925963</v>
      </c>
      <c r="F304" s="426">
        <f>D304-E304</f>
        <v>492.61987774765339</v>
      </c>
      <c r="G304" s="426">
        <f>C304-F304</f>
        <v>5703.5000054375396</v>
      </c>
    </row>
    <row r="305" spans="2:7" x14ac:dyDescent="0.3">
      <c r="B305" s="427">
        <v>12</v>
      </c>
      <c r="C305" s="426">
        <f>G304</f>
        <v>5703.5000054375396</v>
      </c>
      <c r="D305" s="426">
        <f>$C$288</f>
        <v>802.42587190691302</v>
      </c>
      <c r="E305" s="426">
        <f>C305*$C$281</f>
        <v>285.17500027187697</v>
      </c>
      <c r="F305" s="426">
        <f>D305-E305</f>
        <v>517.25087163503599</v>
      </c>
      <c r="G305" s="426">
        <f>C305-F305</f>
        <v>5186.2491338025038</v>
      </c>
    </row>
    <row r="306" spans="2:7" x14ac:dyDescent="0.3">
      <c r="B306" s="427">
        <v>13</v>
      </c>
      <c r="C306" s="426">
        <f>G305</f>
        <v>5186.2491338025038</v>
      </c>
      <c r="D306" s="426">
        <f>$C$288</f>
        <v>802.42587190691302</v>
      </c>
      <c r="E306" s="426">
        <f>C306*$C$281</f>
        <v>259.3124566901252</v>
      </c>
      <c r="F306" s="426">
        <f>D306-E306</f>
        <v>543.11341521678787</v>
      </c>
      <c r="G306" s="426">
        <f>C306-F306</f>
        <v>4643.1357185857159</v>
      </c>
    </row>
    <row r="307" spans="2:7" x14ac:dyDescent="0.3">
      <c r="B307" s="427">
        <v>14</v>
      </c>
      <c r="C307" s="426">
        <f>G306</f>
        <v>4643.1357185857159</v>
      </c>
      <c r="D307" s="426">
        <f>$C$288</f>
        <v>802.42587190691302</v>
      </c>
      <c r="E307" s="426">
        <f>C307*$C$281</f>
        <v>232.1567859292858</v>
      </c>
      <c r="F307" s="426">
        <f>D307-E307</f>
        <v>570.26908597762724</v>
      </c>
      <c r="G307" s="426">
        <f>C307-F307</f>
        <v>4072.8666326080888</v>
      </c>
    </row>
    <row r="308" spans="2:7" x14ac:dyDescent="0.3">
      <c r="B308" s="427">
        <v>15</v>
      </c>
      <c r="C308" s="426">
        <f>G307</f>
        <v>4072.8666326080888</v>
      </c>
      <c r="D308" s="426">
        <f>$C$288</f>
        <v>802.42587190691302</v>
      </c>
      <c r="E308" s="426">
        <f>C308*$C$281</f>
        <v>203.64333163040445</v>
      </c>
      <c r="F308" s="426">
        <f>D308-E308</f>
        <v>598.7825402765086</v>
      </c>
      <c r="G308" s="426">
        <f>C308-F308</f>
        <v>3474.08409233158</v>
      </c>
    </row>
    <row r="309" spans="2:7" x14ac:dyDescent="0.3">
      <c r="B309" s="427">
        <v>16</v>
      </c>
      <c r="C309" s="426">
        <f>G308</f>
        <v>3474.08409233158</v>
      </c>
      <c r="D309" s="426">
        <f>$C$288</f>
        <v>802.42587190691302</v>
      </c>
      <c r="E309" s="426">
        <f>C309*$C$281</f>
        <v>173.70420461657901</v>
      </c>
      <c r="F309" s="426">
        <f>D309-E309</f>
        <v>628.72166729033404</v>
      </c>
      <c r="G309" s="426">
        <f>C309-F309</f>
        <v>2845.3624250412458</v>
      </c>
    </row>
    <row r="310" spans="2:7" x14ac:dyDescent="0.3">
      <c r="B310" s="427">
        <v>17</v>
      </c>
      <c r="C310" s="426">
        <f>G309</f>
        <v>2845.3624250412458</v>
      </c>
      <c r="D310" s="426">
        <f>$C$288</f>
        <v>802.42587190691302</v>
      </c>
      <c r="E310" s="426">
        <f>C310*$C$281</f>
        <v>142.26812125206229</v>
      </c>
      <c r="F310" s="426">
        <f>D310-E310</f>
        <v>660.1577506548507</v>
      </c>
      <c r="G310" s="426">
        <f>C310-F310</f>
        <v>2185.2046743863953</v>
      </c>
    </row>
    <row r="311" spans="2:7" x14ac:dyDescent="0.3">
      <c r="B311" s="427">
        <v>18</v>
      </c>
      <c r="C311" s="426">
        <f>G310</f>
        <v>2185.2046743863953</v>
      </c>
      <c r="D311" s="426">
        <f>$C$288</f>
        <v>802.42587190691302</v>
      </c>
      <c r="E311" s="426">
        <f>C311*$C$281</f>
        <v>109.26023371931977</v>
      </c>
      <c r="F311" s="426">
        <f>D311-E311</f>
        <v>693.16563818759323</v>
      </c>
      <c r="G311" s="426">
        <f>C311-F311</f>
        <v>1492.039036198802</v>
      </c>
    </row>
    <row r="312" spans="2:7" x14ac:dyDescent="0.3">
      <c r="B312" s="427">
        <v>19</v>
      </c>
      <c r="C312" s="426">
        <f>G311</f>
        <v>1492.039036198802</v>
      </c>
      <c r="D312" s="426">
        <f>$C$288</f>
        <v>802.42587190691302</v>
      </c>
      <c r="E312" s="426">
        <f>C312*$C$281</f>
        <v>74.601951809940104</v>
      </c>
      <c r="F312" s="426">
        <f>D312-E312</f>
        <v>727.82392009697287</v>
      </c>
      <c r="G312" s="426">
        <f>C312-F312</f>
        <v>764.21511610182915</v>
      </c>
    </row>
    <row r="313" spans="2:7" x14ac:dyDescent="0.3">
      <c r="B313" s="427">
        <v>20</v>
      </c>
      <c r="C313" s="426">
        <f>G312</f>
        <v>764.21511610182915</v>
      </c>
      <c r="D313" s="426">
        <f>$C$288</f>
        <v>802.42587190691302</v>
      </c>
      <c r="E313" s="426">
        <f>C313*$C$281</f>
        <v>38.210755805091459</v>
      </c>
      <c r="F313" s="426">
        <f>D313-E313</f>
        <v>764.21511610182154</v>
      </c>
      <c r="G313" s="426">
        <f>C313-F313</f>
        <v>7.617018127348274E-12</v>
      </c>
    </row>
    <row r="315" spans="2:7" x14ac:dyDescent="0.3">
      <c r="B315" s="1" t="s">
        <v>993</v>
      </c>
      <c r="D315" s="43">
        <f>9380.03</f>
        <v>9380.0300000000007</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2"/>
  <sheetViews>
    <sheetView topLeftCell="A76" zoomScaleNormal="100" workbookViewId="0">
      <selection activeCell="C62" sqref="C62"/>
    </sheetView>
  </sheetViews>
  <sheetFormatPr defaultRowHeight="18.75" x14ac:dyDescent="0.3"/>
  <cols>
    <col min="1" max="1" width="9.140625" style="1"/>
    <col min="2" max="2" width="55.28515625" style="1" customWidth="1"/>
    <col min="3" max="3" width="29" style="1" customWidth="1"/>
    <col min="4" max="4" width="39.7109375" style="1" customWidth="1"/>
    <col min="5" max="5" width="11.7109375" style="1" customWidth="1"/>
    <col min="6" max="16384" width="9.140625" style="1"/>
  </cols>
  <sheetData>
    <row r="2" spans="1:4" x14ac:dyDescent="0.3">
      <c r="A2" s="1">
        <v>1</v>
      </c>
      <c r="B2" s="1" t="s">
        <v>477</v>
      </c>
    </row>
    <row r="3" spans="1:4" x14ac:dyDescent="0.3">
      <c r="B3" s="1" t="s">
        <v>476</v>
      </c>
    </row>
    <row r="5" spans="1:4" x14ac:dyDescent="0.3">
      <c r="C5" s="1" t="s">
        <v>444</v>
      </c>
      <c r="D5" s="1" t="s">
        <v>443</v>
      </c>
    </row>
    <row r="6" spans="1:4" x14ac:dyDescent="0.3">
      <c r="B6" s="6" t="s">
        <v>475</v>
      </c>
      <c r="C6" s="7">
        <v>100000</v>
      </c>
      <c r="D6" s="7">
        <v>80000</v>
      </c>
    </row>
    <row r="7" spans="1:4" x14ac:dyDescent="0.3">
      <c r="B7" s="6" t="s">
        <v>474</v>
      </c>
      <c r="C7" s="7">
        <v>100000</v>
      </c>
      <c r="D7" s="7">
        <v>120000</v>
      </c>
    </row>
    <row r="8" spans="1:4" x14ac:dyDescent="0.3">
      <c r="B8" s="241" t="s">
        <v>473</v>
      </c>
      <c r="C8" s="240">
        <f>SUM(C6:C7)</f>
        <v>200000</v>
      </c>
      <c r="D8" s="240">
        <f>SUM(D6:D7)</f>
        <v>200000</v>
      </c>
    </row>
    <row r="9" spans="1:4" x14ac:dyDescent="0.3">
      <c r="B9" s="6" t="s">
        <v>472</v>
      </c>
      <c r="C9" s="7">
        <v>20000</v>
      </c>
      <c r="D9" s="7">
        <v>80000</v>
      </c>
    </row>
    <row r="10" spans="1:4" x14ac:dyDescent="0.3">
      <c r="B10" s="6" t="s">
        <v>471</v>
      </c>
      <c r="C10" s="7">
        <v>80000</v>
      </c>
      <c r="D10" s="7">
        <v>20000</v>
      </c>
    </row>
    <row r="11" spans="1:4" x14ac:dyDescent="0.3">
      <c r="B11" s="6" t="s">
        <v>470</v>
      </c>
      <c r="C11" s="7">
        <v>50000</v>
      </c>
      <c r="D11" s="7">
        <v>50000</v>
      </c>
    </row>
    <row r="12" spans="1:4" x14ac:dyDescent="0.3">
      <c r="B12" s="6" t="s">
        <v>469</v>
      </c>
      <c r="C12" s="7">
        <v>50000</v>
      </c>
      <c r="D12" s="7">
        <v>50000</v>
      </c>
    </row>
    <row r="13" spans="1:4" x14ac:dyDescent="0.3">
      <c r="B13" s="241" t="s">
        <v>468</v>
      </c>
      <c r="C13" s="240">
        <f>C12+C11+C10+C9</f>
        <v>200000</v>
      </c>
      <c r="D13" s="240">
        <f>D12+D11+D10+D9</f>
        <v>200000</v>
      </c>
    </row>
    <row r="15" spans="1:4" x14ac:dyDescent="0.3">
      <c r="B15" s="1" t="s">
        <v>467</v>
      </c>
    </row>
    <row r="16" spans="1:4" x14ac:dyDescent="0.3">
      <c r="B16" s="1" t="s">
        <v>466</v>
      </c>
    </row>
    <row r="18" spans="1:4" x14ac:dyDescent="0.3">
      <c r="B18" s="1" t="s">
        <v>465</v>
      </c>
    </row>
    <row r="19" spans="1:4" x14ac:dyDescent="0.3">
      <c r="B19" s="1" t="s">
        <v>464</v>
      </c>
    </row>
    <row r="20" spans="1:4" x14ac:dyDescent="0.3">
      <c r="B20" s="1" t="s">
        <v>463</v>
      </c>
    </row>
    <row r="21" spans="1:4" x14ac:dyDescent="0.3">
      <c r="B21" s="1" t="s">
        <v>462</v>
      </c>
    </row>
    <row r="22" spans="1:4" x14ac:dyDescent="0.3">
      <c r="B22" s="1" t="s">
        <v>461</v>
      </c>
    </row>
    <row r="23" spans="1:4" x14ac:dyDescent="0.3">
      <c r="B23" s="1" t="s">
        <v>460</v>
      </c>
    </row>
    <row r="25" spans="1:4" x14ac:dyDescent="0.3">
      <c r="B25" s="3" t="s">
        <v>428</v>
      </c>
    </row>
    <row r="26" spans="1:4" x14ac:dyDescent="0.3">
      <c r="A26" s="120" t="s">
        <v>459</v>
      </c>
      <c r="B26" s="1" t="s">
        <v>457</v>
      </c>
    </row>
    <row r="27" spans="1:4" x14ac:dyDescent="0.3">
      <c r="B27" s="1" t="s">
        <v>456</v>
      </c>
      <c r="C27" s="4">
        <v>0.1</v>
      </c>
    </row>
    <row r="28" spans="1:4" x14ac:dyDescent="0.3">
      <c r="B28" s="1" t="s">
        <v>455</v>
      </c>
      <c r="C28" s="4">
        <v>0.13</v>
      </c>
    </row>
    <row r="30" spans="1:4" x14ac:dyDescent="0.3">
      <c r="B30" s="6"/>
      <c r="C30" s="6" t="s">
        <v>444</v>
      </c>
      <c r="D30" s="6" t="s">
        <v>443</v>
      </c>
    </row>
    <row r="31" spans="1:4" x14ac:dyDescent="0.3">
      <c r="B31" s="6" t="s">
        <v>454</v>
      </c>
      <c r="C31" s="7">
        <f>$C$27*C9</f>
        <v>2000</v>
      </c>
      <c r="D31" s="7">
        <f>$C$27*D9</f>
        <v>8000</v>
      </c>
    </row>
    <row r="32" spans="1:4" x14ac:dyDescent="0.3">
      <c r="B32" s="6" t="s">
        <v>453</v>
      </c>
      <c r="C32" s="75">
        <f>$C$28*C10</f>
        <v>10400</v>
      </c>
      <c r="D32" s="75">
        <f>$C$28*D10</f>
        <v>2600</v>
      </c>
    </row>
    <row r="33" spans="1:4" x14ac:dyDescent="0.3">
      <c r="B33" s="6" t="s">
        <v>451</v>
      </c>
      <c r="C33" s="7">
        <f>SUM(C31:C32)</f>
        <v>12400</v>
      </c>
      <c r="D33" s="7">
        <f>SUM(D31:D32)</f>
        <v>10600</v>
      </c>
    </row>
    <row r="35" spans="1:4" x14ac:dyDescent="0.3">
      <c r="B35" s="6"/>
      <c r="C35" s="6" t="s">
        <v>444</v>
      </c>
      <c r="D35" s="6" t="s">
        <v>443</v>
      </c>
    </row>
    <row r="36" spans="1:4" x14ac:dyDescent="0.3">
      <c r="B36" s="6" t="s">
        <v>452</v>
      </c>
      <c r="C36" s="7">
        <v>30000</v>
      </c>
      <c r="D36" s="7">
        <v>30000</v>
      </c>
    </row>
    <row r="37" spans="1:4" x14ac:dyDescent="0.3">
      <c r="B37" s="6" t="s">
        <v>451</v>
      </c>
      <c r="C37" s="7">
        <f>C33</f>
        <v>12400</v>
      </c>
      <c r="D37" s="7">
        <f>D33</f>
        <v>10600</v>
      </c>
    </row>
    <row r="38" spans="1:4" x14ac:dyDescent="0.3">
      <c r="B38" s="6" t="s">
        <v>450</v>
      </c>
      <c r="C38" s="7">
        <f>C36-C37</f>
        <v>17600</v>
      </c>
      <c r="D38" s="7">
        <f>D36-D37</f>
        <v>19400</v>
      </c>
    </row>
    <row r="39" spans="1:4" x14ac:dyDescent="0.3">
      <c r="B39" s="6" t="s">
        <v>449</v>
      </c>
      <c r="C39" s="7">
        <f>C38*0.4</f>
        <v>7040</v>
      </c>
      <c r="D39" s="7">
        <f>D38*0.4</f>
        <v>7760</v>
      </c>
    </row>
    <row r="40" spans="1:4" x14ac:dyDescent="0.3">
      <c r="B40" s="6" t="s">
        <v>447</v>
      </c>
      <c r="C40" s="7">
        <f>C38-C39</f>
        <v>10560</v>
      </c>
      <c r="D40" s="7">
        <f>D38-D39</f>
        <v>11640</v>
      </c>
    </row>
    <row r="42" spans="1:4" x14ac:dyDescent="0.3">
      <c r="B42" s="6"/>
      <c r="C42" s="6" t="s">
        <v>444</v>
      </c>
      <c r="D42" s="6" t="s">
        <v>443</v>
      </c>
    </row>
    <row r="43" spans="1:4" x14ac:dyDescent="0.3">
      <c r="B43" s="6" t="s">
        <v>448</v>
      </c>
      <c r="C43" s="7">
        <f>C12+C11</f>
        <v>100000</v>
      </c>
      <c r="D43" s="7">
        <f>D12+D11</f>
        <v>100000</v>
      </c>
    </row>
    <row r="44" spans="1:4" x14ac:dyDescent="0.3">
      <c r="B44" s="6" t="s">
        <v>447</v>
      </c>
      <c r="C44" s="7">
        <f>C40</f>
        <v>10560</v>
      </c>
      <c r="D44" s="7">
        <f>D40</f>
        <v>11640</v>
      </c>
    </row>
    <row r="45" spans="1:4" x14ac:dyDescent="0.3">
      <c r="B45" s="237" t="s">
        <v>446</v>
      </c>
      <c r="C45" s="239">
        <f>C44/C43</f>
        <v>0.1056</v>
      </c>
      <c r="D45" s="239">
        <f>D44/D43</f>
        <v>0.1164</v>
      </c>
    </row>
    <row r="48" spans="1:4" x14ac:dyDescent="0.3">
      <c r="A48" s="120" t="s">
        <v>458</v>
      </c>
      <c r="B48" s="1" t="s">
        <v>457</v>
      </c>
    </row>
    <row r="49" spans="2:4" x14ac:dyDescent="0.3">
      <c r="B49" s="1" t="s">
        <v>456</v>
      </c>
      <c r="C49" s="4">
        <v>0.2</v>
      </c>
    </row>
    <row r="50" spans="2:4" x14ac:dyDescent="0.3">
      <c r="B50" s="1" t="s">
        <v>455</v>
      </c>
      <c r="C50" s="4">
        <v>0.16</v>
      </c>
    </row>
    <row r="52" spans="2:4" x14ac:dyDescent="0.3">
      <c r="B52" s="6"/>
      <c r="C52" s="6" t="s">
        <v>444</v>
      </c>
      <c r="D52" s="6" t="s">
        <v>443</v>
      </c>
    </row>
    <row r="53" spans="2:4" x14ac:dyDescent="0.3">
      <c r="B53" s="6" t="s">
        <v>454</v>
      </c>
      <c r="C53" s="7">
        <f>C9*$C$49</f>
        <v>4000</v>
      </c>
      <c r="D53" s="7">
        <f>D9*$C$49</f>
        <v>16000</v>
      </c>
    </row>
    <row r="54" spans="2:4" x14ac:dyDescent="0.3">
      <c r="B54" s="6" t="s">
        <v>453</v>
      </c>
      <c r="C54" s="75">
        <f>C10*$C$50</f>
        <v>12800</v>
      </c>
      <c r="D54" s="75">
        <f>D10*$C$50</f>
        <v>3200</v>
      </c>
    </row>
    <row r="55" spans="2:4" x14ac:dyDescent="0.3">
      <c r="B55" s="6" t="s">
        <v>451</v>
      </c>
      <c r="C55" s="7">
        <f>SUM(C53:C54)</f>
        <v>16800</v>
      </c>
      <c r="D55" s="7">
        <f>SUM(D53:D54)</f>
        <v>19200</v>
      </c>
    </row>
    <row r="57" spans="2:4" x14ac:dyDescent="0.3">
      <c r="B57" s="6"/>
      <c r="C57" s="6" t="s">
        <v>444</v>
      </c>
      <c r="D57" s="6" t="s">
        <v>443</v>
      </c>
    </row>
    <row r="58" spans="2:4" x14ac:dyDescent="0.3">
      <c r="B58" s="6" t="s">
        <v>452</v>
      </c>
      <c r="C58" s="7">
        <v>30000</v>
      </c>
      <c r="D58" s="7">
        <v>30000</v>
      </c>
    </row>
    <row r="59" spans="2:4" x14ac:dyDescent="0.3">
      <c r="B59" s="6" t="s">
        <v>451</v>
      </c>
      <c r="C59" s="7">
        <f>C55</f>
        <v>16800</v>
      </c>
      <c r="D59" s="7">
        <f>D55</f>
        <v>19200</v>
      </c>
    </row>
    <row r="60" spans="2:4" x14ac:dyDescent="0.3">
      <c r="B60" s="6" t="s">
        <v>450</v>
      </c>
      <c r="C60" s="7">
        <f>C58-C59</f>
        <v>13200</v>
      </c>
      <c r="D60" s="7">
        <f>D58-D59</f>
        <v>10800</v>
      </c>
    </row>
    <row r="61" spans="2:4" x14ac:dyDescent="0.3">
      <c r="B61" s="6" t="s">
        <v>449</v>
      </c>
      <c r="C61" s="7">
        <f>C60*0.4</f>
        <v>5280</v>
      </c>
      <c r="D61" s="7">
        <f>D60*0.4</f>
        <v>4320</v>
      </c>
    </row>
    <row r="62" spans="2:4" x14ac:dyDescent="0.3">
      <c r="B62" s="6" t="s">
        <v>447</v>
      </c>
      <c r="C62" s="7">
        <f>C60-C61</f>
        <v>7920</v>
      </c>
      <c r="D62" s="7">
        <f>D60-D61</f>
        <v>6480</v>
      </c>
    </row>
    <row r="64" spans="2:4" x14ac:dyDescent="0.3">
      <c r="B64" s="6"/>
      <c r="C64" s="6" t="s">
        <v>444</v>
      </c>
      <c r="D64" s="6" t="s">
        <v>443</v>
      </c>
    </row>
    <row r="65" spans="1:4" x14ac:dyDescent="0.3">
      <c r="B65" s="6" t="s">
        <v>448</v>
      </c>
      <c r="C65" s="7">
        <f>C12+C11</f>
        <v>100000</v>
      </c>
      <c r="D65" s="7">
        <f>D12+D11</f>
        <v>100000</v>
      </c>
    </row>
    <row r="66" spans="1:4" x14ac:dyDescent="0.3">
      <c r="B66" s="6" t="s">
        <v>447</v>
      </c>
      <c r="C66" s="7">
        <f>C62</f>
        <v>7920</v>
      </c>
      <c r="D66" s="7">
        <f>D62</f>
        <v>6480</v>
      </c>
    </row>
    <row r="67" spans="1:4" x14ac:dyDescent="0.3">
      <c r="B67" s="237" t="s">
        <v>446</v>
      </c>
      <c r="C67" s="239">
        <f>C66/C65</f>
        <v>7.9200000000000007E-2</v>
      </c>
      <c r="D67" s="239">
        <f>D66/D65</f>
        <v>6.4799999999999996E-2</v>
      </c>
    </row>
    <row r="70" spans="1:4" x14ac:dyDescent="0.3">
      <c r="A70" s="120" t="s">
        <v>445</v>
      </c>
    </row>
    <row r="71" spans="1:4" x14ac:dyDescent="0.3">
      <c r="B71" s="6"/>
      <c r="C71" s="238" t="s">
        <v>444</v>
      </c>
      <c r="D71" s="6" t="s">
        <v>443</v>
      </c>
    </row>
    <row r="72" spans="1:4" x14ac:dyDescent="0.3">
      <c r="B72" s="6" t="s">
        <v>442</v>
      </c>
      <c r="C72" s="7">
        <f>C10+C9</f>
        <v>100000</v>
      </c>
      <c r="D72" s="7">
        <f>D10+D9</f>
        <v>100000</v>
      </c>
    </row>
    <row r="73" spans="1:4" x14ac:dyDescent="0.3">
      <c r="B73" s="6" t="s">
        <v>441</v>
      </c>
      <c r="C73" s="7">
        <f>C12+C11</f>
        <v>100000</v>
      </c>
      <c r="D73" s="7">
        <f>D12+D11</f>
        <v>100000</v>
      </c>
    </row>
    <row r="74" spans="1:4" x14ac:dyDescent="0.3">
      <c r="B74" s="237" t="s">
        <v>440</v>
      </c>
      <c r="C74" s="237">
        <f>C72/C73</f>
        <v>1</v>
      </c>
      <c r="D74" s="237">
        <f>D72/D73</f>
        <v>1</v>
      </c>
    </row>
    <row r="76" spans="1:4" x14ac:dyDescent="0.3">
      <c r="B76" s="1" t="s">
        <v>439</v>
      </c>
    </row>
    <row r="77" spans="1:4" x14ac:dyDescent="0.3">
      <c r="C77" s="236">
        <f>D9/D72</f>
        <v>0.8</v>
      </c>
      <c r="D77" s="235" t="s">
        <v>437</v>
      </c>
    </row>
    <row r="79" spans="1:4" x14ac:dyDescent="0.3">
      <c r="B79" s="1" t="s">
        <v>438</v>
      </c>
    </row>
    <row r="80" spans="1:4" x14ac:dyDescent="0.3">
      <c r="C80" s="236">
        <f>C9/C72</f>
        <v>0.2</v>
      </c>
      <c r="D80" s="235" t="s">
        <v>437</v>
      </c>
    </row>
    <row r="82" spans="2:2" x14ac:dyDescent="0.3">
      <c r="B82" s="1" t="s">
        <v>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05"/>
  <sheetViews>
    <sheetView topLeftCell="A67" zoomScale="70" zoomScaleNormal="70" workbookViewId="0">
      <selection activeCell="C164" sqref="C164"/>
    </sheetView>
  </sheetViews>
  <sheetFormatPr defaultColWidth="11.5703125" defaultRowHeight="18.75" x14ac:dyDescent="0.3"/>
  <cols>
    <col min="1" max="1" width="10.85546875" style="83" customWidth="1"/>
    <col min="2" max="2" width="41.7109375" style="1" customWidth="1"/>
    <col min="3" max="3" width="19.42578125" style="1" customWidth="1"/>
    <col min="4" max="4" width="27.28515625" style="1" customWidth="1"/>
    <col min="5" max="5" width="29.28515625" style="1" customWidth="1"/>
    <col min="6" max="6" width="21.42578125" style="1" customWidth="1"/>
    <col min="7" max="7" width="19.140625" style="1" customWidth="1"/>
    <col min="8" max="8" width="15.85546875" style="1" customWidth="1"/>
    <col min="9" max="9" width="18.28515625" style="1" customWidth="1"/>
    <col min="10" max="10" width="19.42578125" style="1" customWidth="1"/>
    <col min="11" max="11" width="22.140625" style="1" customWidth="1"/>
    <col min="12" max="12" width="19.140625" style="1" customWidth="1"/>
    <col min="13" max="13" width="17.140625" style="1" customWidth="1"/>
    <col min="14" max="14" width="18" style="1" bestFit="1" customWidth="1"/>
    <col min="15" max="15" width="17.7109375" style="1" bestFit="1" customWidth="1"/>
    <col min="16" max="16" width="22.140625" style="1" customWidth="1"/>
    <col min="17" max="17" width="22.28515625" style="1" customWidth="1"/>
    <col min="18" max="18" width="23.28515625" style="1" customWidth="1"/>
    <col min="19" max="19" width="16.5703125" style="1" customWidth="1"/>
    <col min="20" max="23" width="11.5703125" style="1"/>
    <col min="24" max="24" width="18.140625" style="1" customWidth="1"/>
    <col min="25" max="25" width="11.5703125" style="1"/>
    <col min="26" max="26" width="12.5703125" style="1" bestFit="1" customWidth="1"/>
    <col min="27" max="41" width="11.5703125" style="1"/>
    <col min="42" max="42" width="22.28515625" style="1" customWidth="1"/>
    <col min="43" max="16384" width="11.5703125" style="1"/>
  </cols>
  <sheetData>
    <row r="1" spans="1:13" x14ac:dyDescent="0.3">
      <c r="B1" s="129"/>
    </row>
    <row r="2" spans="1:13" x14ac:dyDescent="0.3">
      <c r="A2" s="83" t="s">
        <v>264</v>
      </c>
      <c r="B2" s="66" t="s">
        <v>263</v>
      </c>
    </row>
    <row r="3" spans="1:13" x14ac:dyDescent="0.3">
      <c r="B3" s="1" t="s">
        <v>262</v>
      </c>
      <c r="C3" s="124"/>
      <c r="D3" s="124"/>
      <c r="G3" s="124"/>
      <c r="H3" s="124"/>
    </row>
    <row r="4" spans="1:13" x14ac:dyDescent="0.3">
      <c r="B4" s="45"/>
      <c r="F4" s="45"/>
    </row>
    <row r="5" spans="1:13" x14ac:dyDescent="0.3">
      <c r="B5" s="3" t="s">
        <v>4</v>
      </c>
      <c r="C5" s="21"/>
      <c r="D5" s="22"/>
      <c r="G5" s="22"/>
      <c r="H5" s="22"/>
    </row>
    <row r="6" spans="1:13" x14ac:dyDescent="0.3">
      <c r="B6" s="1" t="s">
        <v>8</v>
      </c>
      <c r="C6" s="35">
        <v>1000</v>
      </c>
      <c r="G6" s="22"/>
      <c r="H6" s="22"/>
    </row>
    <row r="7" spans="1:13" x14ac:dyDescent="0.3">
      <c r="B7" s="1" t="s">
        <v>70</v>
      </c>
      <c r="C7" s="35">
        <v>100</v>
      </c>
      <c r="D7" s="23"/>
      <c r="G7" s="22"/>
      <c r="H7" s="22"/>
    </row>
    <row r="8" spans="1:13" x14ac:dyDescent="0.3">
      <c r="B8" s="110" t="s">
        <v>256</v>
      </c>
      <c r="C8" s="35">
        <v>-960</v>
      </c>
      <c r="D8" s="23"/>
      <c r="F8" s="128"/>
      <c r="G8" s="126"/>
      <c r="H8" s="126"/>
    </row>
    <row r="9" spans="1:13" x14ac:dyDescent="0.3">
      <c r="B9" s="24" t="s">
        <v>5</v>
      </c>
      <c r="C9" s="25">
        <v>5</v>
      </c>
      <c r="D9" s="1" t="s">
        <v>6</v>
      </c>
      <c r="G9" s="22"/>
      <c r="H9" s="22"/>
    </row>
    <row r="10" spans="1:13" x14ac:dyDescent="0.3">
      <c r="D10" s="121"/>
      <c r="F10" s="127"/>
      <c r="G10" s="126"/>
      <c r="H10" s="126"/>
    </row>
    <row r="11" spans="1:13" x14ac:dyDescent="0.3">
      <c r="B11" s="107" t="s">
        <v>261</v>
      </c>
      <c r="C11" s="22"/>
      <c r="D11" s="8"/>
      <c r="F11" s="44"/>
      <c r="G11" s="22"/>
      <c r="H11" s="22"/>
    </row>
    <row r="12" spans="1:13" x14ac:dyDescent="0.3">
      <c r="E12" s="6" t="s">
        <v>6</v>
      </c>
      <c r="F12" s="33">
        <v>0</v>
      </c>
      <c r="G12" s="33">
        <v>1</v>
      </c>
      <c r="H12" s="33">
        <v>2</v>
      </c>
      <c r="I12" s="33">
        <v>3</v>
      </c>
      <c r="J12" s="33">
        <v>4</v>
      </c>
      <c r="K12" s="33">
        <v>5</v>
      </c>
      <c r="L12" s="8"/>
      <c r="M12" s="8"/>
    </row>
    <row r="13" spans="1:13" x14ac:dyDescent="0.3">
      <c r="B13" s="26" t="s">
        <v>15</v>
      </c>
      <c r="E13" s="6" t="s">
        <v>17</v>
      </c>
      <c r="F13" s="82">
        <f>C8</f>
        <v>-960</v>
      </c>
      <c r="G13" s="82">
        <f>$C$7</f>
        <v>100</v>
      </c>
      <c r="H13" s="82">
        <f>$C$7</f>
        <v>100</v>
      </c>
      <c r="I13" s="82">
        <f>$C$7</f>
        <v>100</v>
      </c>
      <c r="J13" s="82">
        <f>$C$7</f>
        <v>100</v>
      </c>
      <c r="K13" s="82">
        <f>$C$7+C6</f>
        <v>1100</v>
      </c>
      <c r="L13" s="16"/>
    </row>
    <row r="14" spans="1:13" x14ac:dyDescent="0.3">
      <c r="C14" s="21"/>
      <c r="D14" s="22"/>
      <c r="F14" s="8"/>
      <c r="G14" s="64"/>
      <c r="H14" s="64"/>
      <c r="I14" s="64"/>
      <c r="J14" s="64"/>
      <c r="K14" s="64"/>
      <c r="L14" s="64"/>
      <c r="M14" s="122"/>
    </row>
    <row r="15" spans="1:13" x14ac:dyDescent="0.3">
      <c r="B15" s="1" t="s">
        <v>18</v>
      </c>
      <c r="C15" s="106">
        <f>F15</f>
        <v>0.11084585044330586</v>
      </c>
      <c r="D15" s="22"/>
      <c r="E15" s="6" t="s">
        <v>18</v>
      </c>
      <c r="F15" s="125">
        <f>IRR(F13:K13)</f>
        <v>0.11084585044330586</v>
      </c>
      <c r="J15" s="16"/>
      <c r="K15" s="16"/>
      <c r="L15" s="16"/>
    </row>
    <row r="16" spans="1:13" x14ac:dyDescent="0.3">
      <c r="C16" s="92"/>
    </row>
    <row r="17" spans="1:13" x14ac:dyDescent="0.3">
      <c r="C17" s="92"/>
      <c r="I17" s="8"/>
      <c r="J17" s="8"/>
      <c r="K17" s="8"/>
      <c r="L17" s="8"/>
      <c r="M17" s="8"/>
    </row>
    <row r="23" spans="1:13" x14ac:dyDescent="0.3">
      <c r="C23" s="35"/>
    </row>
    <row r="24" spans="1:13" x14ac:dyDescent="0.3">
      <c r="A24" s="83" t="s">
        <v>260</v>
      </c>
      <c r="B24" s="66" t="s">
        <v>259</v>
      </c>
      <c r="C24" s="120"/>
      <c r="D24" s="23"/>
    </row>
    <row r="25" spans="1:13" x14ac:dyDescent="0.3">
      <c r="B25" s="1" t="s">
        <v>258</v>
      </c>
      <c r="C25" s="120"/>
      <c r="D25" s="23"/>
      <c r="I25" s="8"/>
      <c r="J25" s="8"/>
      <c r="K25" s="8"/>
      <c r="L25" s="8"/>
      <c r="M25" s="8"/>
    </row>
    <row r="26" spans="1:13" x14ac:dyDescent="0.3">
      <c r="B26" s="1" t="s">
        <v>257</v>
      </c>
      <c r="F26" s="8"/>
      <c r="G26" s="8"/>
      <c r="H26" s="8"/>
      <c r="I26" s="8"/>
      <c r="J26" s="8"/>
      <c r="K26" s="8"/>
      <c r="L26" s="8"/>
      <c r="M26" s="8"/>
    </row>
    <row r="27" spans="1:13" x14ac:dyDescent="0.3">
      <c r="B27" s="110"/>
      <c r="C27" s="102"/>
      <c r="D27" s="124"/>
      <c r="J27" s="16"/>
      <c r="K27" s="16"/>
      <c r="L27" s="16"/>
    </row>
    <row r="28" spans="1:13" x14ac:dyDescent="0.3">
      <c r="B28" s="3" t="s">
        <v>4</v>
      </c>
      <c r="C28" s="21"/>
      <c r="D28" s="22"/>
      <c r="F28" s="8"/>
      <c r="G28" s="64"/>
      <c r="H28" s="64"/>
      <c r="I28" s="64"/>
      <c r="J28" s="64"/>
      <c r="K28" s="64"/>
      <c r="L28" s="64"/>
      <c r="M28" s="122"/>
    </row>
    <row r="29" spans="1:13" x14ac:dyDescent="0.3">
      <c r="B29" s="1" t="s">
        <v>8</v>
      </c>
      <c r="C29" s="35">
        <v>1000</v>
      </c>
      <c r="J29" s="16"/>
      <c r="K29" s="16"/>
      <c r="L29" s="16"/>
    </row>
    <row r="30" spans="1:13" x14ac:dyDescent="0.3">
      <c r="B30" s="1" t="s">
        <v>70</v>
      </c>
      <c r="C30" s="92">
        <v>0.08</v>
      </c>
      <c r="D30" s="23"/>
    </row>
    <row r="31" spans="1:13" x14ac:dyDescent="0.3">
      <c r="B31" s="110" t="s">
        <v>256</v>
      </c>
      <c r="C31" s="35">
        <v>-980</v>
      </c>
      <c r="D31" s="23"/>
    </row>
    <row r="32" spans="1:13" x14ac:dyDescent="0.3">
      <c r="B32" s="24" t="s">
        <v>5</v>
      </c>
      <c r="C32" s="25">
        <v>3</v>
      </c>
      <c r="D32" s="1" t="s">
        <v>6</v>
      </c>
    </row>
    <row r="33" spans="2:42" x14ac:dyDescent="0.3">
      <c r="B33" s="1" t="s">
        <v>255</v>
      </c>
      <c r="C33" s="1">
        <f>C32*12</f>
        <v>36</v>
      </c>
      <c r="D33" s="24" t="s">
        <v>253</v>
      </c>
    </row>
    <row r="34" spans="2:42" x14ac:dyDescent="0.3">
      <c r="B34" s="1" t="s">
        <v>254</v>
      </c>
      <c r="C34" s="1">
        <v>12</v>
      </c>
      <c r="D34" s="24" t="s">
        <v>253</v>
      </c>
    </row>
    <row r="36" spans="2:42" x14ac:dyDescent="0.3">
      <c r="B36" s="107" t="s">
        <v>252</v>
      </c>
      <c r="C36" s="22"/>
      <c r="D36" s="8"/>
    </row>
    <row r="37" spans="2:42" x14ac:dyDescent="0.3">
      <c r="B37" s="1" t="s">
        <v>251</v>
      </c>
    </row>
    <row r="39" spans="2:42" x14ac:dyDescent="0.3">
      <c r="B39" s="26" t="s">
        <v>15</v>
      </c>
      <c r="E39" s="6" t="s">
        <v>250</v>
      </c>
      <c r="F39" s="33">
        <v>0</v>
      </c>
      <c r="G39" s="33">
        <v>1</v>
      </c>
      <c r="H39" s="33">
        <v>2</v>
      </c>
      <c r="I39" s="33">
        <v>3</v>
      </c>
      <c r="J39" s="33">
        <v>4</v>
      </c>
      <c r="K39" s="33">
        <v>5</v>
      </c>
      <c r="L39" s="33">
        <v>6</v>
      </c>
      <c r="M39" s="33">
        <v>7</v>
      </c>
      <c r="N39" s="33">
        <v>8</v>
      </c>
      <c r="O39" s="33">
        <v>9</v>
      </c>
      <c r="P39" s="33">
        <v>10</v>
      </c>
      <c r="Q39" s="33">
        <v>11</v>
      </c>
      <c r="R39" s="33">
        <v>12</v>
      </c>
      <c r="S39" s="33">
        <v>13</v>
      </c>
      <c r="T39" s="33">
        <v>14</v>
      </c>
      <c r="U39" s="33">
        <v>15</v>
      </c>
      <c r="V39" s="33">
        <v>16</v>
      </c>
      <c r="W39" s="33">
        <v>17</v>
      </c>
      <c r="X39" s="33">
        <v>18</v>
      </c>
      <c r="Y39" s="33">
        <v>19</v>
      </c>
      <c r="Z39" s="33">
        <v>20</v>
      </c>
      <c r="AA39" s="33">
        <v>21</v>
      </c>
      <c r="AB39" s="33">
        <v>22</v>
      </c>
      <c r="AC39" s="33">
        <v>23</v>
      </c>
      <c r="AD39" s="33">
        <v>24</v>
      </c>
      <c r="AE39" s="33">
        <v>25</v>
      </c>
      <c r="AF39" s="33">
        <v>26</v>
      </c>
      <c r="AG39" s="33">
        <v>27</v>
      </c>
      <c r="AH39" s="33">
        <v>28</v>
      </c>
      <c r="AI39" s="33">
        <v>29</v>
      </c>
      <c r="AJ39" s="33">
        <v>30</v>
      </c>
      <c r="AK39" s="33">
        <v>31</v>
      </c>
      <c r="AL39" s="33">
        <v>32</v>
      </c>
      <c r="AM39" s="33">
        <v>33</v>
      </c>
      <c r="AN39" s="33">
        <v>34</v>
      </c>
      <c r="AO39" s="33">
        <v>35</v>
      </c>
      <c r="AP39" s="33">
        <v>36</v>
      </c>
    </row>
    <row r="40" spans="2:42" x14ac:dyDescent="0.3">
      <c r="C40" s="21"/>
      <c r="D40" s="22"/>
      <c r="E40" s="6" t="s">
        <v>17</v>
      </c>
      <c r="F40" s="11">
        <f>C31</f>
        <v>-980</v>
      </c>
      <c r="G40" s="11">
        <f t="shared" ref="G40:AO40" si="0">$C$43</f>
        <v>6.666666666666667</v>
      </c>
      <c r="H40" s="11">
        <f t="shared" si="0"/>
        <v>6.666666666666667</v>
      </c>
      <c r="I40" s="11">
        <f t="shared" si="0"/>
        <v>6.666666666666667</v>
      </c>
      <c r="J40" s="11">
        <f t="shared" si="0"/>
        <v>6.666666666666667</v>
      </c>
      <c r="K40" s="11">
        <f t="shared" si="0"/>
        <v>6.666666666666667</v>
      </c>
      <c r="L40" s="11">
        <f t="shared" si="0"/>
        <v>6.666666666666667</v>
      </c>
      <c r="M40" s="11">
        <f t="shared" si="0"/>
        <v>6.666666666666667</v>
      </c>
      <c r="N40" s="11">
        <f t="shared" si="0"/>
        <v>6.666666666666667</v>
      </c>
      <c r="O40" s="11">
        <f t="shared" si="0"/>
        <v>6.666666666666667</v>
      </c>
      <c r="P40" s="11">
        <f t="shared" si="0"/>
        <v>6.666666666666667</v>
      </c>
      <c r="Q40" s="11">
        <f t="shared" si="0"/>
        <v>6.666666666666667</v>
      </c>
      <c r="R40" s="11">
        <f t="shared" si="0"/>
        <v>6.666666666666667</v>
      </c>
      <c r="S40" s="11">
        <f t="shared" si="0"/>
        <v>6.666666666666667</v>
      </c>
      <c r="T40" s="11">
        <f t="shared" si="0"/>
        <v>6.666666666666667</v>
      </c>
      <c r="U40" s="11">
        <f t="shared" si="0"/>
        <v>6.666666666666667</v>
      </c>
      <c r="V40" s="11">
        <f t="shared" si="0"/>
        <v>6.666666666666667</v>
      </c>
      <c r="W40" s="11">
        <f t="shared" si="0"/>
        <v>6.666666666666667</v>
      </c>
      <c r="X40" s="11">
        <f t="shared" si="0"/>
        <v>6.666666666666667</v>
      </c>
      <c r="Y40" s="11">
        <f t="shared" si="0"/>
        <v>6.666666666666667</v>
      </c>
      <c r="Z40" s="11">
        <f t="shared" si="0"/>
        <v>6.666666666666667</v>
      </c>
      <c r="AA40" s="11">
        <f t="shared" si="0"/>
        <v>6.666666666666667</v>
      </c>
      <c r="AB40" s="11">
        <f t="shared" si="0"/>
        <v>6.666666666666667</v>
      </c>
      <c r="AC40" s="11">
        <f t="shared" si="0"/>
        <v>6.666666666666667</v>
      </c>
      <c r="AD40" s="11">
        <f t="shared" si="0"/>
        <v>6.666666666666667</v>
      </c>
      <c r="AE40" s="11">
        <f t="shared" si="0"/>
        <v>6.666666666666667</v>
      </c>
      <c r="AF40" s="11">
        <f t="shared" si="0"/>
        <v>6.666666666666667</v>
      </c>
      <c r="AG40" s="11">
        <f t="shared" si="0"/>
        <v>6.666666666666667</v>
      </c>
      <c r="AH40" s="11">
        <f t="shared" si="0"/>
        <v>6.666666666666667</v>
      </c>
      <c r="AI40" s="11">
        <f t="shared" si="0"/>
        <v>6.666666666666667</v>
      </c>
      <c r="AJ40" s="11">
        <f t="shared" si="0"/>
        <v>6.666666666666667</v>
      </c>
      <c r="AK40" s="11">
        <f t="shared" si="0"/>
        <v>6.666666666666667</v>
      </c>
      <c r="AL40" s="11">
        <f t="shared" si="0"/>
        <v>6.666666666666667</v>
      </c>
      <c r="AM40" s="11">
        <f t="shared" si="0"/>
        <v>6.666666666666667</v>
      </c>
      <c r="AN40" s="11">
        <f t="shared" si="0"/>
        <v>6.666666666666667</v>
      </c>
      <c r="AO40" s="11">
        <f t="shared" si="0"/>
        <v>6.666666666666667</v>
      </c>
      <c r="AP40" s="11">
        <f>$C$43+C29</f>
        <v>1006.6666666666666</v>
      </c>
    </row>
    <row r="41" spans="2:42" x14ac:dyDescent="0.3">
      <c r="B41" s="1" t="s">
        <v>70</v>
      </c>
      <c r="C41" s="35">
        <f>C30*C29</f>
        <v>80</v>
      </c>
      <c r="D41" s="22"/>
    </row>
    <row r="42" spans="2:42" x14ac:dyDescent="0.3">
      <c r="E42" s="6" t="s">
        <v>18</v>
      </c>
      <c r="F42" s="125">
        <f>IRR(F40:AP40)</f>
        <v>7.300434536794187E-3</v>
      </c>
    </row>
    <row r="43" spans="2:42" x14ac:dyDescent="0.3">
      <c r="B43" s="1" t="s">
        <v>249</v>
      </c>
      <c r="C43" s="21">
        <f>C41/12</f>
        <v>6.666666666666667</v>
      </c>
    </row>
    <row r="44" spans="2:42" x14ac:dyDescent="0.3">
      <c r="B44" s="3"/>
      <c r="C44" s="21"/>
      <c r="D44" s="22"/>
    </row>
    <row r="46" spans="2:42" x14ac:dyDescent="0.3">
      <c r="B46" s="1" t="s">
        <v>18</v>
      </c>
      <c r="C46" s="106">
        <f>F42</f>
        <v>7.300434536794187E-3</v>
      </c>
      <c r="D46" s="23" t="s">
        <v>248</v>
      </c>
    </row>
    <row r="47" spans="2:42" x14ac:dyDescent="0.3">
      <c r="B47" s="110"/>
      <c r="C47" s="102"/>
      <c r="D47" s="23"/>
    </row>
    <row r="48" spans="2:42" x14ac:dyDescent="0.3">
      <c r="B48" s="24" t="s">
        <v>247</v>
      </c>
      <c r="C48" s="123">
        <f>C46*C34</f>
        <v>8.7605214441530244E-2</v>
      </c>
      <c r="N48" s="8"/>
      <c r="O48" s="8"/>
      <c r="P48" s="8"/>
      <c r="Q48" s="8"/>
      <c r="R48" s="8"/>
      <c r="S48" s="8"/>
      <c r="T48" s="8"/>
      <c r="U48" s="8"/>
    </row>
    <row r="49" spans="1:21" x14ac:dyDescent="0.3">
      <c r="D49" s="124"/>
      <c r="O49" s="91"/>
      <c r="P49" s="8"/>
      <c r="Q49" s="8"/>
      <c r="R49" s="8"/>
      <c r="S49" s="8"/>
      <c r="T49" s="16"/>
    </row>
    <row r="50" spans="1:21" x14ac:dyDescent="0.3">
      <c r="B50" s="107" t="s">
        <v>21</v>
      </c>
      <c r="C50" s="123">
        <f>(1+C46)^C34-1</f>
        <v>9.1209794809863576E-2</v>
      </c>
      <c r="D50" s="8"/>
      <c r="N50" s="8"/>
      <c r="O50" s="15"/>
      <c r="P50" s="15"/>
      <c r="Q50" s="15"/>
      <c r="R50" s="15"/>
      <c r="S50" s="15"/>
      <c r="T50" s="64"/>
      <c r="U50" s="122"/>
    </row>
    <row r="51" spans="1:21" x14ac:dyDescent="0.3">
      <c r="C51" s="22"/>
      <c r="D51" s="22"/>
      <c r="O51" s="5"/>
      <c r="P51" s="5"/>
      <c r="Q51" s="5"/>
      <c r="R51" s="5"/>
      <c r="S51" s="5"/>
      <c r="T51" s="16"/>
    </row>
    <row r="52" spans="1:21" x14ac:dyDescent="0.3">
      <c r="C52" s="21"/>
      <c r="D52" s="22"/>
    </row>
    <row r="53" spans="1:21" x14ac:dyDescent="0.3">
      <c r="D53" s="22"/>
      <c r="N53" s="5"/>
    </row>
    <row r="54" spans="1:21" x14ac:dyDescent="0.3">
      <c r="D54" s="23"/>
    </row>
    <row r="56" spans="1:21" x14ac:dyDescent="0.3">
      <c r="A56" s="83" t="s">
        <v>246</v>
      </c>
      <c r="B56" s="66" t="s">
        <v>245</v>
      </c>
    </row>
    <row r="57" spans="1:21" x14ac:dyDescent="0.3">
      <c r="B57" s="1" t="s">
        <v>244</v>
      </c>
    </row>
    <row r="59" spans="1:21" x14ac:dyDescent="0.3">
      <c r="B59" s="3" t="s">
        <v>4</v>
      </c>
      <c r="C59" s="21"/>
      <c r="D59" s="22"/>
    </row>
    <row r="60" spans="1:21" x14ac:dyDescent="0.3">
      <c r="B60" s="1" t="s">
        <v>8</v>
      </c>
      <c r="C60" s="35">
        <v>1000</v>
      </c>
    </row>
    <row r="61" spans="1:21" x14ac:dyDescent="0.3">
      <c r="B61" s="1" t="s">
        <v>70</v>
      </c>
      <c r="C61" s="92">
        <v>0.09</v>
      </c>
      <c r="D61" s="23"/>
    </row>
    <row r="62" spans="1:21" x14ac:dyDescent="0.3">
      <c r="B62" s="24" t="s">
        <v>5</v>
      </c>
      <c r="C62" s="25">
        <v>3</v>
      </c>
      <c r="D62" s="1" t="s">
        <v>6</v>
      </c>
    </row>
    <row r="64" spans="1:21" x14ac:dyDescent="0.3">
      <c r="B64" s="1" t="s">
        <v>83</v>
      </c>
      <c r="C64" s="4">
        <v>0.12</v>
      </c>
      <c r="D64" s="24"/>
    </row>
    <row r="65" spans="2:18" x14ac:dyDescent="0.3">
      <c r="B65" s="1" t="s">
        <v>243</v>
      </c>
      <c r="C65" s="95">
        <f>C64/4</f>
        <v>0.03</v>
      </c>
      <c r="D65" s="24"/>
    </row>
    <row r="67" spans="2:18" x14ac:dyDescent="0.3">
      <c r="B67" s="1" t="s">
        <v>36</v>
      </c>
      <c r="D67" s="8"/>
    </row>
    <row r="68" spans="2:18" x14ac:dyDescent="0.3">
      <c r="B68" s="107"/>
      <c r="C68" s="22"/>
    </row>
    <row r="69" spans="2:18" x14ac:dyDescent="0.3">
      <c r="B69" s="26" t="s">
        <v>15</v>
      </c>
      <c r="D69" s="121"/>
      <c r="E69" s="6" t="s">
        <v>193</v>
      </c>
      <c r="F69" s="33">
        <v>0</v>
      </c>
      <c r="G69" s="33">
        <v>1</v>
      </c>
      <c r="H69" s="33">
        <v>2</v>
      </c>
      <c r="I69" s="33">
        <v>3</v>
      </c>
      <c r="J69" s="33">
        <v>4</v>
      </c>
      <c r="K69" s="33">
        <v>5</v>
      </c>
      <c r="L69" s="33">
        <v>6</v>
      </c>
      <c r="M69" s="33">
        <v>7</v>
      </c>
      <c r="N69" s="33">
        <v>8</v>
      </c>
      <c r="O69" s="33">
        <v>9</v>
      </c>
      <c r="P69" s="33">
        <v>10</v>
      </c>
      <c r="Q69" s="33">
        <v>11</v>
      </c>
      <c r="R69" s="33">
        <v>12</v>
      </c>
    </row>
    <row r="70" spans="2:18" x14ac:dyDescent="0.3">
      <c r="C70" s="120"/>
      <c r="D70" s="8"/>
      <c r="E70" s="6" t="s">
        <v>17</v>
      </c>
      <c r="F70" s="82"/>
      <c r="G70" s="11">
        <f t="shared" ref="G70:Q70" si="1">$C$73</f>
        <v>22.5</v>
      </c>
      <c r="H70" s="11">
        <f t="shared" si="1"/>
        <v>22.5</v>
      </c>
      <c r="I70" s="11">
        <f t="shared" si="1"/>
        <v>22.5</v>
      </c>
      <c r="J70" s="11">
        <f t="shared" si="1"/>
        <v>22.5</v>
      </c>
      <c r="K70" s="11">
        <f t="shared" si="1"/>
        <v>22.5</v>
      </c>
      <c r="L70" s="11">
        <f t="shared" si="1"/>
        <v>22.5</v>
      </c>
      <c r="M70" s="11">
        <f t="shared" si="1"/>
        <v>22.5</v>
      </c>
      <c r="N70" s="11">
        <f t="shared" si="1"/>
        <v>22.5</v>
      </c>
      <c r="O70" s="11">
        <f t="shared" si="1"/>
        <v>22.5</v>
      </c>
      <c r="P70" s="11">
        <f t="shared" si="1"/>
        <v>22.5</v>
      </c>
      <c r="Q70" s="11">
        <f t="shared" si="1"/>
        <v>22.5</v>
      </c>
      <c r="R70" s="11">
        <f>$C$73+C60</f>
        <v>1022.5</v>
      </c>
    </row>
    <row r="71" spans="2:18" x14ac:dyDescent="0.3">
      <c r="B71" s="1" t="s">
        <v>70</v>
      </c>
      <c r="C71" s="119">
        <f>C61*C60</f>
        <v>90</v>
      </c>
      <c r="E71" s="6" t="s">
        <v>38</v>
      </c>
      <c r="F71" s="94">
        <f t="shared" ref="F71:R71" si="2">1/(1+$C$64/4)^F69</f>
        <v>1</v>
      </c>
      <c r="G71" s="13">
        <f t="shared" si="2"/>
        <v>0.970873786407767</v>
      </c>
      <c r="H71" s="13">
        <f t="shared" si="2"/>
        <v>0.94259590913375435</v>
      </c>
      <c r="I71" s="13">
        <f t="shared" si="2"/>
        <v>0.91514165935315961</v>
      </c>
      <c r="J71" s="13">
        <f t="shared" si="2"/>
        <v>0.888487047915689</v>
      </c>
      <c r="K71" s="13">
        <f t="shared" si="2"/>
        <v>0.86260878438416411</v>
      </c>
      <c r="L71" s="13">
        <f t="shared" si="2"/>
        <v>0.83748425668365445</v>
      </c>
      <c r="M71" s="13">
        <f t="shared" si="2"/>
        <v>0.81309151134335378</v>
      </c>
      <c r="N71" s="13">
        <f t="shared" si="2"/>
        <v>0.78940923431393573</v>
      </c>
      <c r="O71" s="13">
        <f t="shared" si="2"/>
        <v>0.76641673234362695</v>
      </c>
      <c r="P71" s="13">
        <f t="shared" si="2"/>
        <v>0.74409391489672516</v>
      </c>
      <c r="Q71" s="13">
        <f t="shared" si="2"/>
        <v>0.72242127659876232</v>
      </c>
      <c r="R71" s="13">
        <f t="shared" si="2"/>
        <v>0.70137988019297326</v>
      </c>
    </row>
    <row r="72" spans="2:18" x14ac:dyDescent="0.3">
      <c r="E72" s="6" t="s">
        <v>39</v>
      </c>
      <c r="F72" s="81"/>
      <c r="G72" s="93">
        <f t="shared" ref="G72:R72" si="3">G71*G70</f>
        <v>21.844660194174757</v>
      </c>
      <c r="H72" s="93">
        <f t="shared" si="3"/>
        <v>21.208407955509472</v>
      </c>
      <c r="I72" s="93">
        <f t="shared" si="3"/>
        <v>20.590687335446091</v>
      </c>
      <c r="J72" s="93">
        <f t="shared" si="3"/>
        <v>19.990958578103001</v>
      </c>
      <c r="K72" s="93">
        <f t="shared" si="3"/>
        <v>19.408697648643692</v>
      </c>
      <c r="L72" s="93">
        <f t="shared" si="3"/>
        <v>18.843395775382223</v>
      </c>
      <c r="M72" s="93">
        <f t="shared" si="3"/>
        <v>18.294559005225459</v>
      </c>
      <c r="N72" s="93">
        <f t="shared" si="3"/>
        <v>17.761707772063552</v>
      </c>
      <c r="O72" s="93">
        <f t="shared" si="3"/>
        <v>17.244376477731606</v>
      </c>
      <c r="P72" s="93">
        <f t="shared" si="3"/>
        <v>16.742113085176317</v>
      </c>
      <c r="Q72" s="93">
        <f t="shared" si="3"/>
        <v>16.254478723472154</v>
      </c>
      <c r="R72" s="93">
        <f t="shared" si="3"/>
        <v>717.16092749731513</v>
      </c>
    </row>
    <row r="73" spans="2:18" x14ac:dyDescent="0.3">
      <c r="B73" s="1" t="s">
        <v>195</v>
      </c>
      <c r="C73" s="119">
        <f>C71/4</f>
        <v>22.5</v>
      </c>
      <c r="D73" s="22"/>
      <c r="F73" s="88"/>
      <c r="G73" s="118"/>
      <c r="J73" s="5"/>
    </row>
    <row r="74" spans="2:18" x14ac:dyDescent="0.3">
      <c r="D74" s="22"/>
      <c r="G74" s="117"/>
    </row>
    <row r="75" spans="2:18" x14ac:dyDescent="0.3">
      <c r="B75" s="31" t="s">
        <v>242</v>
      </c>
    </row>
    <row r="76" spans="2:18" x14ac:dyDescent="0.3">
      <c r="B76" s="86" t="s">
        <v>241</v>
      </c>
      <c r="C76" s="116">
        <f>SUM(G72:R72)</f>
        <v>925.34497004824345</v>
      </c>
    </row>
    <row r="78" spans="2:18" x14ac:dyDescent="0.3">
      <c r="B78" s="26"/>
    </row>
    <row r="79" spans="2:18" x14ac:dyDescent="0.3">
      <c r="B79" s="31" t="s">
        <v>240</v>
      </c>
      <c r="C79" s="21"/>
    </row>
    <row r="80" spans="2:18" x14ac:dyDescent="0.3">
      <c r="C80" s="21"/>
    </row>
    <row r="81" spans="1:4" x14ac:dyDescent="0.3">
      <c r="B81" s="1" t="s">
        <v>239</v>
      </c>
      <c r="C81" s="115">
        <f>C73*((1/C65)-((1/(C65*(1+C65)^12))))</f>
        <v>223.96508985527012</v>
      </c>
    </row>
    <row r="82" spans="1:4" x14ac:dyDescent="0.3">
      <c r="C82" s="92"/>
    </row>
    <row r="83" spans="1:4" x14ac:dyDescent="0.3">
      <c r="B83" s="1" t="s">
        <v>238</v>
      </c>
      <c r="C83" s="5">
        <f>C60/(1+C65)^12</f>
        <v>701.37988019297325</v>
      </c>
    </row>
    <row r="84" spans="1:4" x14ac:dyDescent="0.3">
      <c r="C84" s="21"/>
    </row>
    <row r="85" spans="1:4" x14ac:dyDescent="0.3">
      <c r="B85" s="1" t="s">
        <v>237</v>
      </c>
      <c r="C85" s="114">
        <f>C83+C81</f>
        <v>925.34497004824334</v>
      </c>
    </row>
    <row r="86" spans="1:4" x14ac:dyDescent="0.3">
      <c r="C86" s="21"/>
    </row>
    <row r="87" spans="1:4" x14ac:dyDescent="0.3">
      <c r="C87" s="36"/>
    </row>
    <row r="88" spans="1:4" x14ac:dyDescent="0.3">
      <c r="C88" s="102"/>
    </row>
    <row r="89" spans="1:4" x14ac:dyDescent="0.3">
      <c r="C89" s="21"/>
    </row>
    <row r="90" spans="1:4" x14ac:dyDescent="0.3">
      <c r="A90" s="83" t="s">
        <v>236</v>
      </c>
      <c r="B90" s="66" t="s">
        <v>235</v>
      </c>
      <c r="C90" s="113"/>
    </row>
    <row r="91" spans="1:4" x14ac:dyDescent="0.3">
      <c r="B91" s="112" t="s">
        <v>234</v>
      </c>
      <c r="C91" s="106"/>
    </row>
    <row r="92" spans="1:4" x14ac:dyDescent="0.3">
      <c r="B92" s="112" t="s">
        <v>233</v>
      </c>
      <c r="C92" s="106"/>
    </row>
    <row r="94" spans="1:4" x14ac:dyDescent="0.3">
      <c r="B94" s="3" t="s">
        <v>4</v>
      </c>
      <c r="C94" s="21"/>
      <c r="D94" s="22"/>
    </row>
    <row r="95" spans="1:4" x14ac:dyDescent="0.3">
      <c r="B95" s="1" t="s">
        <v>8</v>
      </c>
      <c r="C95" s="35">
        <v>1000</v>
      </c>
    </row>
    <row r="96" spans="1:4" x14ac:dyDescent="0.3">
      <c r="B96" s="1" t="s">
        <v>70</v>
      </c>
      <c r="C96" s="92">
        <v>0.15</v>
      </c>
      <c r="D96" s="23"/>
    </row>
    <row r="97" spans="2:16" x14ac:dyDescent="0.3">
      <c r="B97" s="24" t="s">
        <v>5</v>
      </c>
      <c r="C97" s="25">
        <v>10</v>
      </c>
      <c r="D97" s="1" t="s">
        <v>6</v>
      </c>
    </row>
    <row r="99" spans="2:16" x14ac:dyDescent="0.3">
      <c r="B99" s="1" t="s">
        <v>222</v>
      </c>
      <c r="C99" s="4">
        <v>0.22</v>
      </c>
      <c r="D99" s="24"/>
    </row>
    <row r="100" spans="2:16" x14ac:dyDescent="0.3">
      <c r="B100" s="1" t="s">
        <v>221</v>
      </c>
      <c r="C100" s="4">
        <v>0.1</v>
      </c>
      <c r="D100" s="24"/>
    </row>
    <row r="102" spans="2:16" x14ac:dyDescent="0.3">
      <c r="B102" s="1" t="s">
        <v>220</v>
      </c>
      <c r="C102" s="102"/>
      <c r="D102" s="22"/>
    </row>
    <row r="103" spans="2:16" x14ac:dyDescent="0.3">
      <c r="B103" s="1" t="s">
        <v>219</v>
      </c>
      <c r="D103" s="22"/>
    </row>
    <row r="104" spans="2:16" x14ac:dyDescent="0.3">
      <c r="B104" s="107"/>
      <c r="D104" s="22"/>
    </row>
    <row r="105" spans="2:16" x14ac:dyDescent="0.3">
      <c r="B105" s="26" t="s">
        <v>15</v>
      </c>
      <c r="C105" s="22"/>
      <c r="D105" s="23"/>
    </row>
    <row r="106" spans="2:16" x14ac:dyDescent="0.3">
      <c r="B106" s="26"/>
      <c r="C106" s="22"/>
      <c r="D106" s="22"/>
    </row>
    <row r="107" spans="2:16" x14ac:dyDescent="0.3">
      <c r="B107" s="1" t="s">
        <v>70</v>
      </c>
      <c r="C107" s="37">
        <f>C96*C95</f>
        <v>150</v>
      </c>
    </row>
    <row r="108" spans="2:16" x14ac:dyDescent="0.3">
      <c r="C108" s="35"/>
      <c r="D108" s="22"/>
    </row>
    <row r="109" spans="2:16" x14ac:dyDescent="0.3">
      <c r="B109" s="31" t="s">
        <v>232</v>
      </c>
      <c r="D109" s="22"/>
    </row>
    <row r="110" spans="2:16" x14ac:dyDescent="0.3">
      <c r="B110" s="107"/>
      <c r="C110" s="106"/>
    </row>
    <row r="111" spans="2:16" x14ac:dyDescent="0.3">
      <c r="B111" s="1" t="s">
        <v>230</v>
      </c>
      <c r="C111" s="111">
        <f>SUM(G114:P114)</f>
        <v>725.37709671562573</v>
      </c>
      <c r="D111" s="88">
        <v>0.22</v>
      </c>
      <c r="E111" s="6" t="s">
        <v>6</v>
      </c>
      <c r="F111" s="33">
        <v>0</v>
      </c>
      <c r="G111" s="33">
        <v>1</v>
      </c>
      <c r="H111" s="33">
        <v>2</v>
      </c>
      <c r="I111" s="33">
        <v>3</v>
      </c>
      <c r="J111" s="33">
        <v>4</v>
      </c>
      <c r="K111" s="33">
        <v>5</v>
      </c>
      <c r="L111" s="33">
        <v>6</v>
      </c>
      <c r="M111" s="33">
        <v>7</v>
      </c>
      <c r="N111" s="33">
        <v>8</v>
      </c>
      <c r="O111" s="33">
        <v>9</v>
      </c>
      <c r="P111" s="33">
        <v>10</v>
      </c>
    </row>
    <row r="112" spans="2:16" x14ac:dyDescent="0.3">
      <c r="D112" s="8"/>
      <c r="E112" s="6" t="s">
        <v>17</v>
      </c>
      <c r="F112" s="82"/>
      <c r="G112" s="11">
        <f t="shared" ref="G112:O112" si="4">$C$107</f>
        <v>150</v>
      </c>
      <c r="H112" s="11">
        <f t="shared" si="4"/>
        <v>150</v>
      </c>
      <c r="I112" s="11">
        <f t="shared" si="4"/>
        <v>150</v>
      </c>
      <c r="J112" s="11">
        <f t="shared" si="4"/>
        <v>150</v>
      </c>
      <c r="K112" s="11">
        <f t="shared" si="4"/>
        <v>150</v>
      </c>
      <c r="L112" s="11">
        <f t="shared" si="4"/>
        <v>150</v>
      </c>
      <c r="M112" s="11">
        <f t="shared" si="4"/>
        <v>150</v>
      </c>
      <c r="N112" s="11">
        <f t="shared" si="4"/>
        <v>150</v>
      </c>
      <c r="O112" s="11">
        <f t="shared" si="4"/>
        <v>150</v>
      </c>
      <c r="P112" s="11">
        <f>$C$107+C95</f>
        <v>1150</v>
      </c>
    </row>
    <row r="113" spans="1:16" x14ac:dyDescent="0.3">
      <c r="B113" s="66"/>
      <c r="C113" s="90"/>
      <c r="D113" s="8"/>
      <c r="E113" s="6" t="s">
        <v>38</v>
      </c>
      <c r="F113" s="94">
        <f t="shared" ref="F113:P113" si="5">1/(1+$C$99)^F111</f>
        <v>1</v>
      </c>
      <c r="G113" s="13">
        <f t="shared" si="5"/>
        <v>0.81967213114754101</v>
      </c>
      <c r="H113" s="13">
        <f t="shared" si="5"/>
        <v>0.67186240257995167</v>
      </c>
      <c r="I113" s="13">
        <f t="shared" si="5"/>
        <v>0.55070688736061613</v>
      </c>
      <c r="J113" s="13">
        <f t="shared" si="5"/>
        <v>0.45139908800050504</v>
      </c>
      <c r="K113" s="13">
        <f t="shared" si="5"/>
        <v>0.36999925245943038</v>
      </c>
      <c r="L113" s="13">
        <f t="shared" si="5"/>
        <v>0.30327807578641836</v>
      </c>
      <c r="M113" s="13">
        <f t="shared" si="5"/>
        <v>0.24858858671017897</v>
      </c>
      <c r="N113" s="13">
        <f t="shared" si="5"/>
        <v>0.20376113664768772</v>
      </c>
      <c r="O113" s="13">
        <f t="shared" si="5"/>
        <v>0.16701732512105549</v>
      </c>
      <c r="P113" s="13">
        <f t="shared" si="5"/>
        <v>0.13689944682053731</v>
      </c>
    </row>
    <row r="114" spans="1:16" x14ac:dyDescent="0.3">
      <c r="D114" s="8"/>
      <c r="E114" s="6" t="s">
        <v>39</v>
      </c>
      <c r="F114" s="81"/>
      <c r="G114" s="93">
        <f t="shared" ref="G114:P114" si="6">G113*G112</f>
        <v>122.95081967213115</v>
      </c>
      <c r="H114" s="93">
        <f t="shared" si="6"/>
        <v>100.77936038699275</v>
      </c>
      <c r="I114" s="93">
        <f t="shared" si="6"/>
        <v>82.606033104092418</v>
      </c>
      <c r="J114" s="93">
        <f t="shared" si="6"/>
        <v>67.709863200075759</v>
      </c>
      <c r="K114" s="93">
        <f t="shared" si="6"/>
        <v>55.499887868914556</v>
      </c>
      <c r="L114" s="93">
        <f t="shared" si="6"/>
        <v>45.491711367962751</v>
      </c>
      <c r="M114" s="93">
        <f t="shared" si="6"/>
        <v>37.288288006526848</v>
      </c>
      <c r="N114" s="93">
        <f t="shared" si="6"/>
        <v>30.564170497153157</v>
      </c>
      <c r="O114" s="93">
        <f t="shared" si="6"/>
        <v>25.052598768158322</v>
      </c>
      <c r="P114" s="93">
        <f t="shared" si="6"/>
        <v>157.43436384361792</v>
      </c>
    </row>
    <row r="115" spans="1:16" x14ac:dyDescent="0.3">
      <c r="B115" s="31" t="s">
        <v>231</v>
      </c>
      <c r="D115" s="8"/>
    </row>
    <row r="116" spans="1:16" x14ac:dyDescent="0.3">
      <c r="B116" s="107"/>
      <c r="C116" s="106"/>
      <c r="D116" s="8"/>
    </row>
    <row r="117" spans="1:16" x14ac:dyDescent="0.3">
      <c r="B117" s="1" t="s">
        <v>230</v>
      </c>
      <c r="C117" s="111">
        <f>SUM(G120:P120)</f>
        <v>1307.2283552852336</v>
      </c>
      <c r="D117" s="88">
        <v>0.1</v>
      </c>
      <c r="E117" s="6" t="s">
        <v>6</v>
      </c>
      <c r="F117" s="33">
        <v>0</v>
      </c>
      <c r="G117" s="33">
        <v>1</v>
      </c>
      <c r="H117" s="33">
        <v>2</v>
      </c>
      <c r="I117" s="33">
        <v>3</v>
      </c>
      <c r="J117" s="33">
        <v>4</v>
      </c>
      <c r="K117" s="33">
        <v>5</v>
      </c>
      <c r="L117" s="33">
        <v>6</v>
      </c>
      <c r="M117" s="33">
        <v>7</v>
      </c>
      <c r="N117" s="33">
        <v>8</v>
      </c>
      <c r="O117" s="33">
        <v>9</v>
      </c>
      <c r="P117" s="33">
        <v>10</v>
      </c>
    </row>
    <row r="118" spans="1:16" x14ac:dyDescent="0.3">
      <c r="B118" s="110"/>
      <c r="C118" s="102"/>
      <c r="E118" s="6" t="s">
        <v>17</v>
      </c>
      <c r="F118" s="82"/>
      <c r="G118" s="11">
        <f t="shared" ref="G118:O118" si="7">$C$107</f>
        <v>150</v>
      </c>
      <c r="H118" s="11">
        <f t="shared" si="7"/>
        <v>150</v>
      </c>
      <c r="I118" s="11">
        <f t="shared" si="7"/>
        <v>150</v>
      </c>
      <c r="J118" s="11">
        <f t="shared" si="7"/>
        <v>150</v>
      </c>
      <c r="K118" s="11">
        <f t="shared" si="7"/>
        <v>150</v>
      </c>
      <c r="L118" s="11">
        <f t="shared" si="7"/>
        <v>150</v>
      </c>
      <c r="M118" s="11">
        <f t="shared" si="7"/>
        <v>150</v>
      </c>
      <c r="N118" s="11">
        <f t="shared" si="7"/>
        <v>150</v>
      </c>
      <c r="O118" s="11">
        <f t="shared" si="7"/>
        <v>150</v>
      </c>
      <c r="P118" s="11">
        <f>$C$107+C95</f>
        <v>1150</v>
      </c>
    </row>
    <row r="119" spans="1:16" x14ac:dyDescent="0.3">
      <c r="E119" s="6" t="s">
        <v>38</v>
      </c>
      <c r="F119" s="94">
        <f t="shared" ref="F119:P119" si="8">1/(1+$C$100)^F117</f>
        <v>1</v>
      </c>
      <c r="G119" s="13">
        <f t="shared" si="8"/>
        <v>0.90909090909090906</v>
      </c>
      <c r="H119" s="13">
        <f t="shared" si="8"/>
        <v>0.82644628099173545</v>
      </c>
      <c r="I119" s="13">
        <f t="shared" si="8"/>
        <v>0.75131480090157754</v>
      </c>
      <c r="J119" s="13">
        <f t="shared" si="8"/>
        <v>0.68301345536507052</v>
      </c>
      <c r="K119" s="13">
        <f t="shared" si="8"/>
        <v>0.62092132305915493</v>
      </c>
      <c r="L119" s="13">
        <f t="shared" si="8"/>
        <v>0.56447393005377722</v>
      </c>
      <c r="M119" s="13">
        <f t="shared" si="8"/>
        <v>0.51315811823070645</v>
      </c>
      <c r="N119" s="13">
        <f t="shared" si="8"/>
        <v>0.46650738020973315</v>
      </c>
      <c r="O119" s="13">
        <f t="shared" si="8"/>
        <v>0.42409761837248466</v>
      </c>
      <c r="P119" s="13">
        <f t="shared" si="8"/>
        <v>0.38554328942953148</v>
      </c>
    </row>
    <row r="120" spans="1:16" x14ac:dyDescent="0.3">
      <c r="B120" s="107"/>
      <c r="E120" s="6" t="s">
        <v>39</v>
      </c>
      <c r="F120" s="81"/>
      <c r="G120" s="93">
        <f t="shared" ref="G120:P120" si="9">G119*G118</f>
        <v>136.36363636363635</v>
      </c>
      <c r="H120" s="93">
        <f t="shared" si="9"/>
        <v>123.96694214876032</v>
      </c>
      <c r="I120" s="93">
        <f t="shared" si="9"/>
        <v>112.69722013523663</v>
      </c>
      <c r="J120" s="93">
        <f t="shared" si="9"/>
        <v>102.45201830476057</v>
      </c>
      <c r="K120" s="93">
        <f t="shared" si="9"/>
        <v>93.138198458873234</v>
      </c>
      <c r="L120" s="93">
        <f t="shared" si="9"/>
        <v>84.671089508066586</v>
      </c>
      <c r="M120" s="93">
        <f t="shared" si="9"/>
        <v>76.97371773460597</v>
      </c>
      <c r="N120" s="93">
        <f t="shared" si="9"/>
        <v>69.976107031459975</v>
      </c>
      <c r="O120" s="93">
        <f t="shared" si="9"/>
        <v>63.614642755872701</v>
      </c>
      <c r="P120" s="93">
        <f t="shared" si="9"/>
        <v>443.37478284396121</v>
      </c>
    </row>
    <row r="121" spans="1:16" x14ac:dyDescent="0.3">
      <c r="C121" s="22"/>
    </row>
    <row r="122" spans="1:16" x14ac:dyDescent="0.3">
      <c r="B122" s="26"/>
      <c r="C122" s="22"/>
    </row>
    <row r="124" spans="1:16" x14ac:dyDescent="0.3">
      <c r="A124" s="83" t="s">
        <v>229</v>
      </c>
      <c r="B124" s="10" t="s">
        <v>228</v>
      </c>
      <c r="C124" s="35"/>
    </row>
    <row r="125" spans="1:16" x14ac:dyDescent="0.3">
      <c r="B125" s="1" t="s">
        <v>227</v>
      </c>
    </row>
    <row r="126" spans="1:16" x14ac:dyDescent="0.3">
      <c r="B126" s="10" t="s">
        <v>226</v>
      </c>
    </row>
    <row r="127" spans="1:16" ht="37.5" x14ac:dyDescent="0.3">
      <c r="B127" s="109" t="s">
        <v>225</v>
      </c>
      <c r="C127" s="106"/>
      <c r="F127" s="8"/>
      <c r="G127" s="8"/>
      <c r="H127" s="8"/>
      <c r="I127" s="8"/>
      <c r="J127" s="8"/>
      <c r="K127" s="8"/>
      <c r="L127" s="8"/>
      <c r="M127" s="8"/>
      <c r="N127" s="8"/>
      <c r="O127" s="8"/>
      <c r="P127" s="8"/>
    </row>
    <row r="128" spans="1:16" x14ac:dyDescent="0.3">
      <c r="B128" s="10" t="s">
        <v>224</v>
      </c>
      <c r="F128" s="91"/>
      <c r="G128" s="16"/>
      <c r="H128" s="16"/>
      <c r="I128" s="16"/>
      <c r="J128" s="16"/>
      <c r="K128" s="16"/>
      <c r="L128" s="16"/>
      <c r="M128" s="16"/>
      <c r="N128" s="16"/>
      <c r="O128" s="16"/>
      <c r="P128" s="16"/>
    </row>
    <row r="129" spans="2:26" x14ac:dyDescent="0.3">
      <c r="B129" s="10" t="s">
        <v>223</v>
      </c>
      <c r="C129" s="22"/>
      <c r="F129" s="89"/>
      <c r="G129" s="15"/>
      <c r="H129" s="15"/>
      <c r="I129" s="15"/>
      <c r="J129" s="15"/>
      <c r="K129" s="15"/>
      <c r="L129" s="15"/>
      <c r="M129" s="15"/>
      <c r="N129" s="15"/>
      <c r="O129" s="15"/>
      <c r="P129" s="15"/>
    </row>
    <row r="130" spans="2:26" x14ac:dyDescent="0.3">
      <c r="C130" s="21"/>
      <c r="F130" s="88"/>
      <c r="G130" s="87"/>
      <c r="H130" s="87"/>
      <c r="I130" s="87"/>
      <c r="J130" s="87"/>
      <c r="K130" s="87"/>
      <c r="L130" s="87"/>
      <c r="M130" s="87"/>
      <c r="N130" s="87"/>
      <c r="O130" s="87"/>
      <c r="P130" s="87"/>
    </row>
    <row r="131" spans="2:26" x14ac:dyDescent="0.3">
      <c r="B131" s="3" t="s">
        <v>4</v>
      </c>
      <c r="C131" s="21"/>
      <c r="D131" s="22"/>
    </row>
    <row r="132" spans="2:26" x14ac:dyDescent="0.3">
      <c r="B132" s="1" t="s">
        <v>8</v>
      </c>
      <c r="C132" s="35">
        <v>1000</v>
      </c>
    </row>
    <row r="133" spans="2:26" x14ac:dyDescent="0.3">
      <c r="B133" s="1" t="s">
        <v>70</v>
      </c>
      <c r="C133" s="92">
        <v>0.15</v>
      </c>
      <c r="D133" s="23"/>
      <c r="F133" s="8"/>
      <c r="G133" s="8"/>
      <c r="H133" s="8"/>
      <c r="I133" s="8"/>
      <c r="J133" s="8"/>
      <c r="K133" s="8"/>
      <c r="L133" s="8"/>
      <c r="M133" s="8"/>
      <c r="N133" s="8"/>
      <c r="O133" s="8"/>
      <c r="P133" s="8"/>
      <c r="Q133" s="8"/>
      <c r="R133" s="8"/>
      <c r="S133" s="8"/>
      <c r="T133" s="8"/>
      <c r="U133" s="8"/>
      <c r="V133" s="8"/>
      <c r="W133" s="8"/>
      <c r="X133" s="8"/>
      <c r="Y133" s="8"/>
      <c r="Z133" s="8"/>
    </row>
    <row r="134" spans="2:26" x14ac:dyDescent="0.3">
      <c r="B134" s="24" t="s">
        <v>5</v>
      </c>
      <c r="C134" s="25">
        <v>8</v>
      </c>
      <c r="D134" s="1" t="s">
        <v>6</v>
      </c>
      <c r="F134" s="91"/>
      <c r="G134" s="16"/>
      <c r="H134" s="16"/>
      <c r="I134" s="16"/>
      <c r="J134" s="16"/>
      <c r="K134" s="16"/>
      <c r="L134" s="16"/>
      <c r="M134" s="16"/>
      <c r="N134" s="16"/>
      <c r="O134" s="16"/>
      <c r="P134" s="16"/>
      <c r="Q134" s="16"/>
      <c r="R134" s="16"/>
      <c r="S134" s="16"/>
      <c r="T134" s="16"/>
      <c r="U134" s="16"/>
      <c r="V134" s="16"/>
      <c r="W134" s="16"/>
      <c r="X134" s="16"/>
      <c r="Y134" s="16"/>
      <c r="Z134" s="16"/>
    </row>
    <row r="135" spans="2:26" x14ac:dyDescent="0.3">
      <c r="F135" s="89"/>
      <c r="G135" s="15"/>
      <c r="H135" s="15"/>
      <c r="I135" s="15"/>
      <c r="J135" s="15"/>
      <c r="K135" s="15"/>
      <c r="L135" s="15"/>
      <c r="M135" s="15"/>
      <c r="N135" s="15"/>
      <c r="O135" s="15"/>
      <c r="P135" s="15"/>
      <c r="Q135" s="15"/>
      <c r="R135" s="15"/>
      <c r="S135" s="15"/>
      <c r="T135" s="15"/>
      <c r="U135" s="15"/>
      <c r="V135" s="15"/>
      <c r="W135" s="15"/>
      <c r="X135" s="15"/>
      <c r="Y135" s="15"/>
      <c r="Z135" s="15"/>
    </row>
    <row r="136" spans="2:26" x14ac:dyDescent="0.3">
      <c r="B136" s="1" t="s">
        <v>222</v>
      </c>
      <c r="C136" s="4">
        <v>0.12</v>
      </c>
      <c r="D136" s="24"/>
      <c r="F136" s="88"/>
      <c r="G136" s="87"/>
      <c r="H136" s="87"/>
      <c r="I136" s="87"/>
      <c r="J136" s="87"/>
      <c r="K136" s="87"/>
      <c r="L136" s="87"/>
      <c r="M136" s="87"/>
      <c r="N136" s="87"/>
      <c r="O136" s="87"/>
      <c r="P136" s="87"/>
      <c r="Q136" s="87"/>
      <c r="R136" s="87"/>
      <c r="S136" s="87"/>
      <c r="T136" s="87"/>
      <c r="U136" s="87"/>
      <c r="V136" s="87"/>
      <c r="W136" s="87"/>
      <c r="X136" s="87"/>
      <c r="Y136" s="87"/>
      <c r="Z136" s="87"/>
    </row>
    <row r="137" spans="2:26" x14ac:dyDescent="0.3">
      <c r="B137" s="1" t="s">
        <v>221</v>
      </c>
      <c r="C137" s="4">
        <v>0.17</v>
      </c>
      <c r="D137" s="24"/>
    </row>
    <row r="138" spans="2:26" x14ac:dyDescent="0.3">
      <c r="F138" s="5"/>
    </row>
    <row r="139" spans="2:26" x14ac:dyDescent="0.3">
      <c r="B139" s="1" t="s">
        <v>220</v>
      </c>
      <c r="C139" s="102"/>
      <c r="D139" s="22"/>
      <c r="F139" s="5"/>
    </row>
    <row r="140" spans="2:26" x14ac:dyDescent="0.3">
      <c r="B140" s="1" t="s">
        <v>219</v>
      </c>
      <c r="D140" s="22"/>
      <c r="F140" s="108"/>
      <c r="G140" s="108"/>
      <c r="H140" s="108"/>
      <c r="I140" s="108"/>
      <c r="J140" s="108"/>
      <c r="K140" s="108"/>
    </row>
    <row r="141" spans="2:26" x14ac:dyDescent="0.3">
      <c r="B141" s="107"/>
      <c r="D141" s="22"/>
      <c r="F141" s="108"/>
      <c r="G141" s="85"/>
      <c r="H141" s="108"/>
      <c r="I141" s="108"/>
      <c r="J141" s="108"/>
      <c r="K141" s="108"/>
    </row>
    <row r="142" spans="2:26" x14ac:dyDescent="0.3">
      <c r="B142" s="26" t="s">
        <v>15</v>
      </c>
      <c r="C142" s="22"/>
      <c r="D142" s="23"/>
    </row>
    <row r="143" spans="2:26" x14ac:dyDescent="0.3">
      <c r="B143" s="26"/>
      <c r="C143" s="22"/>
      <c r="D143" s="22"/>
    </row>
    <row r="144" spans="2:26" x14ac:dyDescent="0.3">
      <c r="B144" s="1" t="s">
        <v>70</v>
      </c>
      <c r="C144" s="37">
        <f>C132*C133</f>
        <v>150</v>
      </c>
    </row>
    <row r="145" spans="2:24" x14ac:dyDescent="0.3">
      <c r="B145" s="1" t="s">
        <v>218</v>
      </c>
      <c r="C145" s="35">
        <f>C144/2</f>
        <v>75</v>
      </c>
      <c r="D145" s="22"/>
    </row>
    <row r="146" spans="2:24" x14ac:dyDescent="0.3">
      <c r="D146" s="22"/>
    </row>
    <row r="147" spans="2:24" x14ac:dyDescent="0.3">
      <c r="E147" s="1" t="s">
        <v>216</v>
      </c>
    </row>
    <row r="148" spans="2:24" x14ac:dyDescent="0.3">
      <c r="B148" s="31" t="s">
        <v>217</v>
      </c>
      <c r="E148" s="6" t="s">
        <v>6</v>
      </c>
      <c r="F148" s="33">
        <v>0</v>
      </c>
      <c r="G148" s="33">
        <v>1</v>
      </c>
      <c r="H148" s="33">
        <v>2</v>
      </c>
      <c r="I148" s="33">
        <v>3</v>
      </c>
      <c r="J148" s="33">
        <v>4</v>
      </c>
      <c r="K148" s="33">
        <v>5</v>
      </c>
      <c r="L148" s="33">
        <v>6</v>
      </c>
      <c r="M148" s="33">
        <v>7</v>
      </c>
      <c r="N148" s="33">
        <v>8</v>
      </c>
      <c r="O148" s="33">
        <v>9</v>
      </c>
      <c r="P148" s="8"/>
    </row>
    <row r="149" spans="2:24" x14ac:dyDescent="0.3">
      <c r="B149" s="107"/>
      <c r="C149" s="106"/>
      <c r="E149" s="6" t="s">
        <v>17</v>
      </c>
      <c r="F149" s="82"/>
      <c r="G149" s="11">
        <f t="shared" ref="G149:N149" si="10">$C$144</f>
        <v>150</v>
      </c>
      <c r="H149" s="11">
        <f t="shared" si="10"/>
        <v>150</v>
      </c>
      <c r="I149" s="11">
        <f t="shared" si="10"/>
        <v>150</v>
      </c>
      <c r="J149" s="11">
        <f t="shared" si="10"/>
        <v>150</v>
      </c>
      <c r="K149" s="11">
        <f t="shared" si="10"/>
        <v>150</v>
      </c>
      <c r="L149" s="11">
        <f t="shared" si="10"/>
        <v>150</v>
      </c>
      <c r="M149" s="11">
        <f t="shared" si="10"/>
        <v>150</v>
      </c>
      <c r="N149" s="11">
        <f t="shared" si="10"/>
        <v>150</v>
      </c>
      <c r="O149" s="11">
        <f>$C$144+C132</f>
        <v>1150</v>
      </c>
      <c r="P149" s="16"/>
    </row>
    <row r="150" spans="2:24" x14ac:dyDescent="0.3">
      <c r="E150" s="6" t="s">
        <v>38</v>
      </c>
      <c r="F150" s="94">
        <f t="shared" ref="F150:O150" si="11">1/(1+$C$136)^F148</f>
        <v>1</v>
      </c>
      <c r="G150" s="13">
        <f t="shared" si="11"/>
        <v>0.89285714285714279</v>
      </c>
      <c r="H150" s="13">
        <f t="shared" si="11"/>
        <v>0.79719387755102034</v>
      </c>
      <c r="I150" s="13">
        <f t="shared" si="11"/>
        <v>0.71178024781341087</v>
      </c>
      <c r="J150" s="13">
        <f t="shared" si="11"/>
        <v>0.63551807840483121</v>
      </c>
      <c r="K150" s="13">
        <f t="shared" si="11"/>
        <v>0.56742685571859919</v>
      </c>
      <c r="L150" s="13">
        <f t="shared" si="11"/>
        <v>0.50663112117732068</v>
      </c>
      <c r="M150" s="13">
        <f t="shared" si="11"/>
        <v>0.45234921533689343</v>
      </c>
      <c r="N150" s="13">
        <f t="shared" si="11"/>
        <v>0.4038832279793691</v>
      </c>
      <c r="O150" s="13">
        <f t="shared" si="11"/>
        <v>0.36061002498157957</v>
      </c>
      <c r="P150" s="15"/>
    </row>
    <row r="151" spans="2:24" x14ac:dyDescent="0.3">
      <c r="B151" s="1" t="s">
        <v>214</v>
      </c>
      <c r="C151" s="105">
        <f>SUM(G151:O151)</f>
        <v>1159.8474937546048</v>
      </c>
      <c r="E151" s="6" t="s">
        <v>39</v>
      </c>
      <c r="F151" s="81"/>
      <c r="G151" s="93">
        <f t="shared" ref="G151:O151" si="12">G150*G149</f>
        <v>133.92857142857142</v>
      </c>
      <c r="H151" s="93">
        <f t="shared" si="12"/>
        <v>119.57908163265304</v>
      </c>
      <c r="I151" s="93">
        <f t="shared" si="12"/>
        <v>106.76703717201163</v>
      </c>
      <c r="J151" s="93">
        <f t="shared" si="12"/>
        <v>95.327711760724682</v>
      </c>
      <c r="K151" s="93">
        <f t="shared" si="12"/>
        <v>85.114028357789877</v>
      </c>
      <c r="L151" s="93">
        <f t="shared" si="12"/>
        <v>75.994668176598097</v>
      </c>
      <c r="M151" s="93">
        <f t="shared" si="12"/>
        <v>67.852382300534018</v>
      </c>
      <c r="N151" s="93">
        <f t="shared" si="12"/>
        <v>60.582484196905362</v>
      </c>
      <c r="O151" s="93">
        <f t="shared" si="12"/>
        <v>414.70152872881653</v>
      </c>
      <c r="P151" s="87"/>
    </row>
    <row r="152" spans="2:24" x14ac:dyDescent="0.3">
      <c r="B152" s="66"/>
      <c r="C152" s="90"/>
    </row>
    <row r="153" spans="2:24" x14ac:dyDescent="0.3">
      <c r="E153" s="1" t="s">
        <v>213</v>
      </c>
    </row>
    <row r="154" spans="2:24" x14ac:dyDescent="0.3">
      <c r="E154" s="6" t="s">
        <v>16</v>
      </c>
      <c r="F154" s="33">
        <v>0</v>
      </c>
      <c r="G154" s="33">
        <v>1</v>
      </c>
      <c r="H154" s="33">
        <v>2</v>
      </c>
      <c r="I154" s="33">
        <v>3</v>
      </c>
      <c r="J154" s="33">
        <v>4</v>
      </c>
      <c r="K154" s="33">
        <v>5</v>
      </c>
      <c r="L154" s="33">
        <v>6</v>
      </c>
      <c r="M154" s="33">
        <v>7</v>
      </c>
      <c r="N154" s="33">
        <v>8</v>
      </c>
      <c r="O154" s="33">
        <v>9</v>
      </c>
      <c r="P154" s="33">
        <v>10</v>
      </c>
      <c r="Q154" s="33">
        <v>11</v>
      </c>
      <c r="R154" s="33">
        <v>12</v>
      </c>
      <c r="S154" s="33">
        <v>13</v>
      </c>
      <c r="T154" s="33">
        <v>14</v>
      </c>
      <c r="U154" s="33">
        <v>15</v>
      </c>
      <c r="V154" s="33">
        <v>16</v>
      </c>
      <c r="W154" s="33">
        <v>17</v>
      </c>
      <c r="X154" s="33">
        <v>18</v>
      </c>
    </row>
    <row r="155" spans="2:24" x14ac:dyDescent="0.3">
      <c r="E155" s="6" t="s">
        <v>17</v>
      </c>
      <c r="F155" s="82"/>
      <c r="G155" s="11">
        <f t="shared" ref="G155:W155" si="13">$C$145</f>
        <v>75</v>
      </c>
      <c r="H155" s="11">
        <f t="shared" si="13"/>
        <v>75</v>
      </c>
      <c r="I155" s="11">
        <f t="shared" si="13"/>
        <v>75</v>
      </c>
      <c r="J155" s="11">
        <f t="shared" si="13"/>
        <v>75</v>
      </c>
      <c r="K155" s="11">
        <f t="shared" si="13"/>
        <v>75</v>
      </c>
      <c r="L155" s="11">
        <f t="shared" si="13"/>
        <v>75</v>
      </c>
      <c r="M155" s="11">
        <f t="shared" si="13"/>
        <v>75</v>
      </c>
      <c r="N155" s="11">
        <f t="shared" si="13"/>
        <v>75</v>
      </c>
      <c r="O155" s="11">
        <f t="shared" si="13"/>
        <v>75</v>
      </c>
      <c r="P155" s="11">
        <f t="shared" si="13"/>
        <v>75</v>
      </c>
      <c r="Q155" s="11">
        <f t="shared" si="13"/>
        <v>75</v>
      </c>
      <c r="R155" s="11">
        <f t="shared" si="13"/>
        <v>75</v>
      </c>
      <c r="S155" s="11">
        <f t="shared" si="13"/>
        <v>75</v>
      </c>
      <c r="T155" s="11">
        <f t="shared" si="13"/>
        <v>75</v>
      </c>
      <c r="U155" s="11">
        <f t="shared" si="13"/>
        <v>75</v>
      </c>
      <c r="V155" s="11">
        <f t="shared" si="13"/>
        <v>75</v>
      </c>
      <c r="W155" s="11">
        <f t="shared" si="13"/>
        <v>75</v>
      </c>
      <c r="X155" s="11">
        <f>$C$145+C132</f>
        <v>1075</v>
      </c>
    </row>
    <row r="156" spans="2:24" x14ac:dyDescent="0.3">
      <c r="E156" s="6" t="s">
        <v>38</v>
      </c>
      <c r="F156" s="94">
        <f t="shared" ref="F156:X156" si="14">1/(1+$C$136/2)^F154</f>
        <v>1</v>
      </c>
      <c r="G156" s="13">
        <f t="shared" si="14"/>
        <v>0.94339622641509424</v>
      </c>
      <c r="H156" s="13">
        <f t="shared" si="14"/>
        <v>0.88999644001423983</v>
      </c>
      <c r="I156" s="13">
        <f t="shared" si="14"/>
        <v>0.8396192830323016</v>
      </c>
      <c r="J156" s="13">
        <f t="shared" si="14"/>
        <v>0.79209366323802044</v>
      </c>
      <c r="K156" s="13">
        <f t="shared" si="14"/>
        <v>0.74725817286605689</v>
      </c>
      <c r="L156" s="13">
        <f t="shared" si="14"/>
        <v>0.70496054043967626</v>
      </c>
      <c r="M156" s="13">
        <f t="shared" si="14"/>
        <v>0.66505711362233599</v>
      </c>
      <c r="N156" s="13">
        <f t="shared" si="14"/>
        <v>0.62741237134182648</v>
      </c>
      <c r="O156" s="13">
        <f t="shared" si="14"/>
        <v>0.59189846353002495</v>
      </c>
      <c r="P156" s="13">
        <f t="shared" si="14"/>
        <v>0.55839477691511785</v>
      </c>
      <c r="Q156" s="13">
        <f t="shared" si="14"/>
        <v>0.52678752539162055</v>
      </c>
      <c r="R156" s="13">
        <f t="shared" si="14"/>
        <v>0.4969693635770005</v>
      </c>
      <c r="S156" s="13">
        <f t="shared" si="14"/>
        <v>0.46883902224245327</v>
      </c>
      <c r="T156" s="13">
        <f t="shared" si="14"/>
        <v>0.44230096437967292</v>
      </c>
      <c r="U156" s="13">
        <f t="shared" si="14"/>
        <v>0.41726506073554037</v>
      </c>
      <c r="V156" s="13">
        <f t="shared" si="14"/>
        <v>0.39364628371277405</v>
      </c>
      <c r="W156" s="13">
        <f t="shared" si="14"/>
        <v>0.37136441859695657</v>
      </c>
      <c r="X156" s="13">
        <f t="shared" si="14"/>
        <v>0.35034379112920433</v>
      </c>
    </row>
    <row r="157" spans="2:24" x14ac:dyDescent="0.3">
      <c r="B157" s="1" t="s">
        <v>212</v>
      </c>
      <c r="C157" s="105">
        <f>SUM(G157:X157)</f>
        <v>1162.4140522176981</v>
      </c>
      <c r="E157" s="6" t="s">
        <v>39</v>
      </c>
      <c r="F157" s="81"/>
      <c r="G157" s="93">
        <f t="shared" ref="G157:X157" si="15">G156*G155</f>
        <v>70.754716981132063</v>
      </c>
      <c r="H157" s="93">
        <f t="shared" si="15"/>
        <v>66.74973300106798</v>
      </c>
      <c r="I157" s="93">
        <f t="shared" si="15"/>
        <v>62.971446227422618</v>
      </c>
      <c r="J157" s="93">
        <f t="shared" si="15"/>
        <v>59.407024742851533</v>
      </c>
      <c r="K157" s="93">
        <f t="shared" si="15"/>
        <v>56.044362964954267</v>
      </c>
      <c r="L157" s="93">
        <f t="shared" si="15"/>
        <v>52.872040532975717</v>
      </c>
      <c r="M157" s="93">
        <f t="shared" si="15"/>
        <v>49.879283521675198</v>
      </c>
      <c r="N157" s="93">
        <f t="shared" si="15"/>
        <v>47.055927850636984</v>
      </c>
      <c r="O157" s="93">
        <f t="shared" si="15"/>
        <v>44.392384764751874</v>
      </c>
      <c r="P157" s="93">
        <f t="shared" si="15"/>
        <v>41.879608268633838</v>
      </c>
      <c r="Q157" s="93">
        <f t="shared" si="15"/>
        <v>39.509064404371543</v>
      </c>
      <c r="R157" s="93">
        <f t="shared" si="15"/>
        <v>37.27270226827504</v>
      </c>
      <c r="S157" s="93">
        <f t="shared" si="15"/>
        <v>35.162926668183992</v>
      </c>
      <c r="T157" s="93">
        <f t="shared" si="15"/>
        <v>33.172572328475468</v>
      </c>
      <c r="U157" s="93">
        <f t="shared" si="15"/>
        <v>31.294879555165529</v>
      </c>
      <c r="V157" s="93">
        <f t="shared" si="15"/>
        <v>29.523471278458054</v>
      </c>
      <c r="W157" s="93">
        <f t="shared" si="15"/>
        <v>27.852331394771742</v>
      </c>
      <c r="X157" s="93">
        <f t="shared" si="15"/>
        <v>376.61957546389465</v>
      </c>
    </row>
    <row r="160" spans="2:24" x14ac:dyDescent="0.3">
      <c r="E160" s="1" t="s">
        <v>216</v>
      </c>
    </row>
    <row r="161" spans="2:24" x14ac:dyDescent="0.3">
      <c r="B161" s="31" t="s">
        <v>215</v>
      </c>
      <c r="E161" s="6" t="s">
        <v>6</v>
      </c>
      <c r="F161" s="33">
        <v>0</v>
      </c>
      <c r="G161" s="33">
        <v>1</v>
      </c>
      <c r="H161" s="33">
        <v>2</v>
      </c>
      <c r="I161" s="33">
        <v>3</v>
      </c>
      <c r="J161" s="33">
        <v>4</v>
      </c>
      <c r="K161" s="33">
        <v>5</v>
      </c>
      <c r="L161" s="33">
        <v>6</v>
      </c>
      <c r="M161" s="33">
        <v>7</v>
      </c>
      <c r="N161" s="33">
        <v>8</v>
      </c>
      <c r="O161" s="33">
        <v>9</v>
      </c>
      <c r="P161" s="8"/>
    </row>
    <row r="162" spans="2:24" x14ac:dyDescent="0.3">
      <c r="B162" s="107"/>
      <c r="C162" s="106"/>
      <c r="E162" s="6" t="s">
        <v>17</v>
      </c>
      <c r="F162" s="82"/>
      <c r="G162" s="11">
        <f t="shared" ref="G162:N162" si="16">$C$144</f>
        <v>150</v>
      </c>
      <c r="H162" s="11">
        <f t="shared" si="16"/>
        <v>150</v>
      </c>
      <c r="I162" s="11">
        <f t="shared" si="16"/>
        <v>150</v>
      </c>
      <c r="J162" s="11">
        <f t="shared" si="16"/>
        <v>150</v>
      </c>
      <c r="K162" s="11">
        <f t="shared" si="16"/>
        <v>150</v>
      </c>
      <c r="L162" s="11">
        <f t="shared" si="16"/>
        <v>150</v>
      </c>
      <c r="M162" s="11">
        <f t="shared" si="16"/>
        <v>150</v>
      </c>
      <c r="N162" s="11">
        <f t="shared" si="16"/>
        <v>150</v>
      </c>
      <c r="O162" s="11">
        <f>$C$144+C132</f>
        <v>1150</v>
      </c>
      <c r="P162" s="16"/>
    </row>
    <row r="163" spans="2:24" x14ac:dyDescent="0.3">
      <c r="E163" s="6" t="s">
        <v>38</v>
      </c>
      <c r="F163" s="94">
        <f t="shared" ref="F163:O163" si="17">1/(1+$C$137)^F161</f>
        <v>1</v>
      </c>
      <c r="G163" s="13">
        <f t="shared" si="17"/>
        <v>0.85470085470085477</v>
      </c>
      <c r="H163" s="13">
        <f t="shared" si="17"/>
        <v>0.73051355102637161</v>
      </c>
      <c r="I163" s="13">
        <f t="shared" si="17"/>
        <v>0.62437055643279626</v>
      </c>
      <c r="J163" s="13">
        <f t="shared" si="17"/>
        <v>0.53365004823315931</v>
      </c>
      <c r="K163" s="13">
        <f t="shared" si="17"/>
        <v>0.45611115233603361</v>
      </c>
      <c r="L163" s="13">
        <f t="shared" si="17"/>
        <v>0.38983859174019969</v>
      </c>
      <c r="M163" s="13">
        <f t="shared" si="17"/>
        <v>0.33319537755572626</v>
      </c>
      <c r="N163" s="13">
        <f t="shared" si="17"/>
        <v>0.28478237397925327</v>
      </c>
      <c r="O163" s="13">
        <f t="shared" si="17"/>
        <v>0.24340373844380622</v>
      </c>
      <c r="P163" s="15"/>
    </row>
    <row r="164" spans="2:24" x14ac:dyDescent="0.3">
      <c r="B164" s="1" t="s">
        <v>214</v>
      </c>
      <c r="C164" s="105">
        <f>SUM(G164:O164)</f>
        <v>910.98867511103651</v>
      </c>
      <c r="E164" s="6" t="s">
        <v>39</v>
      </c>
      <c r="F164" s="81"/>
      <c r="G164" s="93">
        <f t="shared" ref="G164:O164" si="18">G163*G162</f>
        <v>128.2051282051282</v>
      </c>
      <c r="H164" s="93">
        <f t="shared" si="18"/>
        <v>109.57703265395574</v>
      </c>
      <c r="I164" s="93">
        <f t="shared" si="18"/>
        <v>93.655583464919445</v>
      </c>
      <c r="J164" s="93">
        <f t="shared" si="18"/>
        <v>80.047507234973892</v>
      </c>
      <c r="K164" s="93">
        <f t="shared" si="18"/>
        <v>68.416672850405035</v>
      </c>
      <c r="L164" s="93">
        <f t="shared" si="18"/>
        <v>58.475788761029953</v>
      </c>
      <c r="M164" s="93">
        <f t="shared" si="18"/>
        <v>49.979306633358938</v>
      </c>
      <c r="N164" s="93">
        <f t="shared" si="18"/>
        <v>42.71735609688799</v>
      </c>
      <c r="O164" s="93">
        <f t="shared" si="18"/>
        <v>279.91429921037718</v>
      </c>
      <c r="P164" s="87"/>
    </row>
    <row r="165" spans="2:24" x14ac:dyDescent="0.3">
      <c r="B165" s="66"/>
      <c r="C165" s="21"/>
    </row>
    <row r="166" spans="2:24" x14ac:dyDescent="0.3">
      <c r="C166" s="22"/>
      <c r="E166" s="1" t="s">
        <v>213</v>
      </c>
    </row>
    <row r="167" spans="2:24" x14ac:dyDescent="0.3">
      <c r="E167" s="6" t="s">
        <v>16</v>
      </c>
      <c r="F167" s="33">
        <v>0</v>
      </c>
      <c r="G167" s="33">
        <v>1</v>
      </c>
      <c r="H167" s="33">
        <v>2</v>
      </c>
      <c r="I167" s="33">
        <v>3</v>
      </c>
      <c r="J167" s="33">
        <v>4</v>
      </c>
      <c r="K167" s="33">
        <v>5</v>
      </c>
      <c r="L167" s="33">
        <v>6</v>
      </c>
      <c r="M167" s="33">
        <v>7</v>
      </c>
      <c r="N167" s="33">
        <v>8</v>
      </c>
      <c r="O167" s="33">
        <v>9</v>
      </c>
      <c r="P167" s="33">
        <v>10</v>
      </c>
      <c r="Q167" s="33">
        <v>11</v>
      </c>
      <c r="R167" s="33">
        <v>12</v>
      </c>
      <c r="S167" s="33">
        <v>13</v>
      </c>
      <c r="T167" s="33">
        <v>14</v>
      </c>
      <c r="U167" s="33">
        <v>15</v>
      </c>
      <c r="V167" s="33">
        <v>16</v>
      </c>
      <c r="W167" s="33">
        <v>17</v>
      </c>
      <c r="X167" s="33">
        <v>18</v>
      </c>
    </row>
    <row r="168" spans="2:24" x14ac:dyDescent="0.3">
      <c r="E168" s="6" t="s">
        <v>17</v>
      </c>
      <c r="F168" s="82"/>
      <c r="G168" s="11">
        <f t="shared" ref="G168:W168" si="19">$C$145</f>
        <v>75</v>
      </c>
      <c r="H168" s="11">
        <f t="shared" si="19"/>
        <v>75</v>
      </c>
      <c r="I168" s="11">
        <f t="shared" si="19"/>
        <v>75</v>
      </c>
      <c r="J168" s="11">
        <f t="shared" si="19"/>
        <v>75</v>
      </c>
      <c r="K168" s="11">
        <f t="shared" si="19"/>
        <v>75</v>
      </c>
      <c r="L168" s="11">
        <f t="shared" si="19"/>
        <v>75</v>
      </c>
      <c r="M168" s="11">
        <f t="shared" si="19"/>
        <v>75</v>
      </c>
      <c r="N168" s="11">
        <f t="shared" si="19"/>
        <v>75</v>
      </c>
      <c r="O168" s="11">
        <f t="shared" si="19"/>
        <v>75</v>
      </c>
      <c r="P168" s="11">
        <f t="shared" si="19"/>
        <v>75</v>
      </c>
      <c r="Q168" s="11">
        <f t="shared" si="19"/>
        <v>75</v>
      </c>
      <c r="R168" s="11">
        <f t="shared" si="19"/>
        <v>75</v>
      </c>
      <c r="S168" s="11">
        <f t="shared" si="19"/>
        <v>75</v>
      </c>
      <c r="T168" s="11">
        <f t="shared" si="19"/>
        <v>75</v>
      </c>
      <c r="U168" s="11">
        <f t="shared" si="19"/>
        <v>75</v>
      </c>
      <c r="V168" s="11">
        <f t="shared" si="19"/>
        <v>75</v>
      </c>
      <c r="W168" s="11">
        <f t="shared" si="19"/>
        <v>75</v>
      </c>
      <c r="X168" s="11">
        <f>$C$145+C132</f>
        <v>1075</v>
      </c>
    </row>
    <row r="169" spans="2:24" x14ac:dyDescent="0.3">
      <c r="C169" s="22"/>
      <c r="E169" s="6" t="s">
        <v>38</v>
      </c>
      <c r="F169" s="94">
        <f t="shared" ref="F169:X169" si="20">1/(1+$C$137/2)^F167</f>
        <v>1</v>
      </c>
      <c r="G169" s="13">
        <f t="shared" si="20"/>
        <v>0.92165898617511521</v>
      </c>
      <c r="H169" s="13">
        <f t="shared" si="20"/>
        <v>0.84945528679734128</v>
      </c>
      <c r="I169" s="13">
        <f t="shared" si="20"/>
        <v>0.78290809843072917</v>
      </c>
      <c r="J169" s="13">
        <f t="shared" si="20"/>
        <v>0.72157428426795334</v>
      </c>
      <c r="K169" s="13">
        <f t="shared" si="20"/>
        <v>0.66504542328843619</v>
      </c>
      <c r="L169" s="13">
        <f t="shared" si="20"/>
        <v>0.6129450905884205</v>
      </c>
      <c r="M169" s="13">
        <f t="shared" si="20"/>
        <v>0.56492635077273778</v>
      </c>
      <c r="N169" s="13">
        <f t="shared" si="20"/>
        <v>0.52066944771680901</v>
      </c>
      <c r="O169" s="13">
        <f t="shared" si="20"/>
        <v>0.4798796753150314</v>
      </c>
      <c r="P169" s="13">
        <f t="shared" si="20"/>
        <v>0.44228541503689528</v>
      </c>
      <c r="Q169" s="13">
        <f t="shared" si="20"/>
        <v>0.40763632722294496</v>
      </c>
      <c r="R169" s="13">
        <f t="shared" si="20"/>
        <v>0.37570168407644705</v>
      </c>
      <c r="S169" s="13">
        <f t="shared" si="20"/>
        <v>0.3462688332501816</v>
      </c>
      <c r="T169" s="13">
        <f t="shared" si="20"/>
        <v>0.31914178179740244</v>
      </c>
      <c r="U169" s="13">
        <f t="shared" si="20"/>
        <v>0.2941398910575137</v>
      </c>
      <c r="V169" s="13">
        <f t="shared" si="20"/>
        <v>0.27109667378572694</v>
      </c>
      <c r="W169" s="13">
        <f t="shared" si="20"/>
        <v>0.24985868551679907</v>
      </c>
      <c r="X169" s="13">
        <f t="shared" si="20"/>
        <v>0.23028450278045995</v>
      </c>
    </row>
    <row r="170" spans="2:24" x14ac:dyDescent="0.3">
      <c r="B170" s="1" t="s">
        <v>212</v>
      </c>
      <c r="C170" s="105">
        <f>SUM(G170:X170)</f>
        <v>909.44523562123072</v>
      </c>
      <c r="E170" s="6" t="s">
        <v>39</v>
      </c>
      <c r="F170" s="81"/>
      <c r="G170" s="93">
        <f t="shared" ref="G170:X170" si="21">G169*G168</f>
        <v>69.124423963133637</v>
      </c>
      <c r="H170" s="93">
        <f t="shared" si="21"/>
        <v>63.709146509800597</v>
      </c>
      <c r="I170" s="93">
        <f t="shared" si="21"/>
        <v>58.718107382304687</v>
      </c>
      <c r="J170" s="93">
        <f t="shared" si="21"/>
        <v>54.118071320096497</v>
      </c>
      <c r="K170" s="93">
        <f t="shared" si="21"/>
        <v>49.878406746632713</v>
      </c>
      <c r="L170" s="93">
        <f t="shared" si="21"/>
        <v>45.970881794131536</v>
      </c>
      <c r="M170" s="93">
        <f t="shared" si="21"/>
        <v>42.369476307955331</v>
      </c>
      <c r="N170" s="93">
        <f t="shared" si="21"/>
        <v>39.050208578760675</v>
      </c>
      <c r="O170" s="93">
        <f t="shared" si="21"/>
        <v>35.990975648627355</v>
      </c>
      <c r="P170" s="93">
        <f t="shared" si="21"/>
        <v>33.171406127767149</v>
      </c>
      <c r="Q170" s="93">
        <f t="shared" si="21"/>
        <v>30.572724541720874</v>
      </c>
      <c r="R170" s="93">
        <f t="shared" si="21"/>
        <v>28.177626305733529</v>
      </c>
      <c r="S170" s="93">
        <f t="shared" si="21"/>
        <v>25.97016249376362</v>
      </c>
      <c r="T170" s="93">
        <f t="shared" si="21"/>
        <v>23.935633634805182</v>
      </c>
      <c r="U170" s="93">
        <f t="shared" si="21"/>
        <v>22.060491829313527</v>
      </c>
      <c r="V170" s="93">
        <f t="shared" si="21"/>
        <v>20.332250533929521</v>
      </c>
      <c r="W170" s="93">
        <f t="shared" si="21"/>
        <v>18.739401413759932</v>
      </c>
      <c r="X170" s="93">
        <f t="shared" si="21"/>
        <v>247.55584048899445</v>
      </c>
    </row>
    <row r="173" spans="2:24" x14ac:dyDescent="0.3">
      <c r="B173" s="1" t="s">
        <v>211</v>
      </c>
      <c r="C173" s="5">
        <f>C151-C164</f>
        <v>248.85881864356827</v>
      </c>
      <c r="G173" s="8"/>
      <c r="H173" s="8"/>
      <c r="I173" s="8"/>
      <c r="J173" s="8"/>
    </row>
    <row r="174" spans="2:24" x14ac:dyDescent="0.3">
      <c r="B174" s="1" t="s">
        <v>210</v>
      </c>
      <c r="C174" s="5">
        <f>C157-C170</f>
        <v>252.96881659646738</v>
      </c>
      <c r="G174" s="16"/>
      <c r="H174" s="16"/>
      <c r="I174" s="16"/>
      <c r="J174" s="16"/>
    </row>
    <row r="175" spans="2:24" x14ac:dyDescent="0.3">
      <c r="G175" s="15"/>
      <c r="H175" s="15"/>
      <c r="I175" s="15"/>
      <c r="J175" s="89"/>
    </row>
    <row r="176" spans="2:24" x14ac:dyDescent="0.3">
      <c r="G176" s="16"/>
      <c r="H176" s="16"/>
      <c r="I176" s="16"/>
      <c r="J176" s="16"/>
    </row>
    <row r="178" spans="1:4" x14ac:dyDescent="0.3">
      <c r="A178" s="83" t="s">
        <v>209</v>
      </c>
      <c r="B178" s="1" t="s">
        <v>208</v>
      </c>
    </row>
    <row r="179" spans="1:4" x14ac:dyDescent="0.3">
      <c r="B179" s="66" t="s">
        <v>207</v>
      </c>
    </row>
    <row r="181" spans="1:4" x14ac:dyDescent="0.3">
      <c r="B181" s="3" t="s">
        <v>4</v>
      </c>
      <c r="C181" s="21"/>
      <c r="D181" s="22"/>
    </row>
    <row r="182" spans="1:4" x14ac:dyDescent="0.3">
      <c r="B182" s="1" t="s">
        <v>8</v>
      </c>
      <c r="C182" s="100">
        <v>1000</v>
      </c>
    </row>
    <row r="183" spans="1:4" x14ac:dyDescent="0.3">
      <c r="B183" s="1" t="s">
        <v>70</v>
      </c>
      <c r="C183" s="92">
        <v>7.0000000000000007E-2</v>
      </c>
      <c r="D183" s="23"/>
    </row>
    <row r="184" spans="1:4" x14ac:dyDescent="0.3">
      <c r="B184" s="1" t="s">
        <v>71</v>
      </c>
      <c r="C184" s="4">
        <v>0.08</v>
      </c>
    </row>
    <row r="185" spans="1:4" x14ac:dyDescent="0.3">
      <c r="B185" s="24" t="s">
        <v>5</v>
      </c>
      <c r="C185" s="25">
        <v>8</v>
      </c>
      <c r="D185" s="1" t="s">
        <v>6</v>
      </c>
    </row>
    <row r="187" spans="1:4" x14ac:dyDescent="0.3">
      <c r="B187" s="1" t="s">
        <v>206</v>
      </c>
      <c r="C187" s="4"/>
      <c r="D187" s="24"/>
    </row>
    <row r="188" spans="1:4" x14ac:dyDescent="0.3">
      <c r="C188" s="4"/>
      <c r="D188" s="24"/>
    </row>
    <row r="189" spans="1:4" x14ac:dyDescent="0.3">
      <c r="B189" s="26" t="s">
        <v>15</v>
      </c>
      <c r="C189" s="22"/>
    </row>
    <row r="190" spans="1:4" x14ac:dyDescent="0.3">
      <c r="B190" s="26"/>
      <c r="C190" s="22"/>
      <c r="D190" s="22"/>
    </row>
    <row r="191" spans="1:4" x14ac:dyDescent="0.3">
      <c r="B191" s="1" t="s">
        <v>70</v>
      </c>
      <c r="C191" s="98">
        <f>C183*C182</f>
        <v>70</v>
      </c>
    </row>
    <row r="195" spans="1:14" x14ac:dyDescent="0.3">
      <c r="B195" s="27" t="s">
        <v>76</v>
      </c>
      <c r="C195" s="104">
        <f>F201/F202</f>
        <v>6.3348856946941634</v>
      </c>
      <c r="D195" s="3" t="s">
        <v>6</v>
      </c>
      <c r="E195" s="6" t="s">
        <v>6</v>
      </c>
      <c r="F195" s="33">
        <v>0</v>
      </c>
      <c r="G195" s="33">
        <v>1</v>
      </c>
      <c r="H195" s="33">
        <v>2</v>
      </c>
      <c r="I195" s="33">
        <v>3</v>
      </c>
      <c r="J195" s="33">
        <v>4</v>
      </c>
      <c r="K195" s="33">
        <v>5</v>
      </c>
      <c r="L195" s="33">
        <v>6</v>
      </c>
      <c r="M195" s="33">
        <v>7</v>
      </c>
      <c r="N195" s="33">
        <v>8</v>
      </c>
    </row>
    <row r="196" spans="1:14" x14ac:dyDescent="0.3">
      <c r="B196" s="10"/>
      <c r="C196" s="10"/>
      <c r="D196" s="3"/>
      <c r="E196" s="6" t="s">
        <v>17</v>
      </c>
      <c r="F196" s="82"/>
      <c r="G196" s="99">
        <f t="shared" ref="G196:M196" si="22">$C$191</f>
        <v>70</v>
      </c>
      <c r="H196" s="99">
        <f t="shared" si="22"/>
        <v>70</v>
      </c>
      <c r="I196" s="99">
        <f t="shared" si="22"/>
        <v>70</v>
      </c>
      <c r="J196" s="99">
        <f t="shared" si="22"/>
        <v>70</v>
      </c>
      <c r="K196" s="99">
        <f t="shared" si="22"/>
        <v>70</v>
      </c>
      <c r="L196" s="99">
        <f t="shared" si="22"/>
        <v>70</v>
      </c>
      <c r="M196" s="99">
        <f t="shared" si="22"/>
        <v>70</v>
      </c>
      <c r="N196" s="99">
        <f>$C$191+C182</f>
        <v>1070</v>
      </c>
    </row>
    <row r="197" spans="1:14" x14ac:dyDescent="0.3">
      <c r="B197" s="10"/>
      <c r="C197" s="10"/>
      <c r="D197" s="3"/>
      <c r="E197" s="6" t="s">
        <v>38</v>
      </c>
      <c r="F197" s="94">
        <f t="shared" ref="F197:N197" si="23">1/(1+$C$184)^F195</f>
        <v>1</v>
      </c>
      <c r="G197" s="13">
        <f t="shared" si="23"/>
        <v>0.92592592592592582</v>
      </c>
      <c r="H197" s="13">
        <f t="shared" si="23"/>
        <v>0.85733882030178321</v>
      </c>
      <c r="I197" s="13">
        <f t="shared" si="23"/>
        <v>0.79383224102016958</v>
      </c>
      <c r="J197" s="13">
        <f t="shared" si="23"/>
        <v>0.73502985279645328</v>
      </c>
      <c r="K197" s="13">
        <f t="shared" si="23"/>
        <v>0.68058319703375303</v>
      </c>
      <c r="L197" s="13">
        <f t="shared" si="23"/>
        <v>0.63016962688310452</v>
      </c>
      <c r="M197" s="13">
        <f t="shared" si="23"/>
        <v>0.58349039526213387</v>
      </c>
      <c r="N197" s="13">
        <f t="shared" si="23"/>
        <v>0.54026888450197574</v>
      </c>
    </row>
    <row r="198" spans="1:14" x14ac:dyDescent="0.3">
      <c r="B198" s="10"/>
      <c r="C198" s="10"/>
      <c r="D198" s="3"/>
      <c r="E198" s="6" t="s">
        <v>39</v>
      </c>
      <c r="F198" s="81"/>
      <c r="G198" s="103">
        <f t="shared" ref="G198:N198" si="24">G197*G196</f>
        <v>64.81481481481481</v>
      </c>
      <c r="H198" s="103">
        <f t="shared" si="24"/>
        <v>60.013717421124824</v>
      </c>
      <c r="I198" s="103">
        <f t="shared" si="24"/>
        <v>55.568256871411869</v>
      </c>
      <c r="J198" s="103">
        <f t="shared" si="24"/>
        <v>51.452089695751731</v>
      </c>
      <c r="K198" s="103">
        <f t="shared" si="24"/>
        <v>47.64082379236271</v>
      </c>
      <c r="L198" s="103">
        <f t="shared" si="24"/>
        <v>44.111873881817317</v>
      </c>
      <c r="M198" s="103">
        <f t="shared" si="24"/>
        <v>40.844327668349372</v>
      </c>
      <c r="N198" s="103">
        <f t="shared" si="24"/>
        <v>578.08770641711408</v>
      </c>
    </row>
    <row r="199" spans="1:14" x14ac:dyDescent="0.3">
      <c r="B199" s="10"/>
      <c r="C199" s="10"/>
      <c r="D199" s="3"/>
      <c r="E199" s="38" t="s">
        <v>73</v>
      </c>
      <c r="F199" s="6"/>
      <c r="G199" s="99">
        <f t="shared" ref="G199:N199" si="25">G198*G195</f>
        <v>64.81481481481481</v>
      </c>
      <c r="H199" s="99">
        <f t="shared" si="25"/>
        <v>120.02743484224965</v>
      </c>
      <c r="I199" s="99">
        <f t="shared" si="25"/>
        <v>166.7047706142356</v>
      </c>
      <c r="J199" s="99">
        <f t="shared" si="25"/>
        <v>205.80835878300692</v>
      </c>
      <c r="K199" s="99">
        <f t="shared" si="25"/>
        <v>238.20411896181355</v>
      </c>
      <c r="L199" s="99">
        <f t="shared" si="25"/>
        <v>264.67124329090393</v>
      </c>
      <c r="M199" s="99">
        <f t="shared" si="25"/>
        <v>285.91029367844561</v>
      </c>
      <c r="N199" s="99">
        <f t="shared" si="25"/>
        <v>4624.7016513369126</v>
      </c>
    </row>
    <row r="200" spans="1:14" x14ac:dyDescent="0.3">
      <c r="B200" s="10"/>
      <c r="C200" s="10"/>
    </row>
    <row r="201" spans="1:14" x14ac:dyDescent="0.3">
      <c r="B201" s="10"/>
      <c r="C201" s="10"/>
      <c r="E201" s="39" t="s">
        <v>74</v>
      </c>
      <c r="F201" s="40">
        <f>SUM(G199:N199)</f>
        <v>5970.8426863223831</v>
      </c>
      <c r="G201" s="10"/>
      <c r="H201" s="10"/>
      <c r="I201" s="10"/>
      <c r="J201" s="10"/>
    </row>
    <row r="202" spans="1:14" x14ac:dyDescent="0.3">
      <c r="C202" s="102"/>
      <c r="E202" s="39" t="s">
        <v>75</v>
      </c>
      <c r="F202" s="40">
        <f>SUM(G198:N198)</f>
        <v>942.53361056274662</v>
      </c>
      <c r="G202" s="10"/>
      <c r="H202" s="10"/>
      <c r="I202" s="10"/>
      <c r="J202" s="10"/>
    </row>
    <row r="203" spans="1:14" ht="23.25" x14ac:dyDescent="0.35">
      <c r="B203" s="32"/>
      <c r="C203" s="22"/>
      <c r="L203" s="8"/>
      <c r="M203" s="8"/>
      <c r="N203" s="101"/>
    </row>
    <row r="204" spans="1:14" ht="23.25" x14ac:dyDescent="0.35">
      <c r="L204" s="8"/>
      <c r="M204" s="8"/>
      <c r="N204" s="101"/>
    </row>
    <row r="205" spans="1:14" ht="23.25" x14ac:dyDescent="0.35">
      <c r="A205" s="83" t="s">
        <v>205</v>
      </c>
      <c r="B205" s="1" t="s">
        <v>204</v>
      </c>
      <c r="F205" s="8"/>
      <c r="G205" s="15"/>
      <c r="H205" s="15"/>
      <c r="I205" s="15"/>
      <c r="J205" s="15"/>
      <c r="K205" s="15"/>
      <c r="L205" s="15"/>
      <c r="M205" s="15"/>
      <c r="N205" s="101"/>
    </row>
    <row r="206" spans="1:14" ht="19.5" customHeight="1" x14ac:dyDescent="0.35">
      <c r="B206" s="1" t="s">
        <v>203</v>
      </c>
      <c r="F206" s="8"/>
      <c r="G206" s="8"/>
      <c r="H206" s="8"/>
      <c r="I206" s="8"/>
      <c r="J206" s="16"/>
      <c r="K206" s="16"/>
      <c r="L206" s="16"/>
      <c r="M206" s="16"/>
      <c r="N206" s="101"/>
    </row>
    <row r="207" spans="1:14" x14ac:dyDescent="0.3">
      <c r="B207" s="66" t="s">
        <v>202</v>
      </c>
    </row>
    <row r="209" spans="2:14" x14ac:dyDescent="0.3">
      <c r="B209" s="3" t="s">
        <v>4</v>
      </c>
      <c r="C209" s="21"/>
      <c r="D209" s="22"/>
    </row>
    <row r="210" spans="2:14" x14ac:dyDescent="0.3">
      <c r="B210" s="1" t="s">
        <v>8</v>
      </c>
      <c r="C210" s="100">
        <v>1000</v>
      </c>
    </row>
    <row r="211" spans="2:14" x14ac:dyDescent="0.3">
      <c r="B211" s="1" t="s">
        <v>69</v>
      </c>
      <c r="C211" s="100">
        <v>-960</v>
      </c>
    </row>
    <row r="212" spans="2:14" x14ac:dyDescent="0.3">
      <c r="B212" s="1" t="s">
        <v>70</v>
      </c>
      <c r="C212" s="92">
        <v>7.0000000000000007E-2</v>
      </c>
      <c r="D212" s="23"/>
    </row>
    <row r="213" spans="2:14" x14ac:dyDescent="0.3">
      <c r="B213" s="1" t="s">
        <v>71</v>
      </c>
      <c r="C213" s="4">
        <v>0.08</v>
      </c>
    </row>
    <row r="214" spans="2:14" x14ac:dyDescent="0.3">
      <c r="B214" s="24" t="s">
        <v>5</v>
      </c>
      <c r="C214" s="25">
        <v>8</v>
      </c>
      <c r="D214" s="1" t="s">
        <v>6</v>
      </c>
    </row>
    <row r="216" spans="2:14" x14ac:dyDescent="0.3">
      <c r="B216" s="1" t="s">
        <v>72</v>
      </c>
      <c r="C216" s="4"/>
      <c r="D216" s="24"/>
      <c r="E216" s="6" t="s">
        <v>6</v>
      </c>
      <c r="F216" s="33">
        <v>0</v>
      </c>
      <c r="G216" s="33">
        <v>1</v>
      </c>
      <c r="H216" s="33">
        <v>2</v>
      </c>
      <c r="I216" s="33">
        <v>3</v>
      </c>
      <c r="J216" s="33">
        <v>4</v>
      </c>
      <c r="K216" s="33">
        <v>5</v>
      </c>
      <c r="L216" s="33">
        <v>6</v>
      </c>
      <c r="M216" s="33">
        <v>7</v>
      </c>
      <c r="N216" s="33">
        <v>8</v>
      </c>
    </row>
    <row r="217" spans="2:14" x14ac:dyDescent="0.3">
      <c r="C217" s="4"/>
      <c r="D217" s="24"/>
      <c r="E217" s="6" t="s">
        <v>17</v>
      </c>
      <c r="F217" s="99">
        <f>C211</f>
        <v>-960</v>
      </c>
      <c r="G217" s="99">
        <f t="shared" ref="G217:M217" si="26">$C$191</f>
        <v>70</v>
      </c>
      <c r="H217" s="99">
        <f t="shared" si="26"/>
        <v>70</v>
      </c>
      <c r="I217" s="99">
        <f t="shared" si="26"/>
        <v>70</v>
      </c>
      <c r="J217" s="99">
        <f t="shared" si="26"/>
        <v>70</v>
      </c>
      <c r="K217" s="99">
        <f t="shared" si="26"/>
        <v>70</v>
      </c>
      <c r="L217" s="99">
        <f t="shared" si="26"/>
        <v>70</v>
      </c>
      <c r="M217" s="99">
        <f t="shared" si="26"/>
        <v>70</v>
      </c>
      <c r="N217" s="99">
        <f>$C$191+C210</f>
        <v>1070</v>
      </c>
    </row>
    <row r="218" spans="2:14" x14ac:dyDescent="0.3">
      <c r="B218" s="26" t="s">
        <v>15</v>
      </c>
      <c r="C218" s="22"/>
      <c r="E218" s="1" t="s">
        <v>519</v>
      </c>
      <c r="F218" s="90">
        <f>1/(1+$C$213)^F216</f>
        <v>1</v>
      </c>
      <c r="G218" s="90">
        <f t="shared" ref="G218:N218" si="27">1/(1+$C$213)^G216</f>
        <v>0.92592592592592582</v>
      </c>
      <c r="H218" s="90">
        <f t="shared" si="27"/>
        <v>0.85733882030178321</v>
      </c>
      <c r="I218" s="90">
        <f t="shared" si="27"/>
        <v>0.79383224102016958</v>
      </c>
      <c r="J218" s="90">
        <f t="shared" si="27"/>
        <v>0.73502985279645328</v>
      </c>
      <c r="K218" s="90">
        <f t="shared" si="27"/>
        <v>0.68058319703375303</v>
      </c>
      <c r="L218" s="90">
        <f t="shared" si="27"/>
        <v>0.63016962688310452</v>
      </c>
      <c r="M218" s="90">
        <f t="shared" si="27"/>
        <v>0.58349039526213387</v>
      </c>
      <c r="N218" s="90">
        <f t="shared" si="27"/>
        <v>0.54026888450197574</v>
      </c>
    </row>
    <row r="219" spans="2:14" x14ac:dyDescent="0.3">
      <c r="B219" s="26"/>
      <c r="C219" s="22"/>
      <c r="D219" s="22"/>
      <c r="E219" s="1" t="s">
        <v>39</v>
      </c>
      <c r="G219" s="245">
        <f>G218*G217</f>
        <v>64.81481481481481</v>
      </c>
      <c r="H219" s="245">
        <f t="shared" ref="H219:N219" si="28">H218*H217</f>
        <v>60.013717421124824</v>
      </c>
      <c r="I219" s="245">
        <f t="shared" si="28"/>
        <v>55.568256871411869</v>
      </c>
      <c r="J219" s="245">
        <f t="shared" si="28"/>
        <v>51.452089695751731</v>
      </c>
      <c r="K219" s="245">
        <f t="shared" si="28"/>
        <v>47.64082379236271</v>
      </c>
      <c r="L219" s="245">
        <f t="shared" si="28"/>
        <v>44.111873881817317</v>
      </c>
      <c r="M219" s="245">
        <f t="shared" si="28"/>
        <v>40.844327668349372</v>
      </c>
      <c r="N219" s="245">
        <f t="shared" si="28"/>
        <v>578.08770641711408</v>
      </c>
    </row>
    <row r="220" spans="2:14" x14ac:dyDescent="0.3">
      <c r="B220" s="1" t="s">
        <v>70</v>
      </c>
      <c r="C220" s="98">
        <f>C212*C210</f>
        <v>70</v>
      </c>
      <c r="E220" s="1" t="s">
        <v>520</v>
      </c>
      <c r="G220" s="245">
        <f>G219*G216</f>
        <v>64.81481481481481</v>
      </c>
      <c r="H220" s="245">
        <f t="shared" ref="H220:N220" si="29">H219*H216</f>
        <v>120.02743484224965</v>
      </c>
      <c r="I220" s="245">
        <f t="shared" si="29"/>
        <v>166.7047706142356</v>
      </c>
      <c r="J220" s="245">
        <f t="shared" si="29"/>
        <v>205.80835878300692</v>
      </c>
      <c r="K220" s="245">
        <f t="shared" si="29"/>
        <v>238.20411896181355</v>
      </c>
      <c r="L220" s="245">
        <f t="shared" si="29"/>
        <v>264.67124329090393</v>
      </c>
      <c r="M220" s="245">
        <f t="shared" si="29"/>
        <v>285.91029367844561</v>
      </c>
      <c r="N220" s="245">
        <f t="shared" si="29"/>
        <v>4624.7016513369126</v>
      </c>
    </row>
    <row r="222" spans="2:14" x14ac:dyDescent="0.3">
      <c r="E222" s="1" t="s">
        <v>520</v>
      </c>
      <c r="F222" s="245">
        <f>SUM(G220:N220)</f>
        <v>5970.8426863223831</v>
      </c>
      <c r="I222" s="8"/>
    </row>
    <row r="223" spans="2:14" x14ac:dyDescent="0.3">
      <c r="B223" s="27" t="s">
        <v>76</v>
      </c>
      <c r="C223" s="28">
        <f>F222/F223</f>
        <v>6.3348856946941634</v>
      </c>
      <c r="D223" s="3" t="s">
        <v>6</v>
      </c>
      <c r="E223" s="1" t="s">
        <v>39</v>
      </c>
      <c r="F223" s="245">
        <f>SUM(G219:N219)</f>
        <v>942.53361056274662</v>
      </c>
    </row>
    <row r="224" spans="2:14" x14ac:dyDescent="0.3">
      <c r="C224" s="21"/>
    </row>
    <row r="225" spans="1:11" x14ac:dyDescent="0.3">
      <c r="B225" s="29" t="s">
        <v>18</v>
      </c>
      <c r="C225" s="30">
        <f>IRR(F217:N217)</f>
        <v>7.6878352269863282E-2</v>
      </c>
    </row>
    <row r="226" spans="1:11" x14ac:dyDescent="0.3">
      <c r="B226" s="31"/>
      <c r="F226" s="8"/>
      <c r="G226" s="8"/>
      <c r="H226" s="8"/>
      <c r="I226" s="8"/>
    </row>
    <row r="227" spans="1:11" x14ac:dyDescent="0.3">
      <c r="B227" s="32" t="s">
        <v>77</v>
      </c>
      <c r="C227" s="97">
        <f>C223/(1+C225)</f>
        <v>5.8826381655285198</v>
      </c>
      <c r="G227" s="96"/>
      <c r="H227" s="96"/>
      <c r="I227" s="96"/>
    </row>
    <row r="228" spans="1:11" x14ac:dyDescent="0.3">
      <c r="C228" s="21"/>
      <c r="F228" s="8"/>
      <c r="G228" s="8"/>
      <c r="H228" s="8"/>
      <c r="I228" s="8"/>
    </row>
    <row r="229" spans="1:11" x14ac:dyDescent="0.3">
      <c r="F229" s="8"/>
      <c r="G229" s="16"/>
      <c r="H229" s="16"/>
      <c r="I229" s="16"/>
      <c r="K229" s="5"/>
    </row>
    <row r="230" spans="1:11" x14ac:dyDescent="0.3">
      <c r="C230" s="21"/>
    </row>
    <row r="231" spans="1:11" x14ac:dyDescent="0.3">
      <c r="C231" s="95"/>
    </row>
    <row r="232" spans="1:11" x14ac:dyDescent="0.3">
      <c r="A232" s="83" t="s">
        <v>201</v>
      </c>
      <c r="B232" s="66" t="s">
        <v>200</v>
      </c>
    </row>
    <row r="233" spans="1:11" x14ac:dyDescent="0.3">
      <c r="B233" s="1" t="s">
        <v>199</v>
      </c>
    </row>
    <row r="234" spans="1:11" x14ac:dyDescent="0.3">
      <c r="B234" s="66"/>
    </row>
    <row r="235" spans="1:11" x14ac:dyDescent="0.3">
      <c r="B235" s="3" t="s">
        <v>4</v>
      </c>
      <c r="C235" s="21"/>
      <c r="D235" s="22"/>
    </row>
    <row r="236" spans="1:11" x14ac:dyDescent="0.3">
      <c r="B236" s="1" t="s">
        <v>8</v>
      </c>
      <c r="C236" s="35">
        <v>1000</v>
      </c>
    </row>
    <row r="237" spans="1:11" x14ac:dyDescent="0.3">
      <c r="B237" s="1" t="s">
        <v>69</v>
      </c>
      <c r="C237" s="35">
        <v>-930</v>
      </c>
    </row>
    <row r="238" spans="1:11" x14ac:dyDescent="0.3">
      <c r="B238" s="1" t="s">
        <v>70</v>
      </c>
      <c r="C238" s="92">
        <v>0.08</v>
      </c>
      <c r="D238" s="23"/>
    </row>
    <row r="239" spans="1:11" x14ac:dyDescent="0.3">
      <c r="B239" s="1" t="s">
        <v>71</v>
      </c>
      <c r="C239" s="4">
        <v>0.12</v>
      </c>
    </row>
    <row r="240" spans="1:11" x14ac:dyDescent="0.3">
      <c r="B240" s="24" t="s">
        <v>5</v>
      </c>
      <c r="C240" s="25">
        <v>3</v>
      </c>
      <c r="D240" s="1" t="s">
        <v>6</v>
      </c>
    </row>
    <row r="241" spans="2:18" x14ac:dyDescent="0.3">
      <c r="B241" s="1" t="s">
        <v>198</v>
      </c>
      <c r="C241" s="1">
        <v>4</v>
      </c>
      <c r="D241" s="1" t="s">
        <v>197</v>
      </c>
    </row>
    <row r="243" spans="2:18" x14ac:dyDescent="0.3">
      <c r="B243" s="1" t="s">
        <v>196</v>
      </c>
    </row>
    <row r="244" spans="2:18" x14ac:dyDescent="0.3">
      <c r="B244" s="1" t="s">
        <v>72</v>
      </c>
      <c r="C244" s="4"/>
      <c r="D244" s="24"/>
    </row>
    <row r="245" spans="2:18" x14ac:dyDescent="0.3">
      <c r="C245" s="4"/>
      <c r="D245" s="24"/>
    </row>
    <row r="246" spans="2:18" x14ac:dyDescent="0.3">
      <c r="B246" s="26" t="s">
        <v>15</v>
      </c>
      <c r="C246" s="22"/>
    </row>
    <row r="247" spans="2:18" x14ac:dyDescent="0.3">
      <c r="B247" s="26"/>
      <c r="C247" s="22"/>
      <c r="D247" s="22"/>
    </row>
    <row r="248" spans="2:18" x14ac:dyDescent="0.3">
      <c r="B248" s="1" t="s">
        <v>70</v>
      </c>
      <c r="C248" s="37">
        <f>C238*C236</f>
        <v>80</v>
      </c>
    </row>
    <row r="250" spans="2:18" x14ac:dyDescent="0.3">
      <c r="B250" s="1" t="s">
        <v>195</v>
      </c>
      <c r="C250" s="37">
        <f>C248/4</f>
        <v>20</v>
      </c>
    </row>
    <row r="251" spans="2:18" x14ac:dyDescent="0.3">
      <c r="E251" s="6" t="s">
        <v>193</v>
      </c>
      <c r="F251" s="33">
        <v>0</v>
      </c>
      <c r="G251" s="33">
        <v>1</v>
      </c>
      <c r="H251" s="33">
        <v>2</v>
      </c>
      <c r="I251" s="33">
        <v>3</v>
      </c>
      <c r="J251" s="33">
        <v>4</v>
      </c>
      <c r="K251" s="33">
        <v>5</v>
      </c>
      <c r="L251" s="33">
        <v>6</v>
      </c>
      <c r="M251" s="33">
        <v>7</v>
      </c>
      <c r="N251" s="33">
        <v>8</v>
      </c>
      <c r="O251" s="33">
        <v>9</v>
      </c>
      <c r="P251" s="33">
        <v>10</v>
      </c>
      <c r="Q251" s="33">
        <v>11</v>
      </c>
      <c r="R251" s="33">
        <v>12</v>
      </c>
    </row>
    <row r="252" spans="2:18" x14ac:dyDescent="0.3">
      <c r="E252" s="6" t="s">
        <v>17</v>
      </c>
      <c r="F252" s="82">
        <f>C237</f>
        <v>-930</v>
      </c>
      <c r="G252" s="11">
        <f t="shared" ref="G252:Q252" si="30">$C$250</f>
        <v>20</v>
      </c>
      <c r="H252" s="11">
        <f t="shared" si="30"/>
        <v>20</v>
      </c>
      <c r="I252" s="11">
        <f t="shared" si="30"/>
        <v>20</v>
      </c>
      <c r="J252" s="11">
        <f t="shared" si="30"/>
        <v>20</v>
      </c>
      <c r="K252" s="11">
        <f t="shared" si="30"/>
        <v>20</v>
      </c>
      <c r="L252" s="11">
        <f t="shared" si="30"/>
        <v>20</v>
      </c>
      <c r="M252" s="11">
        <f t="shared" si="30"/>
        <v>20</v>
      </c>
      <c r="N252" s="11">
        <f t="shared" si="30"/>
        <v>20</v>
      </c>
      <c r="O252" s="11">
        <f t="shared" si="30"/>
        <v>20</v>
      </c>
      <c r="P252" s="11">
        <f t="shared" si="30"/>
        <v>20</v>
      </c>
      <c r="Q252" s="11">
        <f t="shared" si="30"/>
        <v>20</v>
      </c>
      <c r="R252" s="11">
        <f>$C$250+C236</f>
        <v>1020</v>
      </c>
    </row>
    <row r="253" spans="2:18" x14ac:dyDescent="0.3">
      <c r="B253" s="27" t="s">
        <v>194</v>
      </c>
      <c r="C253" s="28">
        <f>F257/F258</f>
        <v>10.706308654004943</v>
      </c>
      <c r="D253" s="10" t="s">
        <v>193</v>
      </c>
      <c r="E253" s="6" t="s">
        <v>38</v>
      </c>
      <c r="F253" s="94">
        <f t="shared" ref="F253:R253" si="31">1/(1+$C$239/4)^F251</f>
        <v>1</v>
      </c>
      <c r="G253" s="13">
        <f t="shared" si="31"/>
        <v>0.970873786407767</v>
      </c>
      <c r="H253" s="13">
        <f t="shared" si="31"/>
        <v>0.94259590913375435</v>
      </c>
      <c r="I253" s="13">
        <f t="shared" si="31"/>
        <v>0.91514165935315961</v>
      </c>
      <c r="J253" s="13">
        <f t="shared" si="31"/>
        <v>0.888487047915689</v>
      </c>
      <c r="K253" s="13">
        <f t="shared" si="31"/>
        <v>0.86260878438416411</v>
      </c>
      <c r="L253" s="13">
        <f t="shared" si="31"/>
        <v>0.83748425668365445</v>
      </c>
      <c r="M253" s="13">
        <f t="shared" si="31"/>
        <v>0.81309151134335378</v>
      </c>
      <c r="N253" s="13">
        <f t="shared" si="31"/>
        <v>0.78940923431393573</v>
      </c>
      <c r="O253" s="13">
        <f t="shared" si="31"/>
        <v>0.76641673234362695</v>
      </c>
      <c r="P253" s="13">
        <f t="shared" si="31"/>
        <v>0.74409391489672516</v>
      </c>
      <c r="Q253" s="13">
        <f t="shared" si="31"/>
        <v>0.72242127659876232</v>
      </c>
      <c r="R253" s="13">
        <f t="shared" si="31"/>
        <v>0.70137988019297326</v>
      </c>
    </row>
    <row r="254" spans="2:18" x14ac:dyDescent="0.3">
      <c r="C254" s="21"/>
      <c r="E254" s="6" t="s">
        <v>39</v>
      </c>
      <c r="F254" s="81"/>
      <c r="G254" s="93">
        <f t="shared" ref="G254:R254" si="32">G253*G252</f>
        <v>19.417475728155338</v>
      </c>
      <c r="H254" s="93">
        <f t="shared" si="32"/>
        <v>18.851918182675085</v>
      </c>
      <c r="I254" s="93">
        <f t="shared" si="32"/>
        <v>18.302833187063193</v>
      </c>
      <c r="J254" s="93">
        <f t="shared" si="32"/>
        <v>17.769740958313779</v>
      </c>
      <c r="K254" s="93">
        <f t="shared" si="32"/>
        <v>17.252175687683284</v>
      </c>
      <c r="L254" s="93">
        <f t="shared" si="32"/>
        <v>16.74968513367309</v>
      </c>
      <c r="M254" s="93">
        <f t="shared" si="32"/>
        <v>16.261830226867076</v>
      </c>
      <c r="N254" s="93">
        <f t="shared" si="32"/>
        <v>15.788184686278715</v>
      </c>
      <c r="O254" s="93">
        <f t="shared" si="32"/>
        <v>15.328334646872539</v>
      </c>
      <c r="P254" s="93">
        <f t="shared" si="32"/>
        <v>14.881878297934502</v>
      </c>
      <c r="Q254" s="93">
        <f t="shared" si="32"/>
        <v>14.448425531975246</v>
      </c>
      <c r="R254" s="93">
        <f t="shared" si="32"/>
        <v>715.40747779683272</v>
      </c>
    </row>
    <row r="255" spans="2:18" x14ac:dyDescent="0.3">
      <c r="B255" s="27" t="s">
        <v>192</v>
      </c>
      <c r="C255" s="90">
        <f>C253/4</f>
        <v>2.6765771635012356</v>
      </c>
      <c r="D255" s="1" t="s">
        <v>6</v>
      </c>
      <c r="E255" s="38" t="s">
        <v>73</v>
      </c>
      <c r="F255" s="6"/>
      <c r="G255" s="11">
        <f t="shared" ref="G255:R255" si="33">G254*G251</f>
        <v>19.417475728155338</v>
      </c>
      <c r="H255" s="11">
        <f t="shared" si="33"/>
        <v>37.70383636535017</v>
      </c>
      <c r="I255" s="11">
        <f t="shared" si="33"/>
        <v>54.908499561189579</v>
      </c>
      <c r="J255" s="11">
        <f t="shared" si="33"/>
        <v>71.078963833255116</v>
      </c>
      <c r="K255" s="11">
        <f t="shared" si="33"/>
        <v>86.260878438416427</v>
      </c>
      <c r="L255" s="11">
        <f t="shared" si="33"/>
        <v>100.49811080203854</v>
      </c>
      <c r="M255" s="11">
        <f t="shared" si="33"/>
        <v>113.83281158806953</v>
      </c>
      <c r="N255" s="11">
        <f t="shared" si="33"/>
        <v>126.30547749022972</v>
      </c>
      <c r="O255" s="11">
        <f t="shared" si="33"/>
        <v>137.95501182185285</v>
      </c>
      <c r="P255" s="11">
        <f t="shared" si="33"/>
        <v>148.81878297934503</v>
      </c>
      <c r="Q255" s="11">
        <f t="shared" si="33"/>
        <v>158.9326808517277</v>
      </c>
      <c r="R255" s="11">
        <f t="shared" si="33"/>
        <v>8584.8897335619931</v>
      </c>
    </row>
    <row r="257" spans="1:10" x14ac:dyDescent="0.3">
      <c r="B257" s="29" t="s">
        <v>18</v>
      </c>
      <c r="C257" s="30">
        <f>IRR(F252:R252)</f>
        <v>2.6902966978579634E-2</v>
      </c>
      <c r="E257" s="39" t="s">
        <v>74</v>
      </c>
      <c r="F257" s="40">
        <f>SUM(G255:R255)</f>
        <v>9640.602263021623</v>
      </c>
      <c r="G257" s="10"/>
      <c r="H257" s="10"/>
      <c r="I257" s="10"/>
      <c r="J257" s="10"/>
    </row>
    <row r="258" spans="1:10" x14ac:dyDescent="0.3">
      <c r="B258" s="31"/>
      <c r="E258" s="39" t="s">
        <v>75</v>
      </c>
      <c r="F258" s="40">
        <f>SUM(G254:R254)</f>
        <v>900.4599600643246</v>
      </c>
      <c r="G258" s="10"/>
      <c r="H258" s="10"/>
      <c r="I258" s="10"/>
      <c r="J258" s="10"/>
    </row>
    <row r="259" spans="1:10" x14ac:dyDescent="0.3">
      <c r="B259" s="32" t="s">
        <v>191</v>
      </c>
      <c r="C259" s="84">
        <f>C255/(1+C257/4)</f>
        <v>2.658695464429822</v>
      </c>
    </row>
    <row r="261" spans="1:10" x14ac:dyDescent="0.3">
      <c r="C261" s="48"/>
    </row>
    <row r="262" spans="1:10" x14ac:dyDescent="0.3">
      <c r="A262" s="1">
        <v>7</v>
      </c>
      <c r="B262" s="2" t="s">
        <v>64</v>
      </c>
    </row>
    <row r="263" spans="1:10" x14ac:dyDescent="0.3">
      <c r="A263" s="1"/>
      <c r="B263" s="1" t="s">
        <v>65</v>
      </c>
    </row>
    <row r="264" spans="1:10" x14ac:dyDescent="0.3">
      <c r="A264" s="1"/>
      <c r="B264" s="1" t="s">
        <v>66</v>
      </c>
    </row>
    <row r="265" spans="1:10" x14ac:dyDescent="0.3">
      <c r="A265" s="1"/>
      <c r="B265" s="1" t="s">
        <v>67</v>
      </c>
    </row>
    <row r="266" spans="1:10" x14ac:dyDescent="0.3">
      <c r="A266" s="1"/>
      <c r="B266" s="1" t="s">
        <v>68</v>
      </c>
    </row>
    <row r="267" spans="1:10" x14ac:dyDescent="0.3">
      <c r="A267" s="1"/>
    </row>
    <row r="268" spans="1:10" x14ac:dyDescent="0.3">
      <c r="A268" s="1"/>
      <c r="B268" s="3" t="s">
        <v>4</v>
      </c>
      <c r="C268" s="21"/>
      <c r="D268" s="22"/>
    </row>
    <row r="269" spans="1:10" x14ac:dyDescent="0.3">
      <c r="A269" s="1"/>
      <c r="B269" s="1" t="s">
        <v>8</v>
      </c>
      <c r="C269" s="35">
        <v>1000</v>
      </c>
    </row>
    <row r="270" spans="1:10" x14ac:dyDescent="0.3">
      <c r="A270" s="1"/>
      <c r="B270" s="1" t="s">
        <v>69</v>
      </c>
      <c r="C270" s="35">
        <v>-970</v>
      </c>
    </row>
    <row r="271" spans="1:10" x14ac:dyDescent="0.3">
      <c r="A271" s="1"/>
      <c r="B271" s="1" t="s">
        <v>70</v>
      </c>
      <c r="C271" s="36">
        <v>8.5000000000000006E-2</v>
      </c>
      <c r="D271" s="23"/>
    </row>
    <row r="272" spans="1:10" x14ac:dyDescent="0.3">
      <c r="A272" s="1"/>
      <c r="B272" s="1" t="s">
        <v>71</v>
      </c>
      <c r="C272" s="4">
        <v>0.09</v>
      </c>
    </row>
    <row r="273" spans="1:18" x14ac:dyDescent="0.3">
      <c r="A273" s="1"/>
      <c r="B273" s="24" t="s">
        <v>5</v>
      </c>
      <c r="C273" s="25">
        <v>5</v>
      </c>
      <c r="D273" s="1" t="s">
        <v>6</v>
      </c>
    </row>
    <row r="274" spans="1:18" x14ac:dyDescent="0.3">
      <c r="A274" s="1"/>
    </row>
    <row r="275" spans="1:18" x14ac:dyDescent="0.3">
      <c r="A275" s="1"/>
      <c r="B275" s="1" t="s">
        <v>72</v>
      </c>
      <c r="C275" s="4"/>
      <c r="D275" s="24"/>
      <c r="F275" s="6" t="s">
        <v>6</v>
      </c>
      <c r="G275" s="33">
        <v>0</v>
      </c>
      <c r="H275" s="33">
        <v>1</v>
      </c>
      <c r="I275" s="33">
        <v>2</v>
      </c>
      <c r="J275" s="33">
        <v>3</v>
      </c>
      <c r="K275" s="33">
        <v>4</v>
      </c>
      <c r="L275" s="33">
        <v>5</v>
      </c>
      <c r="M275" s="8"/>
      <c r="N275" s="8"/>
    </row>
    <row r="276" spans="1:18" x14ac:dyDescent="0.3">
      <c r="A276" s="1"/>
      <c r="C276" s="4"/>
      <c r="D276" s="24"/>
      <c r="F276" s="6" t="s">
        <v>17</v>
      </c>
      <c r="G276" s="11">
        <f>C270</f>
        <v>-970</v>
      </c>
      <c r="H276" s="11">
        <f>$C$19</f>
        <v>0</v>
      </c>
      <c r="I276" s="11">
        <f t="shared" ref="I276:K276" si="34">$C$19</f>
        <v>0</v>
      </c>
      <c r="J276" s="11">
        <f t="shared" si="34"/>
        <v>0</v>
      </c>
      <c r="K276" s="11">
        <f t="shared" si="34"/>
        <v>0</v>
      </c>
      <c r="L276" s="11">
        <f>$C$19+C269</f>
        <v>1000</v>
      </c>
      <c r="M276" s="34"/>
      <c r="N276" s="34"/>
    </row>
    <row r="277" spans="1:18" x14ac:dyDescent="0.3">
      <c r="A277" s="1"/>
      <c r="B277" s="26" t="s">
        <v>15</v>
      </c>
      <c r="C277" s="22"/>
      <c r="F277" s="6" t="s">
        <v>38</v>
      </c>
      <c r="G277" s="13">
        <f>1/(1+$C$12)^G275</f>
        <v>1</v>
      </c>
      <c r="H277" s="13">
        <f t="shared" ref="H277:L277" si="35">1/(1+$C$12)^H275</f>
        <v>1</v>
      </c>
      <c r="I277" s="13">
        <f t="shared" si="35"/>
        <v>1</v>
      </c>
      <c r="J277" s="13">
        <f t="shared" si="35"/>
        <v>1</v>
      </c>
      <c r="K277" s="13">
        <f t="shared" si="35"/>
        <v>1</v>
      </c>
      <c r="L277" s="13">
        <f t="shared" si="35"/>
        <v>1</v>
      </c>
    </row>
    <row r="278" spans="1:18" x14ac:dyDescent="0.3">
      <c r="A278" s="1"/>
      <c r="B278" s="26"/>
      <c r="C278" s="22"/>
      <c r="D278" s="22"/>
      <c r="F278" s="6" t="s">
        <v>39</v>
      </c>
      <c r="G278" s="11"/>
      <c r="H278" s="11">
        <f t="shared" ref="H278:L278" si="36">H277*H276</f>
        <v>0</v>
      </c>
      <c r="I278" s="11">
        <f t="shared" si="36"/>
        <v>0</v>
      </c>
      <c r="J278" s="11">
        <f t="shared" si="36"/>
        <v>0</v>
      </c>
      <c r="K278" s="11">
        <f t="shared" si="36"/>
        <v>0</v>
      </c>
      <c r="L278" s="11">
        <f t="shared" si="36"/>
        <v>1000</v>
      </c>
    </row>
    <row r="279" spans="1:18" x14ac:dyDescent="0.3">
      <c r="A279" s="1"/>
      <c r="B279" s="1" t="s">
        <v>70</v>
      </c>
      <c r="C279" s="37">
        <f>C271*C269</f>
        <v>85</v>
      </c>
      <c r="F279" s="38" t="s">
        <v>73</v>
      </c>
      <c r="G279" s="11"/>
      <c r="H279" s="11">
        <f>H278*H275</f>
        <v>0</v>
      </c>
      <c r="I279" s="11">
        <f t="shared" ref="I279:L279" si="37">I278*I275</f>
        <v>0</v>
      </c>
      <c r="J279" s="11">
        <f t="shared" si="37"/>
        <v>0</v>
      </c>
      <c r="K279" s="11">
        <f t="shared" si="37"/>
        <v>0</v>
      </c>
      <c r="L279" s="11">
        <f t="shared" si="37"/>
        <v>5000</v>
      </c>
    </row>
    <row r="280" spans="1:18" x14ac:dyDescent="0.3">
      <c r="A280" s="1"/>
    </row>
    <row r="281" spans="1:18" x14ac:dyDescent="0.3">
      <c r="A281" s="1"/>
      <c r="O281" s="8"/>
      <c r="P281" s="8"/>
      <c r="Q281" s="8"/>
      <c r="R281" s="8"/>
    </row>
    <row r="282" spans="1:18" x14ac:dyDescent="0.3">
      <c r="A282" s="1"/>
      <c r="O282" s="16"/>
      <c r="P282" s="16"/>
      <c r="Q282" s="16"/>
      <c r="R282" s="16"/>
    </row>
    <row r="283" spans="1:18" x14ac:dyDescent="0.3">
      <c r="A283" s="1"/>
      <c r="F283" s="39" t="s">
        <v>74</v>
      </c>
      <c r="G283" s="40">
        <f>SUM(H279:L279)</f>
        <v>5000</v>
      </c>
      <c r="O283" s="15"/>
      <c r="P283" s="15"/>
      <c r="Q283" s="15"/>
      <c r="R283" s="15"/>
    </row>
    <row r="284" spans="1:18" x14ac:dyDescent="0.3">
      <c r="A284" s="1"/>
      <c r="F284" s="39" t="s">
        <v>75</v>
      </c>
      <c r="G284" s="40">
        <f>SUM(H278:L278)</f>
        <v>1000</v>
      </c>
      <c r="O284" s="87"/>
      <c r="P284" s="87"/>
      <c r="Q284" s="87"/>
      <c r="R284" s="87"/>
    </row>
    <row r="285" spans="1:18" x14ac:dyDescent="0.3">
      <c r="A285" s="1"/>
      <c r="B285" s="27" t="s">
        <v>76</v>
      </c>
      <c r="C285" s="28">
        <f>G283/G284</f>
        <v>5</v>
      </c>
      <c r="D285" s="3" t="s">
        <v>6</v>
      </c>
      <c r="O285" s="16"/>
      <c r="P285" s="16"/>
      <c r="Q285" s="16"/>
      <c r="R285" s="16"/>
    </row>
    <row r="286" spans="1:18" x14ac:dyDescent="0.3">
      <c r="A286" s="1"/>
      <c r="C286" s="21"/>
    </row>
    <row r="287" spans="1:18" x14ac:dyDescent="0.3">
      <c r="A287" s="1"/>
    </row>
    <row r="288" spans="1:18" x14ac:dyDescent="0.3">
      <c r="A288" s="1"/>
      <c r="F288" s="6" t="s">
        <v>6</v>
      </c>
      <c r="G288" s="33">
        <v>0</v>
      </c>
      <c r="H288" s="33">
        <v>1</v>
      </c>
      <c r="I288" s="33">
        <v>2</v>
      </c>
      <c r="J288" s="33">
        <v>3</v>
      </c>
      <c r="K288" s="33">
        <v>4</v>
      </c>
      <c r="L288" s="33">
        <v>5</v>
      </c>
    </row>
    <row r="289" spans="1:18" x14ac:dyDescent="0.3">
      <c r="A289" s="1"/>
      <c r="B289" s="29" t="s">
        <v>18</v>
      </c>
      <c r="C289" s="30">
        <f>IRR(G289:L289)</f>
        <v>6.1104344993874182E-3</v>
      </c>
      <c r="F289" s="6" t="s">
        <v>17</v>
      </c>
      <c r="G289" s="11">
        <f>C270</f>
        <v>-970</v>
      </c>
      <c r="H289" s="11">
        <f>$C$19</f>
        <v>0</v>
      </c>
      <c r="I289" s="11">
        <f t="shared" ref="I289:K289" si="38">$C$19</f>
        <v>0</v>
      </c>
      <c r="J289" s="11">
        <f t="shared" si="38"/>
        <v>0</v>
      </c>
      <c r="K289" s="11">
        <f t="shared" si="38"/>
        <v>0</v>
      </c>
      <c r="L289" s="11">
        <f>$C$19+C269</f>
        <v>1000</v>
      </c>
    </row>
    <row r="290" spans="1:18" x14ac:dyDescent="0.3">
      <c r="A290" s="1"/>
    </row>
    <row r="291" spans="1:18" x14ac:dyDescent="0.3">
      <c r="A291" s="1"/>
      <c r="B291" s="32" t="s">
        <v>77</v>
      </c>
      <c r="C291" s="42">
        <f>C285/(1+C289)</f>
        <v>4.9696333807410129</v>
      </c>
    </row>
    <row r="292" spans="1:18" x14ac:dyDescent="0.3">
      <c r="A292" s="1"/>
      <c r="B292" s="31"/>
    </row>
    <row r="293" spans="1:18" x14ac:dyDescent="0.3">
      <c r="A293" s="1"/>
    </row>
    <row r="294" spans="1:18" x14ac:dyDescent="0.3">
      <c r="A294" s="1"/>
      <c r="O294" s="8"/>
      <c r="P294" s="8"/>
      <c r="Q294" s="8"/>
      <c r="R294" s="8"/>
    </row>
    <row r="295" spans="1:18" x14ac:dyDescent="0.3">
      <c r="A295" s="1"/>
      <c r="O295" s="16"/>
      <c r="P295" s="16"/>
      <c r="Q295" s="16"/>
      <c r="R295" s="16"/>
    </row>
    <row r="296" spans="1:18" x14ac:dyDescent="0.3">
      <c r="A296" s="1"/>
      <c r="O296" s="15"/>
      <c r="P296" s="15"/>
      <c r="Q296" s="15"/>
      <c r="R296" s="15"/>
    </row>
    <row r="297" spans="1:18" x14ac:dyDescent="0.3">
      <c r="A297" s="1"/>
      <c r="O297" s="16"/>
      <c r="P297" s="16"/>
      <c r="Q297" s="16"/>
      <c r="R297" s="87"/>
    </row>
    <row r="298" spans="1:18" x14ac:dyDescent="0.3">
      <c r="A298" s="1"/>
      <c r="F298" s="41" t="s">
        <v>78</v>
      </c>
      <c r="O298" s="16"/>
      <c r="P298" s="16"/>
      <c r="Q298" s="16"/>
      <c r="R298" s="16"/>
    </row>
    <row r="299" spans="1:18" x14ac:dyDescent="0.3">
      <c r="A299" s="1"/>
    </row>
    <row r="300" spans="1:18" x14ac:dyDescent="0.3">
      <c r="A300" s="1"/>
    </row>
    <row r="301" spans="1:18" x14ac:dyDescent="0.3">
      <c r="A301" s="1"/>
    </row>
    <row r="302" spans="1:18" x14ac:dyDescent="0.3">
      <c r="A302" s="1">
        <v>1</v>
      </c>
      <c r="B302" s="2" t="s">
        <v>0</v>
      </c>
    </row>
    <row r="303" spans="1:18" x14ac:dyDescent="0.3">
      <c r="A303" s="1"/>
      <c r="B303" s="1" t="s">
        <v>1</v>
      </c>
    </row>
    <row r="304" spans="1:18" x14ac:dyDescent="0.3">
      <c r="A304" s="1"/>
      <c r="B304" s="2" t="s">
        <v>2</v>
      </c>
    </row>
    <row r="305" spans="1:4" x14ac:dyDescent="0.3">
      <c r="A305" s="1"/>
      <c r="B305" s="1" t="s">
        <v>3</v>
      </c>
    </row>
    <row r="306" spans="1:4" x14ac:dyDescent="0.3">
      <c r="A306" s="1"/>
    </row>
    <row r="307" spans="1:4" x14ac:dyDescent="0.3">
      <c r="A307" s="1"/>
      <c r="B307" s="3" t="s">
        <v>4</v>
      </c>
    </row>
    <row r="308" spans="1:4" x14ac:dyDescent="0.3">
      <c r="A308" s="1"/>
      <c r="B308" s="1" t="s">
        <v>5</v>
      </c>
      <c r="C308" s="1">
        <v>10</v>
      </c>
      <c r="D308" s="1" t="s">
        <v>6</v>
      </c>
    </row>
    <row r="309" spans="1:4" x14ac:dyDescent="0.3">
      <c r="A309" s="1"/>
      <c r="B309" s="1" t="s">
        <v>7</v>
      </c>
      <c r="C309" s="4">
        <v>0.12</v>
      </c>
    </row>
    <row r="310" spans="1:4" x14ac:dyDescent="0.3">
      <c r="A310" s="1"/>
      <c r="B310" s="1" t="s">
        <v>8</v>
      </c>
      <c r="C310" s="5">
        <v>1000</v>
      </c>
    </row>
    <row r="311" spans="1:4" x14ac:dyDescent="0.3">
      <c r="A311" s="1"/>
      <c r="B311" s="1" t="s">
        <v>9</v>
      </c>
      <c r="C311" s="1">
        <v>4</v>
      </c>
      <c r="D311" s="1" t="s">
        <v>6</v>
      </c>
    </row>
    <row r="312" spans="1:4" x14ac:dyDescent="0.3">
      <c r="A312" s="1"/>
      <c r="B312" s="1" t="s">
        <v>10</v>
      </c>
      <c r="C312" s="5">
        <v>1060</v>
      </c>
    </row>
    <row r="313" spans="1:4" x14ac:dyDescent="0.3">
      <c r="A313" s="1"/>
      <c r="B313" s="1" t="s">
        <v>11</v>
      </c>
      <c r="C313" s="5">
        <v>1100</v>
      </c>
    </row>
    <row r="314" spans="1:4" x14ac:dyDescent="0.3">
      <c r="A314" s="1"/>
      <c r="B314" s="3" t="s">
        <v>12</v>
      </c>
    </row>
    <row r="315" spans="1:4" x14ac:dyDescent="0.3">
      <c r="A315" s="1"/>
    </row>
    <row r="316" spans="1:4" x14ac:dyDescent="0.3">
      <c r="A316" s="1"/>
    </row>
    <row r="317" spans="1:4" x14ac:dyDescent="0.3">
      <c r="A317" s="1"/>
      <c r="B317" s="1" t="s">
        <v>13</v>
      </c>
    </row>
    <row r="318" spans="1:4" x14ac:dyDescent="0.3">
      <c r="A318" s="1"/>
      <c r="B318" s="1" t="s">
        <v>14</v>
      </c>
    </row>
    <row r="319" spans="1:4" x14ac:dyDescent="0.3">
      <c r="A319" s="1"/>
    </row>
    <row r="320" spans="1:4" x14ac:dyDescent="0.3">
      <c r="A320" s="1"/>
      <c r="B320" s="3" t="s">
        <v>15</v>
      </c>
    </row>
    <row r="321" spans="1:19" x14ac:dyDescent="0.3">
      <c r="A321" s="1"/>
      <c r="D321" s="6" t="s">
        <v>16</v>
      </c>
      <c r="E321" s="65">
        <v>0</v>
      </c>
      <c r="F321" s="65">
        <v>1</v>
      </c>
      <c r="G321" s="65">
        <v>2</v>
      </c>
      <c r="H321" s="65">
        <v>3</v>
      </c>
      <c r="I321" s="65">
        <v>4</v>
      </c>
      <c r="J321" s="65">
        <v>5</v>
      </c>
      <c r="K321" s="65">
        <v>6</v>
      </c>
      <c r="L321" s="65">
        <v>7</v>
      </c>
      <c r="M321" s="65">
        <v>8</v>
      </c>
      <c r="N321" s="65">
        <v>9</v>
      </c>
      <c r="O321" s="65">
        <v>10</v>
      </c>
      <c r="P321" s="65">
        <v>11</v>
      </c>
      <c r="Q321" s="65">
        <v>12</v>
      </c>
      <c r="R321" s="65">
        <v>13</v>
      </c>
      <c r="S321" s="65">
        <v>14</v>
      </c>
    </row>
    <row r="322" spans="1:19" x14ac:dyDescent="0.3">
      <c r="A322" s="1"/>
      <c r="D322" s="6" t="s">
        <v>17</v>
      </c>
      <c r="E322" s="7">
        <v>-1100</v>
      </c>
      <c r="F322" s="11">
        <v>60</v>
      </c>
      <c r="G322" s="11">
        <v>60</v>
      </c>
      <c r="H322" s="11">
        <v>60</v>
      </c>
      <c r="I322" s="11">
        <v>60</v>
      </c>
      <c r="J322" s="11">
        <v>60</v>
      </c>
      <c r="K322" s="11">
        <v>60</v>
      </c>
      <c r="L322" s="11">
        <v>60</v>
      </c>
      <c r="M322" s="11">
        <v>60</v>
      </c>
      <c r="N322" s="11">
        <v>60</v>
      </c>
      <c r="O322" s="11">
        <v>60</v>
      </c>
      <c r="P322" s="11">
        <v>60</v>
      </c>
      <c r="Q322" s="11">
        <v>60</v>
      </c>
      <c r="R322" s="11">
        <v>60</v>
      </c>
      <c r="S322" s="11">
        <v>60</v>
      </c>
    </row>
    <row r="323" spans="1:19" x14ac:dyDescent="0.3">
      <c r="A323" s="1"/>
    </row>
    <row r="324" spans="1:19" x14ac:dyDescent="0.3">
      <c r="A324" s="1"/>
      <c r="D324" s="6" t="s">
        <v>16</v>
      </c>
      <c r="E324" s="65">
        <v>0</v>
      </c>
      <c r="F324" s="65">
        <v>1</v>
      </c>
      <c r="G324" s="65">
        <v>2</v>
      </c>
      <c r="H324" s="65">
        <v>3</v>
      </c>
      <c r="I324" s="65">
        <v>4</v>
      </c>
      <c r="J324" s="65">
        <v>5</v>
      </c>
      <c r="K324" s="65">
        <v>6</v>
      </c>
      <c r="L324" s="65">
        <v>7</v>
      </c>
      <c r="M324" s="65">
        <v>8</v>
      </c>
      <c r="N324" s="8"/>
      <c r="O324" s="8"/>
    </row>
    <row r="325" spans="1:19" x14ac:dyDescent="0.3">
      <c r="A325" s="1"/>
      <c r="D325" s="6" t="s">
        <v>17</v>
      </c>
      <c r="E325" s="7">
        <v>-1100</v>
      </c>
      <c r="F325" s="11">
        <v>60</v>
      </c>
      <c r="G325" s="11">
        <v>60</v>
      </c>
      <c r="H325" s="11">
        <v>60</v>
      </c>
      <c r="I325" s="11">
        <v>60</v>
      </c>
      <c r="J325" s="11">
        <v>60</v>
      </c>
      <c r="K325" s="11">
        <v>60</v>
      </c>
      <c r="L325" s="11">
        <v>60</v>
      </c>
      <c r="M325" s="11">
        <v>1120</v>
      </c>
      <c r="N325" s="5"/>
      <c r="O325" s="5"/>
    </row>
    <row r="326" spans="1:19" x14ac:dyDescent="0.3">
      <c r="A326" s="1"/>
    </row>
    <row r="327" spans="1:19" x14ac:dyDescent="0.3">
      <c r="A327" s="1"/>
      <c r="B327" s="1" t="s">
        <v>18</v>
      </c>
      <c r="C327" s="49">
        <v>5.1849430644209438E-2</v>
      </c>
      <c r="D327" s="1" t="s">
        <v>19</v>
      </c>
    </row>
    <row r="328" spans="1:19" x14ac:dyDescent="0.3">
      <c r="A328" s="1"/>
      <c r="B328" s="1" t="s">
        <v>20</v>
      </c>
      <c r="C328" s="9">
        <v>5.0747558255639147E-2</v>
      </c>
      <c r="D328" s="1" t="s">
        <v>19</v>
      </c>
    </row>
    <row r="329" spans="1:19" x14ac:dyDescent="0.3">
      <c r="A329" s="1"/>
    </row>
    <row r="330" spans="1:19" x14ac:dyDescent="0.3">
      <c r="A330" s="1"/>
      <c r="B330" s="1" t="s">
        <v>21</v>
      </c>
      <c r="C330" s="50">
        <v>0.1063872247465476</v>
      </c>
    </row>
    <row r="331" spans="1:19" x14ac:dyDescent="0.3">
      <c r="A331" s="1"/>
      <c r="B331" s="1" t="s">
        <v>22</v>
      </c>
      <c r="C331" s="48">
        <v>0.10407043118018788</v>
      </c>
    </row>
    <row r="332" spans="1:19" x14ac:dyDescent="0.3">
      <c r="A332" s="1"/>
    </row>
    <row r="333" spans="1:19" x14ac:dyDescent="0.3">
      <c r="A333" s="1"/>
      <c r="B333" s="3" t="s">
        <v>23</v>
      </c>
    </row>
    <row r="334" spans="1:19" x14ac:dyDescent="0.3">
      <c r="A334" s="1"/>
      <c r="C334" s="1" t="s">
        <v>18</v>
      </c>
      <c r="D334" s="9">
        <v>5.1849430644209438E-2</v>
      </c>
      <c r="E334" s="3" t="s">
        <v>24</v>
      </c>
    </row>
    <row r="335" spans="1:19" x14ac:dyDescent="0.3">
      <c r="A335" s="1"/>
      <c r="C335" s="1" t="s">
        <v>20</v>
      </c>
      <c r="D335" s="9">
        <v>5.0747558255639147E-2</v>
      </c>
    </row>
    <row r="336" spans="1:19" x14ac:dyDescent="0.3">
      <c r="A336" s="1"/>
    </row>
    <row r="337" spans="1:4" x14ac:dyDescent="0.3">
      <c r="A337" s="1"/>
    </row>
    <row r="338" spans="1:4" x14ac:dyDescent="0.3">
      <c r="A338" s="1"/>
      <c r="B338" s="2" t="s">
        <v>43</v>
      </c>
    </row>
    <row r="339" spans="1:4" x14ac:dyDescent="0.3">
      <c r="A339" s="1"/>
      <c r="B339" s="2" t="s">
        <v>44</v>
      </c>
    </row>
    <row r="340" spans="1:4" x14ac:dyDescent="0.3">
      <c r="A340" s="1"/>
      <c r="B340" s="2" t="s">
        <v>45</v>
      </c>
    </row>
    <row r="341" spans="1:4" x14ac:dyDescent="0.3">
      <c r="A341" s="1"/>
      <c r="B341" s="2" t="s">
        <v>46</v>
      </c>
    </row>
    <row r="342" spans="1:4" x14ac:dyDescent="0.3">
      <c r="A342" s="1"/>
    </row>
    <row r="343" spans="1:4" x14ac:dyDescent="0.3">
      <c r="A343" s="1"/>
      <c r="B343" s="1" t="s">
        <v>47</v>
      </c>
    </row>
    <row r="344" spans="1:4" x14ac:dyDescent="0.3">
      <c r="A344" s="1"/>
      <c r="B344" s="1" t="s">
        <v>48</v>
      </c>
    </row>
    <row r="345" spans="1:4" x14ac:dyDescent="0.3">
      <c r="A345" s="1"/>
      <c r="B345" s="1" t="s">
        <v>49</v>
      </c>
    </row>
    <row r="346" spans="1:4" x14ac:dyDescent="0.3">
      <c r="A346" s="1"/>
      <c r="B346" s="1" t="s">
        <v>50</v>
      </c>
    </row>
    <row r="347" spans="1:4" x14ac:dyDescent="0.3">
      <c r="A347" s="1"/>
    </row>
    <row r="348" spans="1:4" x14ac:dyDescent="0.3">
      <c r="A348" s="1"/>
      <c r="B348" s="3" t="s">
        <v>4</v>
      </c>
    </row>
    <row r="349" spans="1:4" x14ac:dyDescent="0.3">
      <c r="A349" s="1"/>
      <c r="B349" s="3" t="s">
        <v>51</v>
      </c>
    </row>
    <row r="350" spans="1:4" x14ac:dyDescent="0.3">
      <c r="A350" s="1"/>
      <c r="B350" s="1" t="s">
        <v>52</v>
      </c>
      <c r="C350" s="4">
        <v>7.0000000000000007E-2</v>
      </c>
    </row>
    <row r="351" spans="1:4" x14ac:dyDescent="0.3">
      <c r="A351" s="1"/>
      <c r="B351" s="1" t="s">
        <v>29</v>
      </c>
      <c r="C351" s="14">
        <v>12</v>
      </c>
      <c r="D351" s="1" t="s">
        <v>6</v>
      </c>
    </row>
    <row r="352" spans="1:4" x14ac:dyDescent="0.3">
      <c r="A352" s="1"/>
      <c r="B352" s="1" t="s">
        <v>8</v>
      </c>
      <c r="C352" s="5">
        <v>1000</v>
      </c>
    </row>
    <row r="353" spans="1:4" x14ac:dyDescent="0.3">
      <c r="A353" s="1"/>
    </row>
    <row r="354" spans="1:4" x14ac:dyDescent="0.3">
      <c r="A354" s="1"/>
      <c r="B354" s="3" t="s">
        <v>53</v>
      </c>
    </row>
    <row r="355" spans="1:4" x14ac:dyDescent="0.3">
      <c r="A355" s="1"/>
      <c r="B355" s="1" t="s">
        <v>52</v>
      </c>
      <c r="C355" s="4">
        <v>0.09</v>
      </c>
    </row>
    <row r="356" spans="1:4" x14ac:dyDescent="0.3">
      <c r="A356" s="1"/>
      <c r="B356" s="1" t="s">
        <v>29</v>
      </c>
      <c r="C356" s="14">
        <v>12</v>
      </c>
      <c r="D356" s="1" t="s">
        <v>6</v>
      </c>
    </row>
    <row r="357" spans="1:4" x14ac:dyDescent="0.3">
      <c r="A357" s="1"/>
      <c r="B357" s="1" t="s">
        <v>8</v>
      </c>
      <c r="C357" s="5">
        <v>1000</v>
      </c>
    </row>
    <row r="358" spans="1:4" x14ac:dyDescent="0.3">
      <c r="A358" s="1"/>
    </row>
    <row r="359" spans="1:4" x14ac:dyDescent="0.3">
      <c r="A359" s="1"/>
      <c r="B359" s="3" t="s">
        <v>54</v>
      </c>
    </row>
    <row r="360" spans="1:4" x14ac:dyDescent="0.3">
      <c r="A360" s="1"/>
      <c r="B360" s="1" t="s">
        <v>52</v>
      </c>
      <c r="C360" s="4">
        <v>0.11</v>
      </c>
    </row>
    <row r="361" spans="1:4" x14ac:dyDescent="0.3">
      <c r="A361" s="1"/>
      <c r="B361" s="1" t="s">
        <v>29</v>
      </c>
      <c r="C361" s="14">
        <v>12</v>
      </c>
      <c r="D361" s="1" t="s">
        <v>6</v>
      </c>
    </row>
    <row r="362" spans="1:4" x14ac:dyDescent="0.3">
      <c r="A362" s="1"/>
      <c r="B362" s="1" t="s">
        <v>8</v>
      </c>
      <c r="C362" s="5">
        <v>1000</v>
      </c>
    </row>
    <row r="363" spans="1:4" x14ac:dyDescent="0.3">
      <c r="A363" s="1"/>
    </row>
    <row r="364" spans="1:4" x14ac:dyDescent="0.3">
      <c r="A364" s="1"/>
      <c r="B364" s="1" t="s">
        <v>18</v>
      </c>
      <c r="C364" s="4">
        <v>0.09</v>
      </c>
    </row>
    <row r="365" spans="1:4" x14ac:dyDescent="0.3">
      <c r="A365" s="1"/>
    </row>
    <row r="366" spans="1:4" x14ac:dyDescent="0.3">
      <c r="A366" s="1"/>
    </row>
    <row r="367" spans="1:4" x14ac:dyDescent="0.3">
      <c r="A367" s="1"/>
      <c r="B367" s="1" t="s">
        <v>55</v>
      </c>
    </row>
    <row r="368" spans="1:4" x14ac:dyDescent="0.3">
      <c r="A368" s="1"/>
      <c r="B368" s="1" t="s">
        <v>56</v>
      </c>
    </row>
    <row r="369" spans="1:17" x14ac:dyDescent="0.3">
      <c r="A369" s="1"/>
      <c r="B369" s="1" t="s">
        <v>57</v>
      </c>
    </row>
    <row r="370" spans="1:17" x14ac:dyDescent="0.3">
      <c r="A370" s="1"/>
    </row>
    <row r="371" spans="1:17" x14ac:dyDescent="0.3">
      <c r="A371" s="1"/>
      <c r="B371" s="3" t="s">
        <v>15</v>
      </c>
    </row>
    <row r="372" spans="1:17" x14ac:dyDescent="0.3">
      <c r="A372" s="1"/>
    </row>
    <row r="373" spans="1:17" x14ac:dyDescent="0.3">
      <c r="A373" s="1"/>
      <c r="B373" s="3" t="s">
        <v>51</v>
      </c>
    </row>
    <row r="374" spans="1:17" x14ac:dyDescent="0.3">
      <c r="A374" s="1"/>
    </row>
    <row r="375" spans="1:17" x14ac:dyDescent="0.3">
      <c r="A375" s="1"/>
      <c r="D375" s="6" t="s">
        <v>6</v>
      </c>
      <c r="E375" s="65">
        <v>0</v>
      </c>
      <c r="F375" s="65">
        <v>1</v>
      </c>
      <c r="G375" s="65">
        <v>2</v>
      </c>
      <c r="H375" s="65">
        <v>3</v>
      </c>
      <c r="I375" s="65">
        <v>4</v>
      </c>
      <c r="J375" s="65">
        <v>5</v>
      </c>
      <c r="K375" s="65">
        <v>6</v>
      </c>
      <c r="L375" s="65">
        <v>7</v>
      </c>
      <c r="M375" s="65">
        <v>8</v>
      </c>
      <c r="N375" s="65">
        <v>9</v>
      </c>
      <c r="O375" s="65">
        <v>10</v>
      </c>
      <c r="P375" s="65">
        <v>11</v>
      </c>
      <c r="Q375" s="65">
        <v>12</v>
      </c>
    </row>
    <row r="376" spans="1:17" x14ac:dyDescent="0.3">
      <c r="A376" s="1"/>
      <c r="D376" s="6" t="s">
        <v>17</v>
      </c>
      <c r="E376" s="17">
        <v>-857</v>
      </c>
      <c r="F376" s="11">
        <v>70</v>
      </c>
      <c r="G376" s="11">
        <v>70</v>
      </c>
      <c r="H376" s="11">
        <v>70</v>
      </c>
      <c r="I376" s="11">
        <v>70</v>
      </c>
      <c r="J376" s="11">
        <v>70</v>
      </c>
      <c r="K376" s="11">
        <v>70</v>
      </c>
      <c r="L376" s="11">
        <v>70</v>
      </c>
      <c r="M376" s="11">
        <v>70</v>
      </c>
      <c r="N376" s="11">
        <v>70</v>
      </c>
      <c r="O376" s="11">
        <v>70</v>
      </c>
      <c r="P376" s="11">
        <v>70</v>
      </c>
      <c r="Q376" s="11">
        <v>1070</v>
      </c>
    </row>
    <row r="377" spans="1:17" x14ac:dyDescent="0.3">
      <c r="A377" s="1"/>
      <c r="E377" s="8"/>
      <c r="F377" s="15"/>
      <c r="G377" s="15"/>
      <c r="H377" s="15"/>
      <c r="I377" s="15"/>
      <c r="J377" s="15"/>
      <c r="K377" s="15"/>
      <c r="L377" s="15"/>
      <c r="M377" s="15"/>
      <c r="N377" s="15"/>
      <c r="O377" s="15"/>
    </row>
    <row r="378" spans="1:17" x14ac:dyDescent="0.3">
      <c r="A378" s="1"/>
      <c r="B378" s="1" t="s">
        <v>18</v>
      </c>
      <c r="C378" s="9">
        <v>8.9966693596853942E-2</v>
      </c>
      <c r="F378" s="16"/>
      <c r="G378" s="16"/>
      <c r="H378" s="16"/>
      <c r="I378" s="16"/>
      <c r="J378" s="16"/>
      <c r="K378" s="16"/>
      <c r="L378" s="16"/>
      <c r="M378" s="16"/>
      <c r="N378" s="16"/>
      <c r="O378" s="16"/>
    </row>
    <row r="379" spans="1:17" x14ac:dyDescent="0.3">
      <c r="A379" s="1"/>
      <c r="B379" s="1" t="s">
        <v>58</v>
      </c>
      <c r="C379" s="18">
        <v>-857</v>
      </c>
    </row>
    <row r="380" spans="1:17" x14ac:dyDescent="0.3">
      <c r="A380" s="1"/>
    </row>
    <row r="381" spans="1:17" x14ac:dyDescent="0.3">
      <c r="A381" s="1"/>
      <c r="B381" s="1" t="s">
        <v>59</v>
      </c>
      <c r="C381" s="18">
        <v>143</v>
      </c>
    </row>
    <row r="382" spans="1:17" x14ac:dyDescent="0.3">
      <c r="A382" s="1"/>
    </row>
    <row r="383" spans="1:17" x14ac:dyDescent="0.3">
      <c r="A383" s="1"/>
    </row>
    <row r="384" spans="1:17" x14ac:dyDescent="0.3">
      <c r="A384" s="1"/>
      <c r="B384" s="3" t="s">
        <v>53</v>
      </c>
    </row>
    <row r="385" spans="1:17" x14ac:dyDescent="0.3">
      <c r="A385" s="1"/>
    </row>
    <row r="386" spans="1:17" x14ac:dyDescent="0.3">
      <c r="A386" s="1"/>
      <c r="D386" s="6" t="s">
        <v>6</v>
      </c>
      <c r="E386" s="65">
        <v>0</v>
      </c>
      <c r="F386" s="65">
        <v>1</v>
      </c>
      <c r="G386" s="65">
        <v>2</v>
      </c>
      <c r="H386" s="65">
        <v>3</v>
      </c>
      <c r="I386" s="65">
        <v>4</v>
      </c>
      <c r="J386" s="65">
        <v>5</v>
      </c>
      <c r="K386" s="65">
        <v>6</v>
      </c>
      <c r="L386" s="65">
        <v>7</v>
      </c>
      <c r="M386" s="65">
        <v>8</v>
      </c>
      <c r="N386" s="65">
        <v>9</v>
      </c>
      <c r="O386" s="65">
        <v>10</v>
      </c>
      <c r="P386" s="65">
        <v>11</v>
      </c>
      <c r="Q386" s="65">
        <v>12</v>
      </c>
    </row>
    <row r="387" spans="1:17" x14ac:dyDescent="0.3">
      <c r="A387" s="1"/>
      <c r="D387" s="6" t="s">
        <v>17</v>
      </c>
      <c r="E387" s="17">
        <v>-1000</v>
      </c>
      <c r="F387" s="11">
        <v>90</v>
      </c>
      <c r="G387" s="11">
        <v>90</v>
      </c>
      <c r="H387" s="11">
        <v>90</v>
      </c>
      <c r="I387" s="11">
        <v>90</v>
      </c>
      <c r="J387" s="11">
        <v>90</v>
      </c>
      <c r="K387" s="11">
        <v>90</v>
      </c>
      <c r="L387" s="11">
        <v>90</v>
      </c>
      <c r="M387" s="11">
        <v>90</v>
      </c>
      <c r="N387" s="11">
        <v>90</v>
      </c>
      <c r="O387" s="11">
        <v>90</v>
      </c>
      <c r="P387" s="11">
        <v>90</v>
      </c>
      <c r="Q387" s="11">
        <v>1090</v>
      </c>
    </row>
    <row r="388" spans="1:17" x14ac:dyDescent="0.3">
      <c r="A388" s="1"/>
      <c r="E388" s="8"/>
      <c r="F388" s="15"/>
      <c r="G388" s="15"/>
      <c r="H388" s="15"/>
      <c r="I388" s="15"/>
      <c r="J388" s="15"/>
      <c r="K388" s="15"/>
      <c r="L388" s="15"/>
      <c r="M388" s="15"/>
      <c r="N388" s="15"/>
      <c r="O388" s="15"/>
    </row>
    <row r="389" spans="1:17" x14ac:dyDescent="0.3">
      <c r="A389" s="1"/>
      <c r="B389" s="1" t="s">
        <v>18</v>
      </c>
      <c r="C389" s="9">
        <v>8.9999999996299929E-2</v>
      </c>
      <c r="F389" s="16"/>
      <c r="G389" s="16"/>
      <c r="H389" s="16"/>
      <c r="I389" s="16"/>
      <c r="J389" s="16"/>
      <c r="K389" s="16"/>
      <c r="L389" s="16"/>
      <c r="M389" s="16"/>
      <c r="N389" s="16"/>
      <c r="O389" s="16"/>
    </row>
    <row r="390" spans="1:17" x14ac:dyDescent="0.3">
      <c r="A390" s="1"/>
      <c r="B390" s="1" t="s">
        <v>60</v>
      </c>
      <c r="C390" s="18">
        <v>-1000</v>
      </c>
    </row>
    <row r="391" spans="1:17" x14ac:dyDescent="0.3">
      <c r="A391" s="1"/>
    </row>
    <row r="392" spans="1:17" x14ac:dyDescent="0.3">
      <c r="A392" s="1"/>
      <c r="B392" s="1" t="s">
        <v>61</v>
      </c>
      <c r="C392" s="18">
        <v>0</v>
      </c>
    </row>
    <row r="393" spans="1:17" x14ac:dyDescent="0.3">
      <c r="A393" s="1"/>
      <c r="B393" s="3"/>
    </row>
    <row r="394" spans="1:17" x14ac:dyDescent="0.3">
      <c r="A394" s="1"/>
    </row>
    <row r="395" spans="1:17" x14ac:dyDescent="0.3">
      <c r="A395" s="1"/>
      <c r="B395" s="3" t="s">
        <v>54</v>
      </c>
    </row>
    <row r="396" spans="1:17" x14ac:dyDescent="0.3">
      <c r="A396" s="1"/>
    </row>
    <row r="397" spans="1:17" x14ac:dyDescent="0.3">
      <c r="A397" s="1"/>
      <c r="D397" s="6" t="s">
        <v>6</v>
      </c>
      <c r="E397" s="65">
        <v>0</v>
      </c>
      <c r="F397" s="65">
        <v>1</v>
      </c>
      <c r="G397" s="65">
        <v>2</v>
      </c>
      <c r="H397" s="65">
        <v>3</v>
      </c>
      <c r="I397" s="65">
        <v>4</v>
      </c>
      <c r="J397" s="65">
        <v>5</v>
      </c>
      <c r="K397" s="65">
        <v>6</v>
      </c>
      <c r="L397" s="65">
        <v>7</v>
      </c>
      <c r="M397" s="65">
        <v>8</v>
      </c>
      <c r="N397" s="65">
        <v>9</v>
      </c>
      <c r="O397" s="65">
        <v>10</v>
      </c>
      <c r="P397" s="65">
        <v>11</v>
      </c>
      <c r="Q397" s="65">
        <v>12</v>
      </c>
    </row>
    <row r="398" spans="1:17" x14ac:dyDescent="0.3">
      <c r="A398" s="1"/>
      <c r="D398" s="6" t="s">
        <v>17</v>
      </c>
      <c r="E398" s="17">
        <v>-1143</v>
      </c>
      <c r="F398" s="11">
        <v>110</v>
      </c>
      <c r="G398" s="11">
        <v>110</v>
      </c>
      <c r="H398" s="11">
        <v>110</v>
      </c>
      <c r="I398" s="11">
        <v>110</v>
      </c>
      <c r="J398" s="11">
        <v>110</v>
      </c>
      <c r="K398" s="11">
        <v>110</v>
      </c>
      <c r="L398" s="11">
        <v>110</v>
      </c>
      <c r="M398" s="11">
        <v>110</v>
      </c>
      <c r="N398" s="11">
        <v>110</v>
      </c>
      <c r="O398" s="11">
        <v>110</v>
      </c>
      <c r="P398" s="11">
        <v>110</v>
      </c>
      <c r="Q398" s="11">
        <v>1110</v>
      </c>
    </row>
    <row r="399" spans="1:17" x14ac:dyDescent="0.3">
      <c r="A399" s="1"/>
      <c r="E399" s="8"/>
      <c r="F399" s="15"/>
      <c r="G399" s="15"/>
      <c r="H399" s="15"/>
      <c r="I399" s="15"/>
      <c r="J399" s="15"/>
      <c r="K399" s="15"/>
      <c r="L399" s="15"/>
      <c r="M399" s="15"/>
      <c r="N399" s="15"/>
      <c r="O399" s="15"/>
    </row>
    <row r="400" spans="1:17" x14ac:dyDescent="0.3">
      <c r="A400" s="1"/>
      <c r="B400" s="1" t="s">
        <v>18</v>
      </c>
      <c r="C400" s="9">
        <v>9.0027217611275745E-2</v>
      </c>
      <c r="F400" s="16"/>
      <c r="G400" s="16"/>
      <c r="H400" s="16"/>
      <c r="I400" s="16"/>
      <c r="J400" s="16"/>
      <c r="K400" s="16"/>
      <c r="L400" s="16"/>
      <c r="M400" s="16"/>
      <c r="N400" s="16"/>
      <c r="O400" s="16"/>
    </row>
    <row r="401" spans="1:3" x14ac:dyDescent="0.3">
      <c r="A401" s="1"/>
      <c r="B401" s="1" t="s">
        <v>60</v>
      </c>
      <c r="C401" s="18">
        <v>-1143</v>
      </c>
    </row>
    <row r="402" spans="1:3" x14ac:dyDescent="0.3">
      <c r="A402" s="1"/>
    </row>
    <row r="403" spans="1:3" x14ac:dyDescent="0.3">
      <c r="A403" s="1"/>
      <c r="B403" s="1" t="s">
        <v>62</v>
      </c>
      <c r="C403" s="18">
        <v>143</v>
      </c>
    </row>
    <row r="404" spans="1:3" x14ac:dyDescent="0.3">
      <c r="A404" s="1"/>
    </row>
    <row r="405" spans="1:3" x14ac:dyDescent="0.3">
      <c r="A405" s="1"/>
    </row>
  </sheetData>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181"/>
  <sheetViews>
    <sheetView topLeftCell="A136" zoomScale="70" zoomScaleNormal="70" workbookViewId="0">
      <selection activeCell="E129" sqref="E129"/>
    </sheetView>
  </sheetViews>
  <sheetFormatPr defaultRowHeight="18.75" x14ac:dyDescent="0.3"/>
  <cols>
    <col min="1" max="1" width="8.140625" style="130" customWidth="1"/>
    <col min="2" max="2" width="40.28515625" style="130" customWidth="1"/>
    <col min="3" max="3" width="26" style="130" customWidth="1"/>
    <col min="4" max="4" width="13.28515625" style="130" customWidth="1"/>
    <col min="5" max="5" width="23.140625" style="130" customWidth="1"/>
    <col min="6" max="6" width="21.7109375" style="130" customWidth="1"/>
    <col min="7" max="7" width="9.140625" style="130"/>
    <col min="8" max="8" width="22.7109375" style="130" customWidth="1"/>
    <col min="9" max="9" width="12.140625" style="130" customWidth="1"/>
    <col min="10" max="10" width="11.42578125" style="130" customWidth="1"/>
    <col min="11" max="40" width="9.140625" style="130"/>
    <col min="41" max="41" width="11.140625" style="130" bestFit="1" customWidth="1"/>
    <col min="42" max="16384" width="9.140625" style="130"/>
  </cols>
  <sheetData>
    <row r="2" spans="1:12" x14ac:dyDescent="0.3">
      <c r="A2" s="136">
        <v>3</v>
      </c>
      <c r="B2" s="168" t="s">
        <v>319</v>
      </c>
    </row>
    <row r="3" spans="1:12" x14ac:dyDescent="0.3">
      <c r="B3" s="168" t="s">
        <v>318</v>
      </c>
    </row>
    <row r="5" spans="1:12" x14ac:dyDescent="0.3">
      <c r="B5" s="155" t="s">
        <v>4</v>
      </c>
      <c r="C5" s="153"/>
      <c r="D5" s="153"/>
    </row>
    <row r="6" spans="1:12" x14ac:dyDescent="0.3">
      <c r="B6" s="130" t="s">
        <v>81</v>
      </c>
      <c r="C6" s="167">
        <v>1</v>
      </c>
      <c r="D6" s="153"/>
      <c r="E6" s="153"/>
      <c r="F6" s="153"/>
      <c r="G6" s="153"/>
    </row>
    <row r="7" spans="1:12" x14ac:dyDescent="0.3">
      <c r="B7" s="130" t="s">
        <v>317</v>
      </c>
      <c r="C7" s="167"/>
      <c r="D7" s="153"/>
      <c r="E7" s="153"/>
      <c r="G7" s="153"/>
    </row>
    <row r="8" spans="1:12" x14ac:dyDescent="0.3">
      <c r="B8" s="130" t="s">
        <v>312</v>
      </c>
      <c r="C8" s="167">
        <v>13.45</v>
      </c>
      <c r="D8" s="153"/>
      <c r="E8" s="153"/>
      <c r="G8" s="153"/>
    </row>
    <row r="9" spans="1:12" x14ac:dyDescent="0.3">
      <c r="B9" s="130" t="s">
        <v>295</v>
      </c>
      <c r="C9" s="131">
        <v>0.13200000000000001</v>
      </c>
      <c r="D9" s="153"/>
      <c r="E9" s="153"/>
      <c r="G9" s="153"/>
    </row>
    <row r="10" spans="1:12" x14ac:dyDescent="0.3">
      <c r="D10" s="153"/>
      <c r="E10" s="153"/>
      <c r="G10" s="153"/>
    </row>
    <row r="11" spans="1:12" x14ac:dyDescent="0.3">
      <c r="B11" s="153" t="s">
        <v>316</v>
      </c>
      <c r="C11" s="156"/>
      <c r="D11" s="153"/>
      <c r="E11" s="153"/>
      <c r="G11" s="153"/>
    </row>
    <row r="12" spans="1:12" x14ac:dyDescent="0.3">
      <c r="B12" s="153"/>
      <c r="C12" s="153"/>
      <c r="D12" s="153"/>
      <c r="E12" s="134"/>
      <c r="F12" s="153"/>
      <c r="G12" s="153"/>
    </row>
    <row r="13" spans="1:12" x14ac:dyDescent="0.3">
      <c r="B13" s="155" t="s">
        <v>15</v>
      </c>
      <c r="C13" s="153"/>
      <c r="D13" s="153"/>
      <c r="E13" s="153"/>
      <c r="F13" s="153"/>
      <c r="G13" s="153"/>
    </row>
    <row r="14" spans="1:12" x14ac:dyDescent="0.3">
      <c r="B14" s="153"/>
      <c r="C14" s="153"/>
      <c r="D14" s="153"/>
      <c r="E14" s="153"/>
      <c r="F14" s="153"/>
      <c r="G14" s="153"/>
    </row>
    <row r="15" spans="1:12" x14ac:dyDescent="0.3">
      <c r="B15" s="130" t="s">
        <v>315</v>
      </c>
      <c r="C15" s="135">
        <f>C6</f>
        <v>1</v>
      </c>
      <c r="G15" s="153"/>
    </row>
    <row r="16" spans="1:12" x14ac:dyDescent="0.3">
      <c r="B16" s="153"/>
      <c r="C16" s="153"/>
      <c r="E16" s="136"/>
      <c r="F16" s="159"/>
      <c r="G16" s="153"/>
      <c r="H16" s="173" t="s">
        <v>314</v>
      </c>
      <c r="I16" s="172">
        <v>0</v>
      </c>
      <c r="J16" s="172">
        <v>1</v>
      </c>
      <c r="L16" s="136"/>
    </row>
    <row r="17" spans="1:13" x14ac:dyDescent="0.3">
      <c r="B17" s="130" t="s">
        <v>313</v>
      </c>
      <c r="C17" s="135">
        <f>C15*1.05</f>
        <v>1.05</v>
      </c>
      <c r="E17" s="161"/>
      <c r="F17" s="161"/>
      <c r="H17" s="173" t="s">
        <v>17</v>
      </c>
      <c r="I17" s="172"/>
      <c r="J17" s="171">
        <f>C8</f>
        <v>13.45</v>
      </c>
      <c r="L17" s="150"/>
    </row>
    <row r="18" spans="1:13" x14ac:dyDescent="0.3">
      <c r="B18" s="153"/>
      <c r="H18" s="173" t="s">
        <v>190</v>
      </c>
      <c r="I18" s="172">
        <f>1/(1+$C$9)^I16</f>
        <v>1</v>
      </c>
      <c r="J18" s="174">
        <f>1/(1+$C$9)^J16</f>
        <v>0.88339222614840984</v>
      </c>
      <c r="L18" s="136"/>
    </row>
    <row r="19" spans="1:13" x14ac:dyDescent="0.3">
      <c r="B19" s="155" t="s">
        <v>312</v>
      </c>
      <c r="C19" s="178">
        <f>J19</f>
        <v>11.881625441696112</v>
      </c>
      <c r="H19" s="173" t="s">
        <v>39</v>
      </c>
      <c r="I19" s="172"/>
      <c r="J19" s="171">
        <f>J18*J17</f>
        <v>11.881625441696112</v>
      </c>
      <c r="L19" s="135"/>
    </row>
    <row r="20" spans="1:13" x14ac:dyDescent="0.3">
      <c r="A20" s="136"/>
      <c r="B20" s="148"/>
      <c r="D20" s="153"/>
      <c r="E20" s="153"/>
      <c r="F20" s="153"/>
      <c r="G20" s="153"/>
    </row>
    <row r="21" spans="1:13" x14ac:dyDescent="0.3">
      <c r="B21" s="140" t="s">
        <v>23</v>
      </c>
      <c r="C21" s="177">
        <f>C19</f>
        <v>11.881625441696112</v>
      </c>
      <c r="D21" s="153"/>
      <c r="E21" s="153"/>
      <c r="F21" s="153"/>
      <c r="G21" s="153"/>
    </row>
    <row r="22" spans="1:13" x14ac:dyDescent="0.3">
      <c r="K22" s="164"/>
      <c r="L22" s="164"/>
    </row>
    <row r="23" spans="1:13" x14ac:dyDescent="0.3">
      <c r="K23" s="161"/>
      <c r="L23" s="161"/>
    </row>
    <row r="24" spans="1:13" x14ac:dyDescent="0.3">
      <c r="A24" s="130">
        <v>4</v>
      </c>
      <c r="B24" s="168" t="s">
        <v>311</v>
      </c>
      <c r="C24" s="153"/>
      <c r="D24" s="153"/>
      <c r="E24" s="153"/>
      <c r="F24" s="164"/>
      <c r="G24" s="164"/>
      <c r="H24" s="164"/>
      <c r="I24" s="164"/>
      <c r="J24" s="164"/>
      <c r="K24" s="163"/>
      <c r="L24" s="163"/>
      <c r="M24" s="164"/>
    </row>
    <row r="25" spans="1:13" x14ac:dyDescent="0.3">
      <c r="B25" s="168" t="s">
        <v>310</v>
      </c>
      <c r="C25" s="160"/>
      <c r="D25" s="153"/>
      <c r="E25" s="153"/>
      <c r="F25" s="161"/>
      <c r="G25" s="161"/>
      <c r="H25" s="161"/>
      <c r="I25" s="161"/>
      <c r="J25" s="161"/>
      <c r="K25" s="161"/>
      <c r="L25" s="161"/>
      <c r="M25" s="161"/>
    </row>
    <row r="26" spans="1:13" x14ac:dyDescent="0.3">
      <c r="B26" s="168" t="s">
        <v>309</v>
      </c>
      <c r="C26" s="158"/>
      <c r="D26" s="153"/>
      <c r="E26" s="153"/>
      <c r="F26" s="163"/>
      <c r="G26" s="163"/>
      <c r="H26" s="163"/>
      <c r="I26" s="163"/>
      <c r="J26" s="163"/>
      <c r="M26" s="163"/>
    </row>
    <row r="27" spans="1:13" x14ac:dyDescent="0.3">
      <c r="M27" s="161"/>
    </row>
    <row r="30" spans="1:13" x14ac:dyDescent="0.3">
      <c r="B30" s="155" t="s">
        <v>4</v>
      </c>
      <c r="C30" s="157"/>
      <c r="D30" s="153"/>
      <c r="E30" s="153"/>
      <c r="F30" s="161"/>
      <c r="G30" s="161"/>
      <c r="H30" s="161"/>
      <c r="I30" s="161"/>
      <c r="J30" s="161"/>
    </row>
    <row r="31" spans="1:13" x14ac:dyDescent="0.3">
      <c r="B31" s="130" t="s">
        <v>81</v>
      </c>
      <c r="C31" s="135">
        <v>1.5</v>
      </c>
      <c r="D31" s="153"/>
      <c r="E31" s="153"/>
      <c r="F31" s="159"/>
      <c r="G31" s="159"/>
    </row>
    <row r="32" spans="1:13" x14ac:dyDescent="0.3">
      <c r="B32" s="153" t="s">
        <v>308</v>
      </c>
      <c r="C32" s="176">
        <v>0.08</v>
      </c>
      <c r="D32" s="153"/>
      <c r="E32" s="153"/>
      <c r="F32" s="153"/>
      <c r="G32" s="153"/>
    </row>
    <row r="33" spans="2:10" x14ac:dyDescent="0.3">
      <c r="B33" s="153" t="s">
        <v>304</v>
      </c>
      <c r="C33" s="167">
        <v>51</v>
      </c>
      <c r="D33" s="153"/>
      <c r="E33" s="153"/>
      <c r="F33" s="153"/>
      <c r="G33" s="153"/>
    </row>
    <row r="34" spans="2:10" x14ac:dyDescent="0.3">
      <c r="B34" s="155" t="s">
        <v>295</v>
      </c>
      <c r="C34" s="156">
        <v>0.12</v>
      </c>
      <c r="D34" s="153"/>
      <c r="E34" s="153"/>
      <c r="F34" s="153"/>
      <c r="G34" s="153"/>
    </row>
    <row r="35" spans="2:10" x14ac:dyDescent="0.3">
      <c r="B35" s="153"/>
      <c r="C35" s="153"/>
      <c r="D35" s="153"/>
      <c r="E35" s="153"/>
      <c r="F35" s="159"/>
      <c r="G35" s="159"/>
    </row>
    <row r="36" spans="2:10" x14ac:dyDescent="0.3">
      <c r="B36" s="153" t="s">
        <v>294</v>
      </c>
      <c r="C36" s="154"/>
      <c r="D36" s="153"/>
      <c r="E36" s="153"/>
    </row>
    <row r="37" spans="2:10" x14ac:dyDescent="0.3">
      <c r="B37" s="153"/>
      <c r="C37" s="153"/>
      <c r="D37" s="153"/>
      <c r="E37" s="153"/>
    </row>
    <row r="38" spans="2:10" x14ac:dyDescent="0.3">
      <c r="B38" s="155" t="s">
        <v>15</v>
      </c>
      <c r="C38" s="153"/>
    </row>
    <row r="39" spans="2:10" x14ac:dyDescent="0.3">
      <c r="F39" s="134"/>
    </row>
    <row r="40" spans="2:10" x14ac:dyDescent="0.3">
      <c r="B40" s="130" t="s">
        <v>293</v>
      </c>
      <c r="C40" s="135">
        <f>C31*(1+$C$32)</f>
        <v>1.62</v>
      </c>
    </row>
    <row r="41" spans="2:10" x14ac:dyDescent="0.3">
      <c r="B41" s="153" t="s">
        <v>307</v>
      </c>
      <c r="C41" s="135">
        <f>C40*(1+$C$32)</f>
        <v>1.7496000000000003</v>
      </c>
    </row>
    <row r="42" spans="2:10" x14ac:dyDescent="0.3">
      <c r="B42" s="153" t="s">
        <v>306</v>
      </c>
      <c r="C42" s="135">
        <f>C41*(1+$C$32)</f>
        <v>1.8895680000000004</v>
      </c>
      <c r="F42" s="175" t="s">
        <v>305</v>
      </c>
      <c r="G42" s="172">
        <v>0</v>
      </c>
      <c r="H42" s="172">
        <v>1</v>
      </c>
      <c r="I42" s="172">
        <v>2</v>
      </c>
      <c r="J42" s="172">
        <v>3</v>
      </c>
    </row>
    <row r="43" spans="2:10" x14ac:dyDescent="0.3">
      <c r="B43" s="153" t="s">
        <v>304</v>
      </c>
      <c r="C43" s="135">
        <f>C33</f>
        <v>51</v>
      </c>
      <c r="F43" s="173" t="s">
        <v>17</v>
      </c>
      <c r="G43" s="172"/>
      <c r="H43" s="171">
        <f>C40</f>
        <v>1.62</v>
      </c>
      <c r="I43" s="171">
        <f>C41</f>
        <v>1.7496000000000003</v>
      </c>
      <c r="J43" s="171">
        <f>C43</f>
        <v>51</v>
      </c>
    </row>
    <row r="44" spans="2:10" x14ac:dyDescent="0.3">
      <c r="F44" s="173" t="s">
        <v>190</v>
      </c>
      <c r="G44" s="172">
        <f>1/(1+$C$34)^G42</f>
        <v>1</v>
      </c>
      <c r="H44" s="174">
        <f>1/(1+$C$34)^H42</f>
        <v>0.89285714285714279</v>
      </c>
      <c r="I44" s="174">
        <f>1/(1+$C$34)^I42</f>
        <v>0.79719387755102034</v>
      </c>
      <c r="J44" s="174">
        <f>1/(1+$C$34)^J42</f>
        <v>0.71178024781341087</v>
      </c>
    </row>
    <row r="45" spans="2:10" x14ac:dyDescent="0.3">
      <c r="B45" s="130" t="s">
        <v>303</v>
      </c>
      <c r="C45" s="135">
        <f>SUM(H45:J45)</f>
        <v>39.141991618075792</v>
      </c>
      <c r="F45" s="173" t="s">
        <v>39</v>
      </c>
      <c r="G45" s="172"/>
      <c r="H45" s="171">
        <f>H43*H44</f>
        <v>1.4464285714285714</v>
      </c>
      <c r="I45" s="171">
        <f>I43*I44</f>
        <v>1.3947704081632655</v>
      </c>
      <c r="J45" s="171">
        <f>J43*J44</f>
        <v>36.300792638483955</v>
      </c>
    </row>
    <row r="47" spans="2:10" x14ac:dyDescent="0.3">
      <c r="C47" s="131"/>
    </row>
    <row r="48" spans="2:10" x14ac:dyDescent="0.3">
      <c r="B48" s="140" t="s">
        <v>23</v>
      </c>
      <c r="C48" s="169">
        <f>C45</f>
        <v>39.141991618075792</v>
      </c>
    </row>
    <row r="49" spans="1:12" x14ac:dyDescent="0.3">
      <c r="C49" s="131"/>
    </row>
    <row r="50" spans="1:12" x14ac:dyDescent="0.3">
      <c r="A50" s="136"/>
    </row>
    <row r="51" spans="1:12" x14ac:dyDescent="0.3">
      <c r="A51" s="130">
        <v>5</v>
      </c>
      <c r="B51" s="168" t="s">
        <v>302</v>
      </c>
    </row>
    <row r="52" spans="1:12" x14ac:dyDescent="0.3">
      <c r="B52" s="168" t="s">
        <v>301</v>
      </c>
    </row>
    <row r="53" spans="1:12" x14ac:dyDescent="0.3">
      <c r="B53" s="148"/>
    </row>
    <row r="54" spans="1:12" x14ac:dyDescent="0.3">
      <c r="B54" s="155" t="s">
        <v>4</v>
      </c>
      <c r="C54" s="157"/>
    </row>
    <row r="55" spans="1:12" x14ac:dyDescent="0.3">
      <c r="B55" s="130" t="s">
        <v>300</v>
      </c>
      <c r="C55" s="135">
        <v>5</v>
      </c>
    </row>
    <row r="56" spans="1:12" x14ac:dyDescent="0.3">
      <c r="B56" s="155" t="s">
        <v>295</v>
      </c>
      <c r="C56" s="156">
        <v>0.08</v>
      </c>
    </row>
    <row r="57" spans="1:12" x14ac:dyDescent="0.3">
      <c r="B57" s="153"/>
      <c r="C57" s="153"/>
      <c r="E57" s="134"/>
    </row>
    <row r="58" spans="1:12" x14ac:dyDescent="0.3">
      <c r="B58" s="153" t="s">
        <v>299</v>
      </c>
      <c r="C58" s="154"/>
    </row>
    <row r="59" spans="1:12" x14ac:dyDescent="0.3">
      <c r="L59" s="151"/>
    </row>
    <row r="60" spans="1:12" x14ac:dyDescent="0.3">
      <c r="B60" s="155" t="s">
        <v>15</v>
      </c>
      <c r="C60" s="153"/>
    </row>
    <row r="62" spans="1:12" x14ac:dyDescent="0.3">
      <c r="B62" s="130" t="s">
        <v>298</v>
      </c>
      <c r="C62" s="135"/>
    </row>
    <row r="63" spans="1:12" x14ac:dyDescent="0.3">
      <c r="B63" s="153"/>
      <c r="C63" s="170"/>
    </row>
    <row r="64" spans="1:12" x14ac:dyDescent="0.3">
      <c r="B64" s="140" t="s">
        <v>23</v>
      </c>
      <c r="C64" s="169">
        <f>C55/C56</f>
        <v>62.5</v>
      </c>
    </row>
    <row r="65" spans="1:11" x14ac:dyDescent="0.3">
      <c r="B65" s="153"/>
      <c r="C65" s="135"/>
    </row>
    <row r="66" spans="1:11" x14ac:dyDescent="0.3">
      <c r="K66" s="136"/>
    </row>
    <row r="67" spans="1:11" x14ac:dyDescent="0.3">
      <c r="A67" s="130">
        <v>6</v>
      </c>
      <c r="B67" s="168" t="s">
        <v>297</v>
      </c>
      <c r="C67" s="135"/>
      <c r="G67" s="136"/>
      <c r="H67" s="150"/>
      <c r="I67" s="136"/>
      <c r="J67" s="136"/>
      <c r="K67" s="136"/>
    </row>
    <row r="68" spans="1:11" x14ac:dyDescent="0.3">
      <c r="B68" s="148" t="s">
        <v>296</v>
      </c>
    </row>
    <row r="69" spans="1:11" x14ac:dyDescent="0.3">
      <c r="C69" s="131"/>
    </row>
    <row r="70" spans="1:11" x14ac:dyDescent="0.3">
      <c r="B70" s="155" t="s">
        <v>4</v>
      </c>
      <c r="C70" s="157"/>
    </row>
    <row r="71" spans="1:11" x14ac:dyDescent="0.3">
      <c r="B71" s="130" t="s">
        <v>81</v>
      </c>
      <c r="C71" s="135">
        <v>1.5</v>
      </c>
    </row>
    <row r="72" spans="1:11" x14ac:dyDescent="0.3">
      <c r="B72" s="155" t="s">
        <v>82</v>
      </c>
      <c r="C72" s="156">
        <v>0.08</v>
      </c>
    </row>
    <row r="73" spans="1:11" x14ac:dyDescent="0.3">
      <c r="A73" s="136"/>
      <c r="B73" s="153" t="s">
        <v>295</v>
      </c>
      <c r="C73" s="156">
        <v>0.12</v>
      </c>
    </row>
    <row r="74" spans="1:11" x14ac:dyDescent="0.3">
      <c r="F74" s="134"/>
    </row>
    <row r="75" spans="1:11" x14ac:dyDescent="0.3">
      <c r="B75" s="153" t="s">
        <v>294</v>
      </c>
      <c r="C75" s="154"/>
    </row>
    <row r="77" spans="1:11" x14ac:dyDescent="0.3">
      <c r="B77" s="155" t="s">
        <v>15</v>
      </c>
      <c r="C77" s="153"/>
    </row>
    <row r="79" spans="1:11" x14ac:dyDescent="0.3">
      <c r="B79" s="130" t="s">
        <v>293</v>
      </c>
      <c r="C79" s="135">
        <f>C71*(1+C72)</f>
        <v>1.62</v>
      </c>
    </row>
    <row r="80" spans="1:11" x14ac:dyDescent="0.3">
      <c r="B80" s="153"/>
      <c r="C80" s="170"/>
    </row>
    <row r="81" spans="1:18" x14ac:dyDescent="0.3">
      <c r="B81" s="130" t="s">
        <v>292</v>
      </c>
      <c r="C81" s="135">
        <f>C79/(C73-C72)</f>
        <v>40.500000000000007</v>
      </c>
    </row>
    <row r="82" spans="1:18" x14ac:dyDescent="0.3">
      <c r="C82" s="135"/>
    </row>
    <row r="83" spans="1:18" x14ac:dyDescent="0.3">
      <c r="B83" s="140" t="s">
        <v>23</v>
      </c>
      <c r="C83" s="169">
        <f>C81</f>
        <v>40.500000000000007</v>
      </c>
    </row>
    <row r="86" spans="1:18" x14ac:dyDescent="0.3">
      <c r="B86" s="134"/>
      <c r="E86" s="140"/>
      <c r="F86" s="140"/>
      <c r="G86" s="140"/>
    </row>
    <row r="87" spans="1:18" x14ac:dyDescent="0.3">
      <c r="A87" s="224"/>
      <c r="B87" s="224"/>
      <c r="C87" s="224"/>
      <c r="D87" s="224"/>
      <c r="E87" s="224"/>
      <c r="F87" s="224"/>
      <c r="G87" s="224"/>
      <c r="H87" s="224"/>
      <c r="I87" s="224"/>
      <c r="J87" s="224"/>
      <c r="K87" s="224"/>
      <c r="L87" s="224"/>
      <c r="M87" s="224"/>
      <c r="N87" s="224"/>
      <c r="O87" s="224"/>
      <c r="P87" s="224"/>
      <c r="Q87" s="224"/>
      <c r="R87" s="224"/>
    </row>
    <row r="88" spans="1:18" x14ac:dyDescent="0.3">
      <c r="A88" s="224"/>
      <c r="B88" s="225" t="s">
        <v>421</v>
      </c>
      <c r="C88" s="224"/>
      <c r="D88" s="224"/>
      <c r="E88" s="224"/>
      <c r="F88" s="224"/>
      <c r="G88" s="224"/>
      <c r="H88" s="224"/>
      <c r="I88" s="224"/>
      <c r="J88" s="224"/>
      <c r="K88" s="224"/>
      <c r="L88" s="224"/>
      <c r="M88" s="224"/>
      <c r="N88" s="224"/>
      <c r="O88" s="224"/>
      <c r="P88" s="224"/>
      <c r="Q88" s="224"/>
      <c r="R88" s="224"/>
    </row>
    <row r="89" spans="1:18" x14ac:dyDescent="0.3">
      <c r="A89" s="224"/>
      <c r="B89" s="233" t="s">
        <v>422</v>
      </c>
      <c r="C89" s="224"/>
      <c r="D89" s="224"/>
      <c r="E89" s="224"/>
      <c r="F89" s="224"/>
      <c r="G89" s="224"/>
      <c r="H89" s="224"/>
      <c r="I89" s="224"/>
      <c r="J89" s="224"/>
      <c r="K89" s="224"/>
      <c r="L89" s="224"/>
      <c r="M89" s="224"/>
      <c r="N89" s="224"/>
      <c r="O89" s="224"/>
      <c r="P89" s="224"/>
      <c r="Q89" s="224"/>
      <c r="R89" s="224"/>
    </row>
    <row r="90" spans="1:18" x14ac:dyDescent="0.3">
      <c r="A90" s="224"/>
      <c r="B90" s="224" t="s">
        <v>423</v>
      </c>
      <c r="C90" s="224"/>
      <c r="D90" s="224"/>
      <c r="E90" s="224"/>
      <c r="F90" s="224"/>
      <c r="G90" s="224"/>
      <c r="H90" s="224"/>
      <c r="I90" s="224"/>
      <c r="J90" s="224"/>
      <c r="K90" s="224"/>
      <c r="L90" s="224"/>
      <c r="M90" s="224"/>
      <c r="N90" s="224"/>
      <c r="O90" s="224"/>
      <c r="P90" s="224"/>
      <c r="Q90" s="224"/>
      <c r="R90" s="224"/>
    </row>
    <row r="91" spans="1:18" x14ac:dyDescent="0.3">
      <c r="A91" s="224"/>
      <c r="B91" s="233" t="s">
        <v>424</v>
      </c>
      <c r="C91" s="224"/>
      <c r="D91" s="224"/>
      <c r="E91" s="224"/>
      <c r="F91" s="224"/>
      <c r="G91" s="224"/>
      <c r="H91" s="224"/>
      <c r="I91" s="224"/>
      <c r="J91" s="224"/>
      <c r="K91" s="224"/>
      <c r="L91" s="224"/>
      <c r="M91" s="224"/>
      <c r="N91" s="224"/>
      <c r="O91" s="224"/>
      <c r="P91" s="224"/>
      <c r="Q91" s="224"/>
      <c r="R91" s="224"/>
    </row>
    <row r="92" spans="1:18" x14ac:dyDescent="0.3">
      <c r="A92" s="224"/>
      <c r="B92" s="224"/>
      <c r="C92" s="224"/>
      <c r="D92" s="224"/>
      <c r="E92" s="224"/>
      <c r="F92" s="224"/>
      <c r="G92" s="224"/>
      <c r="H92" s="224"/>
      <c r="I92" s="224"/>
      <c r="J92" s="224"/>
      <c r="K92" s="224"/>
      <c r="L92" s="224"/>
      <c r="M92" s="224"/>
      <c r="N92" s="224"/>
      <c r="O92" s="224"/>
      <c r="P92" s="224"/>
      <c r="Q92" s="224"/>
      <c r="R92" s="224"/>
    </row>
    <row r="93" spans="1:18" x14ac:dyDescent="0.3">
      <c r="A93" s="224"/>
      <c r="B93" s="234" t="s">
        <v>425</v>
      </c>
      <c r="C93" s="224"/>
      <c r="D93" s="224"/>
      <c r="E93" s="224"/>
      <c r="F93" s="224"/>
      <c r="G93" s="224"/>
      <c r="H93" s="224"/>
      <c r="I93" s="224"/>
      <c r="J93" s="224"/>
      <c r="K93" s="224"/>
      <c r="L93" s="224"/>
      <c r="M93" s="224"/>
      <c r="N93" s="224"/>
      <c r="O93" s="224"/>
      <c r="P93" s="224"/>
      <c r="Q93" s="224"/>
      <c r="R93" s="224"/>
    </row>
    <row r="94" spans="1:18" x14ac:dyDescent="0.3">
      <c r="A94" s="224"/>
      <c r="B94" s="224" t="s">
        <v>426</v>
      </c>
      <c r="C94" s="227">
        <v>1.25</v>
      </c>
      <c r="D94" s="224"/>
      <c r="E94" s="224"/>
      <c r="F94" s="224"/>
      <c r="G94" s="224"/>
      <c r="H94" s="224"/>
      <c r="I94" s="224"/>
      <c r="J94" s="224"/>
      <c r="K94" s="224"/>
      <c r="L94" s="224"/>
      <c r="M94" s="224"/>
      <c r="N94" s="224"/>
      <c r="O94" s="224"/>
      <c r="P94" s="224"/>
      <c r="Q94" s="224"/>
      <c r="R94" s="224"/>
    </row>
    <row r="95" spans="1:18" x14ac:dyDescent="0.3">
      <c r="A95" s="224"/>
      <c r="B95" s="224" t="s">
        <v>91</v>
      </c>
      <c r="C95" s="228">
        <v>0.2</v>
      </c>
      <c r="D95" s="224"/>
      <c r="E95" s="224"/>
      <c r="F95" s="224"/>
      <c r="G95" s="224"/>
      <c r="H95" s="224"/>
      <c r="I95" s="224"/>
      <c r="J95" s="224"/>
      <c r="K95" s="224"/>
      <c r="L95" s="224"/>
      <c r="M95" s="224"/>
      <c r="N95" s="224"/>
      <c r="O95" s="224"/>
      <c r="P95" s="224"/>
      <c r="Q95" s="224"/>
      <c r="R95" s="224"/>
    </row>
    <row r="96" spans="1:18" x14ac:dyDescent="0.3">
      <c r="A96" s="224"/>
      <c r="B96" s="224" t="s">
        <v>29</v>
      </c>
      <c r="C96" s="224">
        <v>2</v>
      </c>
      <c r="D96" s="224" t="s">
        <v>6</v>
      </c>
      <c r="E96" s="224"/>
      <c r="F96" s="224"/>
      <c r="G96" s="224"/>
      <c r="H96" s="224"/>
      <c r="I96" s="224"/>
      <c r="J96" s="224"/>
      <c r="K96" s="224"/>
      <c r="L96" s="224"/>
      <c r="M96" s="224"/>
      <c r="N96" s="224"/>
      <c r="O96" s="224"/>
      <c r="P96" s="224"/>
      <c r="Q96" s="224"/>
      <c r="R96" s="224"/>
    </row>
    <row r="97" spans="1:18" x14ac:dyDescent="0.3">
      <c r="A97" s="224"/>
      <c r="B97" s="224" t="s">
        <v>93</v>
      </c>
      <c r="C97" s="228">
        <v>0.05</v>
      </c>
      <c r="D97" s="224"/>
      <c r="E97" s="224"/>
      <c r="F97" s="224"/>
      <c r="G97" s="224"/>
      <c r="H97" s="224"/>
      <c r="I97" s="224"/>
      <c r="J97" s="224"/>
      <c r="K97" s="224"/>
      <c r="L97" s="224"/>
      <c r="M97" s="224"/>
      <c r="N97" s="224"/>
      <c r="O97" s="224"/>
      <c r="P97" s="224"/>
      <c r="Q97" s="224"/>
      <c r="R97" s="224"/>
    </row>
    <row r="98" spans="1:18" x14ac:dyDescent="0.3">
      <c r="A98" s="224"/>
      <c r="B98" s="224" t="s">
        <v>83</v>
      </c>
      <c r="C98" s="228">
        <v>0.1</v>
      </c>
      <c r="D98" s="224"/>
      <c r="E98" s="224"/>
      <c r="F98" s="224"/>
      <c r="G98" s="224"/>
      <c r="H98" s="224"/>
      <c r="I98" s="224"/>
      <c r="J98" s="224"/>
      <c r="K98" s="224"/>
      <c r="L98" s="224"/>
      <c r="M98" s="224"/>
      <c r="N98" s="224"/>
      <c r="O98" s="224"/>
      <c r="P98" s="224"/>
      <c r="Q98" s="224"/>
      <c r="R98" s="224"/>
    </row>
    <row r="99" spans="1:18" x14ac:dyDescent="0.3">
      <c r="A99" s="224"/>
      <c r="B99" s="224"/>
      <c r="C99" s="224"/>
      <c r="D99" s="224"/>
      <c r="E99" s="224"/>
      <c r="F99" s="224"/>
      <c r="G99" s="224"/>
      <c r="H99" s="224"/>
      <c r="I99" s="224"/>
      <c r="J99" s="224"/>
      <c r="K99" s="224"/>
      <c r="L99" s="224"/>
      <c r="M99" s="224"/>
      <c r="N99" s="224"/>
      <c r="O99" s="224"/>
      <c r="P99" s="224"/>
      <c r="Q99" s="224"/>
      <c r="R99" s="224"/>
    </row>
    <row r="100" spans="1:18" x14ac:dyDescent="0.3">
      <c r="A100" s="224"/>
      <c r="B100" s="225" t="s">
        <v>427</v>
      </c>
      <c r="C100" s="224"/>
      <c r="D100" s="224"/>
      <c r="E100" s="224"/>
      <c r="F100" s="224"/>
      <c r="G100" s="224"/>
      <c r="H100" s="224"/>
      <c r="I100" s="224"/>
      <c r="J100" s="224"/>
      <c r="K100" s="224"/>
      <c r="L100" s="224"/>
      <c r="M100" s="224"/>
      <c r="N100" s="224"/>
      <c r="O100" s="224"/>
      <c r="P100" s="224"/>
      <c r="Q100" s="224"/>
      <c r="R100" s="224"/>
    </row>
    <row r="101" spans="1:18" x14ac:dyDescent="0.3">
      <c r="A101" s="224"/>
      <c r="B101" s="224"/>
      <c r="C101" s="224"/>
      <c r="D101" s="224"/>
      <c r="E101" s="224"/>
      <c r="F101" s="224"/>
      <c r="G101" s="224"/>
      <c r="H101" s="224"/>
      <c r="I101" s="224"/>
      <c r="J101" s="224"/>
      <c r="K101" s="224"/>
      <c r="L101" s="224"/>
      <c r="M101" s="224"/>
      <c r="N101" s="224"/>
      <c r="O101" s="224"/>
      <c r="P101" s="224"/>
      <c r="Q101" s="224"/>
      <c r="R101" s="224"/>
    </row>
    <row r="102" spans="1:18" x14ac:dyDescent="0.3">
      <c r="A102" s="224"/>
      <c r="B102" s="234" t="s">
        <v>428</v>
      </c>
      <c r="C102" s="224"/>
      <c r="D102" s="224"/>
      <c r="E102" s="224"/>
      <c r="F102" s="224"/>
      <c r="G102" s="224"/>
      <c r="H102" s="224"/>
      <c r="I102" s="224"/>
      <c r="J102" s="224"/>
      <c r="K102" s="224"/>
      <c r="L102" s="224"/>
      <c r="M102" s="224"/>
      <c r="N102" s="224"/>
      <c r="O102" s="224"/>
      <c r="P102" s="224"/>
      <c r="Q102" s="224"/>
      <c r="R102" s="224"/>
    </row>
    <row r="103" spans="1:18" x14ac:dyDescent="0.3">
      <c r="A103" s="224"/>
      <c r="B103" s="224"/>
      <c r="C103" s="224"/>
      <c r="D103" s="224"/>
      <c r="E103" s="224"/>
      <c r="F103" s="224"/>
      <c r="G103" s="224"/>
      <c r="H103" s="224"/>
      <c r="I103" s="224"/>
      <c r="J103" s="224"/>
      <c r="K103" s="224"/>
      <c r="L103" s="224"/>
      <c r="M103" s="224"/>
      <c r="N103" s="224"/>
      <c r="O103" s="224"/>
      <c r="P103" s="224"/>
      <c r="Q103" s="224"/>
      <c r="R103" s="224"/>
    </row>
    <row r="104" spans="1:18" x14ac:dyDescent="0.3">
      <c r="A104" s="224"/>
      <c r="B104" s="224" t="s">
        <v>429</v>
      </c>
      <c r="C104" s="227">
        <v>1.5</v>
      </c>
      <c r="D104" s="224"/>
      <c r="E104" s="224"/>
      <c r="F104" s="224"/>
      <c r="G104" s="224"/>
      <c r="H104" s="224"/>
      <c r="I104" s="224"/>
      <c r="J104" s="224"/>
      <c r="K104" s="224"/>
      <c r="L104" s="224"/>
      <c r="M104" s="224"/>
      <c r="N104" s="224"/>
      <c r="O104" s="224"/>
      <c r="P104" s="224"/>
      <c r="Q104" s="224"/>
      <c r="R104" s="224"/>
    </row>
    <row r="105" spans="1:18" x14ac:dyDescent="0.3">
      <c r="A105" s="224"/>
      <c r="B105" s="224" t="s">
        <v>430</v>
      </c>
      <c r="C105" s="227">
        <v>1.7999999999999998</v>
      </c>
      <c r="D105" s="224"/>
      <c r="E105" s="224"/>
      <c r="F105" s="229">
        <v>0</v>
      </c>
      <c r="G105" s="229">
        <v>1</v>
      </c>
      <c r="H105" s="229">
        <v>2</v>
      </c>
      <c r="I105" s="229">
        <v>3</v>
      </c>
      <c r="J105" s="224"/>
      <c r="K105" s="224"/>
      <c r="L105" s="224"/>
      <c r="M105" s="224"/>
      <c r="N105" s="224"/>
      <c r="O105" s="224"/>
      <c r="P105" s="224"/>
      <c r="Q105" s="224"/>
      <c r="R105" s="224"/>
    </row>
    <row r="106" spans="1:18" x14ac:dyDescent="0.3">
      <c r="A106" s="224"/>
      <c r="B106" s="224" t="s">
        <v>431</v>
      </c>
      <c r="C106" s="227">
        <v>1.89</v>
      </c>
      <c r="D106" s="224"/>
      <c r="E106" s="224" t="s">
        <v>17</v>
      </c>
      <c r="F106" s="230"/>
      <c r="G106" s="231">
        <v>1.5</v>
      </c>
      <c r="H106" s="231">
        <v>1.7999999999999998</v>
      </c>
      <c r="I106" s="231">
        <v>1.89</v>
      </c>
      <c r="J106" s="224"/>
      <c r="K106" s="224"/>
      <c r="L106" s="224"/>
      <c r="M106" s="224"/>
      <c r="N106" s="224"/>
      <c r="O106" s="224"/>
      <c r="P106" s="224"/>
      <c r="Q106" s="224"/>
      <c r="R106" s="224"/>
    </row>
    <row r="107" spans="1:18" x14ac:dyDescent="0.3">
      <c r="A107" s="224"/>
      <c r="B107" s="224" t="s">
        <v>432</v>
      </c>
      <c r="C107" s="227"/>
      <c r="D107" s="224"/>
      <c r="E107" s="224" t="s">
        <v>38</v>
      </c>
      <c r="F107" s="229">
        <v>1</v>
      </c>
      <c r="G107" s="229">
        <v>0.90909090909090906</v>
      </c>
      <c r="H107" s="229">
        <v>0.82644628099173545</v>
      </c>
      <c r="I107" s="229">
        <v>0.75131480090157754</v>
      </c>
      <c r="J107" s="224"/>
      <c r="K107" s="224"/>
      <c r="L107" s="224"/>
      <c r="M107" s="224"/>
      <c r="N107" s="224"/>
      <c r="O107" s="224"/>
      <c r="P107" s="224"/>
      <c r="Q107" s="224"/>
      <c r="R107" s="224"/>
    </row>
    <row r="108" spans="1:18" x14ac:dyDescent="0.3">
      <c r="A108" s="224"/>
      <c r="B108" s="224"/>
      <c r="C108" s="224"/>
      <c r="D108" s="224"/>
      <c r="E108" s="224" t="s">
        <v>39</v>
      </c>
      <c r="F108" s="230"/>
      <c r="G108" s="231">
        <v>1.3636363636363635</v>
      </c>
      <c r="H108" s="231">
        <v>1.4876033057851237</v>
      </c>
      <c r="I108" s="231">
        <v>1.4199849737039816</v>
      </c>
      <c r="J108" s="224"/>
      <c r="K108" s="224"/>
      <c r="L108" s="224"/>
      <c r="M108" s="224"/>
      <c r="N108" s="224"/>
      <c r="O108" s="224"/>
      <c r="P108" s="224"/>
      <c r="Q108" s="224"/>
      <c r="R108" s="224"/>
    </row>
    <row r="109" spans="1:18" x14ac:dyDescent="0.3">
      <c r="A109" s="224"/>
      <c r="B109" s="224"/>
      <c r="C109" s="224"/>
      <c r="D109" s="224"/>
      <c r="E109" s="224"/>
      <c r="F109" s="224"/>
      <c r="G109" s="224"/>
      <c r="H109" s="224"/>
      <c r="I109" s="224"/>
      <c r="J109" s="224"/>
      <c r="K109" s="224"/>
      <c r="L109" s="224"/>
      <c r="M109" s="224"/>
      <c r="N109" s="224"/>
      <c r="O109" s="224"/>
      <c r="P109" s="224"/>
      <c r="Q109" s="224"/>
      <c r="R109" s="224"/>
    </row>
    <row r="110" spans="1:18" x14ac:dyDescent="0.3">
      <c r="A110" s="224"/>
      <c r="B110" s="224"/>
      <c r="C110" s="224"/>
      <c r="D110" s="224"/>
      <c r="E110" s="224"/>
      <c r="F110" s="224"/>
      <c r="G110" s="224"/>
      <c r="H110" s="224"/>
      <c r="I110" s="224"/>
      <c r="J110" s="224"/>
      <c r="K110" s="224"/>
      <c r="L110" s="224"/>
      <c r="M110" s="224"/>
      <c r="N110" s="224"/>
      <c r="O110" s="224"/>
      <c r="P110" s="224"/>
      <c r="Q110" s="224"/>
      <c r="R110" s="224"/>
    </row>
    <row r="111" spans="1:18" x14ac:dyDescent="0.3">
      <c r="A111" s="224"/>
      <c r="B111" s="224" t="s">
        <v>433</v>
      </c>
      <c r="C111" s="227">
        <v>3.3</v>
      </c>
      <c r="D111" s="224"/>
      <c r="E111" s="224"/>
      <c r="F111" s="224"/>
      <c r="G111" s="224"/>
      <c r="H111" s="224"/>
      <c r="I111" s="224"/>
      <c r="J111" s="224"/>
      <c r="K111" s="224"/>
      <c r="L111" s="224"/>
      <c r="M111" s="224"/>
      <c r="N111" s="224"/>
      <c r="O111" s="224"/>
      <c r="P111" s="224"/>
      <c r="Q111" s="224"/>
      <c r="R111" s="224"/>
    </row>
    <row r="112" spans="1:18" x14ac:dyDescent="0.3">
      <c r="A112" s="224"/>
      <c r="B112" s="224" t="s">
        <v>434</v>
      </c>
      <c r="C112" s="227">
        <f>C106/C97</f>
        <v>37.799999999999997</v>
      </c>
      <c r="E112" s="224"/>
      <c r="F112" s="224"/>
      <c r="G112" s="224"/>
      <c r="H112" s="224"/>
      <c r="I112" s="224"/>
      <c r="J112" s="224"/>
      <c r="K112" s="224"/>
      <c r="L112" s="224"/>
      <c r="M112" s="224"/>
      <c r="N112" s="224"/>
      <c r="O112" s="224"/>
      <c r="P112" s="224"/>
      <c r="Q112" s="224"/>
      <c r="R112" s="224"/>
    </row>
    <row r="113" spans="1:41" x14ac:dyDescent="0.3">
      <c r="A113" s="224"/>
      <c r="B113" s="224"/>
      <c r="C113" s="224"/>
      <c r="D113" s="224"/>
      <c r="E113" s="227"/>
      <c r="F113" s="224"/>
      <c r="G113" s="224"/>
      <c r="H113" s="224"/>
      <c r="I113" s="224"/>
      <c r="J113" s="224"/>
      <c r="K113" s="224"/>
      <c r="L113" s="224"/>
      <c r="M113" s="224"/>
      <c r="N113" s="224"/>
      <c r="O113" s="224"/>
      <c r="P113" s="224"/>
      <c r="Q113" s="224"/>
      <c r="R113" s="224"/>
    </row>
    <row r="114" spans="1:41" x14ac:dyDescent="0.3">
      <c r="A114" s="224"/>
      <c r="B114" s="224" t="s">
        <v>435</v>
      </c>
      <c r="C114" s="232">
        <v>30.879038317054832</v>
      </c>
      <c r="D114" s="224"/>
      <c r="E114" s="224"/>
      <c r="F114" s="224"/>
      <c r="G114" s="224"/>
      <c r="H114" s="224"/>
      <c r="I114" s="224"/>
      <c r="J114" s="224"/>
      <c r="K114" s="224"/>
      <c r="L114" s="224"/>
      <c r="M114" s="224"/>
      <c r="N114" s="224"/>
      <c r="O114" s="224"/>
      <c r="P114" s="224"/>
      <c r="Q114" s="224"/>
      <c r="R114" s="224"/>
    </row>
    <row r="115" spans="1:41" x14ac:dyDescent="0.3">
      <c r="A115" s="224"/>
      <c r="B115" s="224"/>
      <c r="C115" s="224"/>
      <c r="D115" s="224"/>
      <c r="E115" s="224"/>
      <c r="F115" s="224"/>
      <c r="G115" s="224"/>
      <c r="H115" s="224"/>
      <c r="I115" s="224"/>
      <c r="J115" s="224"/>
      <c r="K115" s="224"/>
      <c r="L115" s="224"/>
      <c r="M115" s="224"/>
      <c r="N115" s="224"/>
      <c r="O115" s="224"/>
      <c r="P115" s="224"/>
      <c r="Q115" s="224"/>
      <c r="R115" s="224"/>
    </row>
    <row r="116" spans="1:41" x14ac:dyDescent="0.3">
      <c r="A116" s="224"/>
      <c r="B116" s="224" t="s">
        <v>23</v>
      </c>
      <c r="C116" s="232"/>
      <c r="D116" s="224"/>
      <c r="E116" s="224"/>
      <c r="F116" s="224"/>
      <c r="G116" s="224"/>
      <c r="H116" s="224"/>
      <c r="I116" s="224"/>
      <c r="J116" s="224"/>
      <c r="K116" s="224"/>
      <c r="L116" s="224"/>
      <c r="M116" s="224"/>
      <c r="N116" s="224"/>
      <c r="O116" s="224"/>
      <c r="P116" s="224"/>
      <c r="Q116" s="224"/>
      <c r="R116" s="224"/>
    </row>
    <row r="117" spans="1:41" x14ac:dyDescent="0.3">
      <c r="A117" s="224"/>
      <c r="B117" s="224"/>
      <c r="C117" s="224"/>
      <c r="D117" s="224"/>
      <c r="E117" s="224"/>
      <c r="F117" s="224"/>
      <c r="G117" s="224"/>
      <c r="H117" s="224"/>
      <c r="I117" s="224"/>
      <c r="J117" s="224"/>
      <c r="K117" s="224"/>
      <c r="L117" s="224"/>
      <c r="M117" s="224"/>
      <c r="N117" s="224"/>
      <c r="O117" s="224"/>
      <c r="P117" s="224"/>
      <c r="Q117" s="224"/>
      <c r="R117" s="224"/>
      <c r="S117" s="146"/>
      <c r="T117" s="146"/>
      <c r="U117" s="146"/>
      <c r="V117" s="146"/>
      <c r="W117" s="146"/>
      <c r="X117" s="146"/>
      <c r="Y117" s="146"/>
      <c r="Z117" s="146"/>
      <c r="AA117" s="146"/>
      <c r="AB117" s="146"/>
      <c r="AC117" s="146"/>
      <c r="AD117" s="146"/>
      <c r="AE117" s="146"/>
      <c r="AF117" s="146"/>
      <c r="AG117" s="146"/>
      <c r="AH117" s="146"/>
      <c r="AI117" s="146"/>
      <c r="AJ117" s="146"/>
      <c r="AK117" s="146"/>
      <c r="AL117" s="146"/>
      <c r="AM117" s="146"/>
      <c r="AN117" s="146"/>
      <c r="AO117" s="146"/>
    </row>
    <row r="118" spans="1:41" x14ac:dyDescent="0.3">
      <c r="E118" s="133"/>
      <c r="F118" s="145"/>
      <c r="G118" s="144"/>
      <c r="H118" s="144"/>
      <c r="I118" s="144"/>
      <c r="J118" s="144"/>
      <c r="K118" s="144"/>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c r="AH118" s="144"/>
      <c r="AI118" s="144"/>
      <c r="AJ118" s="144"/>
      <c r="AK118" s="144"/>
      <c r="AL118" s="144"/>
      <c r="AM118" s="144"/>
      <c r="AN118" s="144"/>
      <c r="AO118" s="144"/>
    </row>
    <row r="119" spans="1:41" x14ac:dyDescent="0.3">
      <c r="A119"/>
      <c r="B119"/>
      <c r="C119"/>
      <c r="D119"/>
      <c r="E119"/>
      <c r="F119"/>
      <c r="G119"/>
      <c r="H119"/>
      <c r="I119"/>
      <c r="J119"/>
      <c r="K119"/>
      <c r="L119"/>
      <c r="M119"/>
      <c r="N119"/>
      <c r="O119"/>
      <c r="P119"/>
      <c r="Q119"/>
      <c r="R119"/>
      <c r="S119"/>
      <c r="T119"/>
      <c r="U119"/>
      <c r="V119"/>
      <c r="W119"/>
      <c r="X119"/>
      <c r="Y119"/>
      <c r="Z119"/>
      <c r="AA119"/>
    </row>
    <row r="120" spans="1:41" x14ac:dyDescent="0.3">
      <c r="A120" s="1">
        <v>1</v>
      </c>
      <c r="B120" s="44" t="s">
        <v>79</v>
      </c>
      <c r="C120" s="1"/>
      <c r="D120" s="1"/>
      <c r="E120" s="1"/>
      <c r="F120" s="1"/>
      <c r="G120" s="1"/>
      <c r="H120" s="1"/>
      <c r="I120" s="1"/>
      <c r="J120" s="1"/>
      <c r="K120" s="1"/>
      <c r="L120" s="1"/>
      <c r="M120" s="1"/>
      <c r="N120" s="1"/>
      <c r="O120" s="1"/>
      <c r="P120" s="1"/>
      <c r="Q120" s="1"/>
      <c r="R120" s="1"/>
      <c r="S120" s="1"/>
      <c r="T120"/>
      <c r="U120"/>
      <c r="V120"/>
      <c r="W120"/>
      <c r="X120"/>
      <c r="Y120"/>
      <c r="Z120"/>
    </row>
    <row r="121" spans="1:41" x14ac:dyDescent="0.3">
      <c r="A121" s="1"/>
      <c r="B121" s="44" t="s">
        <v>80</v>
      </c>
      <c r="C121" s="1"/>
      <c r="D121" s="1"/>
      <c r="E121" s="1"/>
      <c r="F121" s="1"/>
      <c r="G121" s="1"/>
      <c r="H121" s="1"/>
      <c r="I121" s="1"/>
      <c r="J121" s="1"/>
      <c r="K121" s="1"/>
      <c r="L121" s="1"/>
      <c r="M121" s="1"/>
      <c r="N121" s="1"/>
      <c r="O121" s="1"/>
      <c r="P121" s="1"/>
      <c r="Q121" s="1"/>
      <c r="R121" s="1"/>
      <c r="S121" s="1"/>
      <c r="T121"/>
      <c r="U121"/>
      <c r="V121"/>
      <c r="W121"/>
      <c r="X121"/>
      <c r="Y121"/>
      <c r="Z121"/>
    </row>
    <row r="122" spans="1:41" x14ac:dyDescent="0.3">
      <c r="A122" s="1"/>
      <c r="B122" s="1"/>
      <c r="C122" s="1"/>
      <c r="D122" s="1"/>
      <c r="E122" s="1"/>
      <c r="F122" s="1"/>
      <c r="G122" s="1"/>
      <c r="H122" s="1"/>
      <c r="I122" s="1"/>
      <c r="J122" s="1"/>
      <c r="K122" s="1"/>
      <c r="L122" s="1"/>
      <c r="M122" s="1"/>
      <c r="N122" s="1"/>
      <c r="O122" s="1"/>
      <c r="P122" s="1"/>
      <c r="Q122" s="1"/>
      <c r="R122" s="1"/>
      <c r="S122" s="1"/>
      <c r="T122"/>
      <c r="U122"/>
      <c r="V122"/>
      <c r="W122"/>
      <c r="X122"/>
      <c r="Y122"/>
      <c r="Z122"/>
    </row>
    <row r="123" spans="1:41" x14ac:dyDescent="0.3">
      <c r="A123" s="1"/>
      <c r="B123" s="45" t="s">
        <v>4</v>
      </c>
      <c r="C123" s="1"/>
      <c r="D123" s="1"/>
      <c r="E123" s="1"/>
      <c r="F123" s="1"/>
      <c r="G123" s="1"/>
      <c r="H123" s="1"/>
      <c r="I123" s="1"/>
      <c r="J123" s="1"/>
      <c r="K123" s="1"/>
      <c r="L123" s="1"/>
      <c r="M123" s="1"/>
      <c r="N123" s="1"/>
      <c r="O123" s="1"/>
      <c r="P123" s="1"/>
      <c r="Q123" s="1"/>
      <c r="R123" s="1"/>
      <c r="S123" s="1"/>
      <c r="T123"/>
      <c r="U123"/>
      <c r="V123"/>
      <c r="W123"/>
      <c r="X123"/>
      <c r="Y123"/>
      <c r="Z123"/>
    </row>
    <row r="124" spans="1:41" x14ac:dyDescent="0.3">
      <c r="A124" s="1"/>
      <c r="B124" s="1"/>
      <c r="C124" s="1"/>
      <c r="D124" s="1"/>
      <c r="E124" s="1"/>
      <c r="F124" s="1"/>
      <c r="G124" s="1"/>
      <c r="H124" s="1"/>
      <c r="I124" s="1"/>
      <c r="J124" s="1"/>
      <c r="K124" s="1"/>
      <c r="L124" s="1"/>
      <c r="M124" s="1"/>
      <c r="N124" s="1"/>
      <c r="O124" s="1"/>
      <c r="P124" s="1"/>
      <c r="Q124" s="1"/>
      <c r="R124" s="1"/>
      <c r="S124" s="1"/>
      <c r="T124"/>
      <c r="U124"/>
      <c r="V124"/>
      <c r="W124"/>
      <c r="X124"/>
      <c r="Y124"/>
      <c r="Z124"/>
    </row>
    <row r="125" spans="1:41" x14ac:dyDescent="0.3">
      <c r="A125" s="1"/>
      <c r="B125" s="1" t="s">
        <v>81</v>
      </c>
      <c r="C125" s="5">
        <v>2</v>
      </c>
      <c r="D125" s="1"/>
      <c r="E125" s="1"/>
      <c r="F125" s="1"/>
      <c r="G125" s="1"/>
      <c r="H125" s="1"/>
      <c r="I125" s="1"/>
      <c r="J125" s="1"/>
      <c r="K125" s="1"/>
      <c r="L125" s="1"/>
      <c r="M125" s="1"/>
      <c r="N125" s="1"/>
      <c r="O125" s="1"/>
      <c r="P125" s="1"/>
      <c r="Q125" s="1"/>
      <c r="R125" s="1"/>
      <c r="S125" s="1"/>
      <c r="T125"/>
      <c r="U125"/>
      <c r="V125"/>
      <c r="W125"/>
      <c r="X125"/>
      <c r="Y125"/>
      <c r="Z125"/>
    </row>
    <row r="126" spans="1:41" x14ac:dyDescent="0.3">
      <c r="A126" s="1"/>
      <c r="B126" s="1" t="s">
        <v>82</v>
      </c>
      <c r="C126" s="4">
        <v>0.08</v>
      </c>
      <c r="D126" s="1"/>
      <c r="E126" s="1"/>
      <c r="F126" s="1"/>
      <c r="G126" s="1"/>
      <c r="H126" s="1"/>
      <c r="I126" s="1"/>
      <c r="J126" s="1"/>
      <c r="K126" s="1"/>
      <c r="L126" s="1"/>
      <c r="M126" s="1"/>
      <c r="N126" s="1"/>
      <c r="O126" s="1"/>
      <c r="P126" s="1"/>
      <c r="Q126" s="1"/>
      <c r="R126" s="1"/>
      <c r="S126" s="1"/>
      <c r="T126"/>
      <c r="U126"/>
      <c r="V126"/>
      <c r="W126"/>
      <c r="X126"/>
      <c r="Y126"/>
      <c r="Z126"/>
    </row>
    <row r="127" spans="1:41" x14ac:dyDescent="0.3">
      <c r="A127" s="1"/>
      <c r="B127" s="1" t="s">
        <v>83</v>
      </c>
      <c r="C127" s="4">
        <v>0.15</v>
      </c>
      <c r="D127" s="1"/>
      <c r="E127" s="1"/>
      <c r="F127" s="1"/>
      <c r="G127" s="1"/>
      <c r="H127" s="1"/>
      <c r="I127" s="1"/>
      <c r="J127" s="1"/>
      <c r="K127" s="1"/>
      <c r="L127" s="1"/>
      <c r="M127" s="1"/>
      <c r="N127" s="1"/>
      <c r="O127" s="1"/>
      <c r="P127" s="1"/>
      <c r="Q127" s="1"/>
      <c r="R127" s="1"/>
      <c r="S127" s="1"/>
      <c r="T127"/>
      <c r="U127"/>
      <c r="V127"/>
      <c r="W127"/>
      <c r="X127"/>
      <c r="Y127"/>
      <c r="Z127"/>
    </row>
    <row r="128" spans="1:41" x14ac:dyDescent="0.3">
      <c r="A128" s="1"/>
      <c r="B128" s="1" t="s">
        <v>84</v>
      </c>
      <c r="C128" s="5">
        <v>78</v>
      </c>
      <c r="D128" s="1"/>
      <c r="E128" s="1"/>
      <c r="F128" s="1"/>
      <c r="G128" s="1"/>
      <c r="H128" s="1"/>
      <c r="I128" s="1"/>
      <c r="J128" s="1"/>
      <c r="K128" s="1"/>
      <c r="L128" s="1"/>
      <c r="M128" s="1"/>
      <c r="N128" s="1"/>
      <c r="O128" s="1"/>
      <c r="P128" s="1"/>
      <c r="Q128" s="1"/>
      <c r="R128" s="1"/>
      <c r="S128" s="1"/>
      <c r="T128"/>
      <c r="U128"/>
      <c r="V128"/>
      <c r="W128"/>
      <c r="X128"/>
      <c r="Y128"/>
      <c r="Z128"/>
    </row>
    <row r="129" spans="1:26" x14ac:dyDescent="0.3">
      <c r="A129" s="1"/>
      <c r="B129" s="1"/>
      <c r="C129" s="1"/>
      <c r="D129" s="1"/>
      <c r="E129" s="1"/>
      <c r="F129" s="1"/>
      <c r="G129" s="1"/>
      <c r="H129" s="1"/>
      <c r="I129" s="1"/>
      <c r="J129" s="1"/>
      <c r="K129" s="1"/>
      <c r="L129" s="1"/>
      <c r="M129" s="1"/>
      <c r="N129" s="1"/>
      <c r="O129" s="1"/>
      <c r="P129" s="1"/>
      <c r="Q129" s="1"/>
      <c r="R129" s="1"/>
      <c r="S129" s="1"/>
      <c r="T129"/>
      <c r="U129"/>
      <c r="V129"/>
      <c r="W129"/>
      <c r="X129"/>
      <c r="Y129"/>
      <c r="Z129"/>
    </row>
    <row r="130" spans="1:26" x14ac:dyDescent="0.3">
      <c r="A130" s="1"/>
      <c r="B130" s="1" t="s">
        <v>36</v>
      </c>
      <c r="C130" s="1"/>
      <c r="D130" s="1"/>
      <c r="E130" s="1"/>
      <c r="F130" s="1"/>
      <c r="G130" s="1"/>
      <c r="H130" s="1"/>
      <c r="I130" s="1"/>
      <c r="J130" s="1"/>
      <c r="K130" s="1"/>
      <c r="L130" s="1"/>
      <c r="M130" s="1"/>
      <c r="N130" s="1"/>
      <c r="O130" s="1"/>
      <c r="P130" s="1"/>
      <c r="Q130" s="1"/>
      <c r="R130" s="1"/>
      <c r="S130" s="1"/>
      <c r="T130"/>
      <c r="U130"/>
      <c r="V130"/>
      <c r="W130"/>
      <c r="X130"/>
      <c r="Y130"/>
      <c r="Z130"/>
    </row>
    <row r="131" spans="1:26" x14ac:dyDescent="0.3">
      <c r="A131" s="1"/>
      <c r="B131" s="1"/>
      <c r="C131" s="1"/>
      <c r="D131" s="1"/>
      <c r="E131" s="1"/>
      <c r="F131" s="1"/>
      <c r="G131" s="1"/>
      <c r="H131" s="1"/>
      <c r="I131" s="1"/>
      <c r="J131" s="1"/>
      <c r="K131" s="1"/>
      <c r="L131" s="1"/>
      <c r="M131" s="1"/>
      <c r="N131" s="1"/>
      <c r="O131" s="1"/>
      <c r="P131" s="1"/>
      <c r="Q131" s="1"/>
      <c r="R131" s="1"/>
      <c r="S131" s="1"/>
      <c r="T131"/>
      <c r="U131"/>
      <c r="V131"/>
      <c r="W131"/>
      <c r="X131"/>
      <c r="Y131"/>
      <c r="Z131"/>
    </row>
    <row r="132" spans="1:26" x14ac:dyDescent="0.3">
      <c r="A132" s="1"/>
      <c r="B132" s="45" t="s">
        <v>15</v>
      </c>
      <c r="C132" s="1"/>
      <c r="D132" s="1"/>
      <c r="E132" s="1"/>
      <c r="F132" s="1"/>
      <c r="G132" s="1"/>
      <c r="H132" s="1"/>
      <c r="I132" s="1"/>
      <c r="J132" s="1"/>
      <c r="K132" s="1"/>
      <c r="L132" s="1"/>
      <c r="M132" s="1"/>
      <c r="N132" s="1"/>
      <c r="O132" s="1"/>
      <c r="P132" s="1"/>
      <c r="Q132" s="1"/>
      <c r="R132" s="1"/>
      <c r="S132" s="1"/>
      <c r="T132"/>
      <c r="U132"/>
      <c r="V132"/>
      <c r="W132"/>
      <c r="X132"/>
      <c r="Y132"/>
      <c r="Z132"/>
    </row>
    <row r="133" spans="1:26" x14ac:dyDescent="0.3">
      <c r="A133" s="1"/>
      <c r="B133" s="1"/>
      <c r="C133" s="1"/>
      <c r="D133" s="1"/>
      <c r="E133" s="1"/>
      <c r="F133" s="1"/>
      <c r="G133" s="1"/>
      <c r="H133" s="1"/>
      <c r="I133" s="1"/>
      <c r="J133" s="1"/>
      <c r="K133" s="1"/>
      <c r="L133" s="1"/>
      <c r="M133" s="1"/>
      <c r="N133" s="1"/>
      <c r="O133" s="1"/>
      <c r="P133" s="1"/>
      <c r="Q133" s="1"/>
      <c r="R133" s="1"/>
      <c r="S133" s="1"/>
      <c r="T133"/>
      <c r="U133"/>
      <c r="V133"/>
      <c r="W133"/>
      <c r="X133"/>
      <c r="Y133"/>
      <c r="Z133"/>
    </row>
    <row r="134" spans="1:26" x14ac:dyDescent="0.3">
      <c r="A134" s="1"/>
      <c r="B134" s="1" t="s">
        <v>85</v>
      </c>
      <c r="C134" s="5">
        <v>2.16</v>
      </c>
      <c r="D134" s="1"/>
      <c r="E134" s="1"/>
      <c r="F134" s="1"/>
      <c r="G134" s="1"/>
      <c r="H134" s="1"/>
      <c r="I134" s="1"/>
      <c r="J134" s="1"/>
      <c r="K134" s="1"/>
      <c r="L134" s="1"/>
      <c r="M134" s="1"/>
      <c r="N134" s="1"/>
      <c r="O134" s="1"/>
      <c r="P134" s="1"/>
      <c r="Q134" s="1"/>
      <c r="R134" s="1"/>
      <c r="S134" s="1"/>
      <c r="T134"/>
      <c r="U134"/>
      <c r="V134"/>
      <c r="W134"/>
      <c r="X134"/>
      <c r="Y134"/>
      <c r="Z134"/>
    </row>
    <row r="135" spans="1:26" x14ac:dyDescent="0.3">
      <c r="A135" s="1"/>
      <c r="B135" s="1" t="s">
        <v>86</v>
      </c>
      <c r="C135" s="5">
        <v>2.3328000000000002</v>
      </c>
      <c r="D135" s="1"/>
      <c r="E135" s="1"/>
      <c r="F135" s="1"/>
      <c r="G135" s="1"/>
      <c r="H135" s="1"/>
      <c r="I135" s="1"/>
      <c r="J135" s="1"/>
      <c r="K135" s="1"/>
      <c r="L135" s="1"/>
      <c r="M135" s="1"/>
      <c r="N135" s="1"/>
      <c r="O135" s="1"/>
      <c r="P135" s="1"/>
      <c r="Q135" s="1"/>
      <c r="R135" s="1"/>
      <c r="S135" s="1"/>
      <c r="T135"/>
      <c r="U135"/>
      <c r="V135"/>
      <c r="W135"/>
      <c r="X135"/>
      <c r="Y135"/>
      <c r="Z135"/>
    </row>
    <row r="136" spans="1:26" x14ac:dyDescent="0.3">
      <c r="A136" s="1"/>
      <c r="B136" s="1" t="s">
        <v>87</v>
      </c>
      <c r="C136" s="5">
        <v>2.5194240000000003</v>
      </c>
      <c r="D136" s="1"/>
      <c r="E136" s="1"/>
      <c r="F136" s="1"/>
      <c r="G136" s="1"/>
      <c r="H136" s="1"/>
      <c r="I136" s="1"/>
      <c r="J136" s="1"/>
      <c r="K136" s="1"/>
      <c r="L136" s="1"/>
      <c r="M136" s="1"/>
      <c r="N136" s="1"/>
      <c r="O136" s="1"/>
      <c r="P136" s="1"/>
      <c r="Q136" s="1"/>
      <c r="R136" s="1"/>
      <c r="S136" s="1"/>
      <c r="T136"/>
      <c r="U136"/>
      <c r="V136"/>
      <c r="W136"/>
      <c r="X136"/>
      <c r="Y136"/>
      <c r="Z136"/>
    </row>
    <row r="137" spans="1:26" x14ac:dyDescent="0.3">
      <c r="A137" s="1"/>
      <c r="B137" s="1"/>
      <c r="C137" s="1"/>
      <c r="D137" s="1"/>
      <c r="E137" s="1"/>
      <c r="F137" s="1"/>
      <c r="G137" s="1"/>
      <c r="H137" s="1"/>
      <c r="I137" s="1"/>
      <c r="J137" s="1"/>
      <c r="K137" s="1"/>
      <c r="L137" s="1"/>
      <c r="M137" s="1"/>
      <c r="N137" s="1"/>
      <c r="O137" s="1"/>
      <c r="P137" s="1"/>
      <c r="Q137" s="1"/>
      <c r="R137" s="1"/>
      <c r="S137" s="1"/>
      <c r="T137"/>
      <c r="U137"/>
      <c r="V137"/>
      <c r="W137"/>
      <c r="X137"/>
      <c r="Y137"/>
      <c r="Z137"/>
    </row>
    <row r="138" spans="1:26" x14ac:dyDescent="0.3">
      <c r="A138" s="1"/>
      <c r="B138" s="1" t="s">
        <v>88</v>
      </c>
      <c r="C138" s="43">
        <v>56.58502112270898</v>
      </c>
      <c r="D138" s="1"/>
      <c r="E138" s="1"/>
      <c r="F138" s="6" t="s">
        <v>6</v>
      </c>
      <c r="G138" s="65">
        <v>0</v>
      </c>
      <c r="H138" s="65">
        <v>1</v>
      </c>
      <c r="I138" s="65">
        <v>2</v>
      </c>
      <c r="J138" s="65">
        <v>3</v>
      </c>
      <c r="K138" s="65">
        <v>3</v>
      </c>
      <c r="L138" s="1"/>
      <c r="M138" s="1"/>
      <c r="N138" s="1"/>
      <c r="O138" s="1"/>
      <c r="P138" s="1"/>
      <c r="Q138" s="1"/>
      <c r="R138" s="1"/>
      <c r="S138" s="1"/>
      <c r="T138"/>
      <c r="U138"/>
      <c r="V138"/>
      <c r="W138"/>
      <c r="X138"/>
      <c r="Y138"/>
      <c r="Z138"/>
    </row>
    <row r="139" spans="1:26" x14ac:dyDescent="0.3">
      <c r="A139" s="1"/>
      <c r="B139" s="1"/>
      <c r="C139" s="1"/>
      <c r="D139" s="1"/>
      <c r="E139" s="1"/>
      <c r="F139" s="6" t="s">
        <v>17</v>
      </c>
      <c r="G139" s="6"/>
      <c r="H139" s="11">
        <v>2.16</v>
      </c>
      <c r="I139" s="11">
        <v>2.3328000000000002</v>
      </c>
      <c r="J139" s="11">
        <v>2.5194240000000003</v>
      </c>
      <c r="K139" s="11">
        <v>78</v>
      </c>
      <c r="L139" s="1"/>
      <c r="M139" s="1"/>
      <c r="N139" s="1"/>
      <c r="O139" s="1"/>
      <c r="P139" s="1"/>
      <c r="Q139" s="1"/>
      <c r="R139" s="1"/>
      <c r="S139" s="1"/>
      <c r="T139"/>
      <c r="U139"/>
      <c r="V139"/>
      <c r="W139"/>
      <c r="X139"/>
      <c r="Y139"/>
      <c r="Z139"/>
    </row>
    <row r="140" spans="1:26" x14ac:dyDescent="0.3">
      <c r="A140" s="1"/>
      <c r="B140" s="1"/>
      <c r="C140" s="1"/>
      <c r="D140" s="1"/>
      <c r="E140" s="1"/>
      <c r="F140" s="6" t="s">
        <v>38</v>
      </c>
      <c r="G140" s="65">
        <v>1</v>
      </c>
      <c r="H140" s="13">
        <v>0.86956521739130443</v>
      </c>
      <c r="I140" s="13">
        <v>0.7561436672967865</v>
      </c>
      <c r="J140" s="13">
        <v>0.65751623243198831</v>
      </c>
      <c r="K140" s="13">
        <v>0.65751623243198831</v>
      </c>
      <c r="L140" s="1"/>
      <c r="M140" s="1"/>
      <c r="N140" s="1"/>
      <c r="O140" s="1"/>
      <c r="P140" s="1"/>
      <c r="Q140" s="1"/>
      <c r="R140" s="1"/>
      <c r="S140" s="1"/>
      <c r="T140"/>
      <c r="U140"/>
      <c r="V140"/>
      <c r="W140"/>
      <c r="X140"/>
      <c r="Y140"/>
      <c r="Z140"/>
    </row>
    <row r="141" spans="1:26" x14ac:dyDescent="0.3">
      <c r="A141" s="1"/>
      <c r="B141" s="1"/>
      <c r="C141" s="1"/>
      <c r="D141" s="1"/>
      <c r="E141" s="1"/>
      <c r="F141" s="6" t="s">
        <v>39</v>
      </c>
      <c r="G141" s="6"/>
      <c r="H141" s="11">
        <v>1.8782608695652177</v>
      </c>
      <c r="I141" s="11">
        <v>1.7639319470699437</v>
      </c>
      <c r="J141" s="11">
        <v>1.6565621763787299</v>
      </c>
      <c r="K141" s="11">
        <v>51.286266129695086</v>
      </c>
      <c r="L141" s="1"/>
      <c r="M141" s="1"/>
      <c r="N141" s="1"/>
      <c r="O141" s="1"/>
      <c r="P141" s="1"/>
      <c r="Q141" s="1"/>
      <c r="R141" s="1"/>
      <c r="S141" s="1"/>
      <c r="T141"/>
      <c r="U141"/>
      <c r="V141"/>
      <c r="W141"/>
      <c r="X141"/>
      <c r="Y141"/>
      <c r="Z141"/>
    </row>
    <row r="142" spans="1:26" x14ac:dyDescent="0.3">
      <c r="A142"/>
      <c r="B142"/>
      <c r="C142"/>
      <c r="D142"/>
      <c r="E142"/>
      <c r="F142"/>
      <c r="G142"/>
      <c r="H142"/>
      <c r="I142"/>
      <c r="J142"/>
      <c r="K142"/>
      <c r="L142"/>
      <c r="M142"/>
      <c r="N142"/>
      <c r="O142"/>
      <c r="P142"/>
      <c r="Q142"/>
      <c r="R142"/>
      <c r="S142"/>
      <c r="T142"/>
      <c r="U142"/>
      <c r="V142"/>
      <c r="W142"/>
      <c r="X142"/>
      <c r="Y142"/>
      <c r="Z142"/>
    </row>
    <row r="143" spans="1:26" x14ac:dyDescent="0.3">
      <c r="A143"/>
      <c r="B143"/>
      <c r="C143"/>
      <c r="D143"/>
      <c r="E143"/>
      <c r="F143"/>
      <c r="G143"/>
      <c r="H143"/>
      <c r="I143"/>
      <c r="J143"/>
      <c r="K143"/>
      <c r="L143"/>
      <c r="M143"/>
      <c r="N143"/>
      <c r="O143"/>
      <c r="P143"/>
      <c r="Q143"/>
      <c r="R143"/>
      <c r="S143"/>
      <c r="T143"/>
      <c r="U143"/>
      <c r="V143"/>
      <c r="W143"/>
      <c r="X143"/>
      <c r="Y143"/>
      <c r="Z143"/>
    </row>
    <row r="144" spans="1:26" x14ac:dyDescent="0.3">
      <c r="A144"/>
      <c r="B144"/>
      <c r="C144"/>
      <c r="D144"/>
      <c r="E144"/>
      <c r="F144"/>
      <c r="G144"/>
      <c r="H144"/>
      <c r="I144"/>
      <c r="J144"/>
      <c r="K144"/>
      <c r="L144"/>
      <c r="M144"/>
      <c r="N144"/>
      <c r="O144"/>
      <c r="P144"/>
      <c r="Q144"/>
      <c r="R144"/>
      <c r="S144"/>
      <c r="T144"/>
      <c r="U144"/>
      <c r="V144"/>
      <c r="W144"/>
      <c r="X144"/>
      <c r="Y144"/>
      <c r="Z144"/>
    </row>
    <row r="145" spans="1:26" x14ac:dyDescent="0.3">
      <c r="A145"/>
      <c r="B145"/>
      <c r="C145"/>
      <c r="D145"/>
      <c r="E145"/>
      <c r="F145"/>
      <c r="G145"/>
      <c r="H145"/>
      <c r="I145"/>
      <c r="J145"/>
      <c r="K145"/>
      <c r="L145"/>
      <c r="M145"/>
      <c r="N145"/>
      <c r="O145"/>
      <c r="P145"/>
      <c r="Q145"/>
      <c r="R145"/>
      <c r="S145"/>
      <c r="T145"/>
      <c r="U145"/>
      <c r="V145"/>
      <c r="W145"/>
      <c r="X145"/>
      <c r="Y145"/>
      <c r="Z145"/>
    </row>
    <row r="146" spans="1:26" x14ac:dyDescent="0.3">
      <c r="A146"/>
      <c r="B146"/>
      <c r="C146"/>
      <c r="D146"/>
      <c r="E146"/>
      <c r="F146"/>
      <c r="G146"/>
      <c r="H146"/>
      <c r="I146"/>
      <c r="J146"/>
      <c r="K146"/>
      <c r="L146"/>
      <c r="M146"/>
      <c r="N146"/>
      <c r="O146"/>
      <c r="P146"/>
      <c r="Q146"/>
      <c r="R146"/>
      <c r="S146"/>
      <c r="T146"/>
      <c r="U146"/>
      <c r="V146"/>
      <c r="W146"/>
      <c r="X146"/>
      <c r="Y146"/>
      <c r="Z146"/>
    </row>
    <row r="147" spans="1:26" x14ac:dyDescent="0.3">
      <c r="A147"/>
      <c r="B147"/>
      <c r="C147"/>
      <c r="D147"/>
      <c r="E147"/>
      <c r="F147"/>
      <c r="G147"/>
      <c r="H147"/>
      <c r="I147"/>
      <c r="J147"/>
      <c r="K147"/>
      <c r="L147"/>
      <c r="M147"/>
      <c r="N147"/>
      <c r="O147"/>
      <c r="P147"/>
      <c r="Q147"/>
      <c r="R147"/>
      <c r="S147"/>
      <c r="T147"/>
      <c r="U147"/>
      <c r="V147"/>
      <c r="W147"/>
      <c r="X147"/>
      <c r="Y147"/>
      <c r="Z147"/>
    </row>
    <row r="148" spans="1:26"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row>
    <row r="149" spans="1:26" x14ac:dyDescent="0.3">
      <c r="A149" s="1">
        <v>8</v>
      </c>
      <c r="B149" s="2" t="s">
        <v>89</v>
      </c>
      <c r="C149" s="1"/>
      <c r="D149" s="1"/>
      <c r="E149" s="1"/>
      <c r="F149" s="1"/>
      <c r="G149" s="1"/>
      <c r="H149" s="1"/>
      <c r="I149" s="1"/>
      <c r="J149" s="1"/>
      <c r="K149" s="1"/>
      <c r="L149" s="1"/>
      <c r="M149" s="1"/>
      <c r="N149" s="1"/>
      <c r="O149" s="1"/>
      <c r="P149" s="1"/>
      <c r="Q149" s="1"/>
      <c r="R149" s="1"/>
      <c r="S149" s="1"/>
      <c r="T149" s="1"/>
      <c r="U149" s="1"/>
      <c r="V149" s="1"/>
      <c r="W149" s="1"/>
      <c r="X149" s="1"/>
      <c r="Y149" s="1"/>
      <c r="Z149"/>
    </row>
    <row r="150" spans="1:26" x14ac:dyDescent="0.3">
      <c r="A150" s="1"/>
      <c r="B150" s="1" t="s">
        <v>90</v>
      </c>
      <c r="C150" s="1"/>
      <c r="D150" s="1"/>
      <c r="E150" s="1"/>
      <c r="F150" s="1"/>
      <c r="G150" s="1"/>
      <c r="H150" s="1"/>
      <c r="I150" s="1"/>
      <c r="J150" s="1"/>
      <c r="K150" s="1"/>
      <c r="L150" s="1"/>
      <c r="M150" s="1"/>
      <c r="N150" s="1"/>
      <c r="O150" s="1"/>
      <c r="P150" s="1"/>
      <c r="Q150" s="1"/>
      <c r="R150" s="1"/>
      <c r="S150" s="1"/>
      <c r="T150" s="1"/>
      <c r="U150" s="1"/>
      <c r="V150" s="1"/>
      <c r="W150" s="1"/>
      <c r="X150" s="1"/>
      <c r="Y150" s="1"/>
      <c r="Z150"/>
    </row>
    <row r="151" spans="1:26"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row>
    <row r="152" spans="1:26" x14ac:dyDescent="0.3">
      <c r="A152" s="1"/>
      <c r="B152" s="3" t="s">
        <v>4</v>
      </c>
      <c r="C152" s="1"/>
      <c r="D152" s="1"/>
      <c r="E152" s="1"/>
      <c r="F152" s="1"/>
      <c r="G152" s="1"/>
      <c r="H152" s="1"/>
      <c r="I152" s="1"/>
      <c r="J152" s="1"/>
      <c r="K152" s="1"/>
      <c r="L152" s="1"/>
      <c r="M152" s="1"/>
      <c r="N152" s="1"/>
      <c r="O152" s="1"/>
      <c r="P152" s="1"/>
      <c r="Q152" s="1"/>
      <c r="R152" s="1"/>
      <c r="S152" s="1"/>
      <c r="T152" s="1"/>
      <c r="U152" s="1"/>
      <c r="V152" s="1"/>
      <c r="W152" s="1"/>
      <c r="X152" s="1"/>
      <c r="Y152" s="1"/>
      <c r="Z152"/>
    </row>
    <row r="153" spans="1:26"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row>
    <row r="154" spans="1:26" x14ac:dyDescent="0.3">
      <c r="A154" s="1"/>
      <c r="B154" s="1" t="s">
        <v>81</v>
      </c>
      <c r="C154" s="5">
        <v>1</v>
      </c>
      <c r="D154" s="1"/>
      <c r="E154" s="1"/>
      <c r="F154" s="1"/>
      <c r="G154" s="1"/>
      <c r="H154" s="1"/>
      <c r="I154" s="1"/>
      <c r="J154" s="1"/>
      <c r="K154" s="1"/>
      <c r="L154" s="1"/>
      <c r="M154" s="1"/>
      <c r="N154" s="1"/>
      <c r="O154" s="1"/>
      <c r="P154" s="1"/>
      <c r="Q154" s="1"/>
      <c r="R154" s="1"/>
      <c r="S154" s="1"/>
      <c r="T154" s="1"/>
      <c r="U154" s="1"/>
      <c r="V154" s="1"/>
      <c r="W154" s="1"/>
      <c r="X154" s="1"/>
      <c r="Y154" s="1"/>
      <c r="Z154"/>
    </row>
    <row r="155" spans="1:26" x14ac:dyDescent="0.3">
      <c r="A155" s="1"/>
      <c r="B155" s="1" t="s">
        <v>29</v>
      </c>
      <c r="C155" s="46">
        <v>2</v>
      </c>
      <c r="D155" s="1" t="s">
        <v>6</v>
      </c>
      <c r="E155" s="1"/>
      <c r="F155" s="1"/>
      <c r="G155" s="1"/>
      <c r="H155" s="1"/>
      <c r="I155" s="1"/>
      <c r="J155" s="1"/>
      <c r="K155" s="1"/>
      <c r="L155" s="1"/>
      <c r="M155" s="1"/>
      <c r="N155" s="1"/>
      <c r="O155" s="1"/>
      <c r="P155" s="1"/>
      <c r="Q155" s="1"/>
      <c r="R155" s="1"/>
      <c r="S155" s="1"/>
      <c r="T155" s="1"/>
      <c r="U155" s="1"/>
      <c r="V155" s="1"/>
      <c r="W155" s="1"/>
      <c r="X155" s="1"/>
      <c r="Y155" s="1"/>
      <c r="Z155"/>
    </row>
    <row r="156" spans="1:26" x14ac:dyDescent="0.3">
      <c r="A156" s="1"/>
      <c r="B156" s="1" t="s">
        <v>91</v>
      </c>
      <c r="C156" s="4">
        <v>0.2</v>
      </c>
      <c r="D156" s="1"/>
      <c r="E156" s="1"/>
      <c r="F156" s="1"/>
      <c r="G156" s="1"/>
      <c r="H156" s="1"/>
      <c r="I156" s="1"/>
      <c r="J156" s="1"/>
      <c r="K156" s="1"/>
      <c r="L156" s="1"/>
      <c r="M156" s="1"/>
      <c r="N156" s="1"/>
      <c r="O156" s="1"/>
      <c r="P156" s="1"/>
      <c r="Q156" s="1"/>
      <c r="R156" s="1"/>
      <c r="S156" s="1"/>
      <c r="T156" s="1"/>
      <c r="U156" s="1"/>
      <c r="V156" s="1"/>
      <c r="W156" s="1"/>
      <c r="X156" s="1"/>
      <c r="Y156" s="1"/>
      <c r="Z156"/>
    </row>
    <row r="157" spans="1:26"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row>
    <row r="158" spans="1:26" x14ac:dyDescent="0.3">
      <c r="A158" s="1"/>
      <c r="B158" s="1" t="s">
        <v>35</v>
      </c>
      <c r="C158" s="47" t="s">
        <v>92</v>
      </c>
      <c r="D158" s="1" t="s">
        <v>6</v>
      </c>
      <c r="E158" s="1"/>
      <c r="F158" s="1"/>
      <c r="G158" s="1"/>
      <c r="H158" s="1"/>
      <c r="I158" s="1"/>
      <c r="J158" s="1"/>
      <c r="K158" s="1"/>
      <c r="L158" s="1"/>
      <c r="M158" s="1"/>
      <c r="N158" s="1"/>
      <c r="O158" s="1"/>
      <c r="P158" s="1"/>
      <c r="Q158" s="1"/>
      <c r="R158" s="1"/>
      <c r="S158" s="1"/>
      <c r="T158" s="1"/>
      <c r="U158" s="1"/>
      <c r="V158" s="1"/>
      <c r="W158" s="1"/>
      <c r="X158" s="1"/>
      <c r="Y158" s="1"/>
      <c r="Z158"/>
    </row>
    <row r="159" spans="1:26" x14ac:dyDescent="0.3">
      <c r="A159" s="1"/>
      <c r="B159" s="1" t="s">
        <v>93</v>
      </c>
      <c r="C159" s="4">
        <v>0.04</v>
      </c>
      <c r="D159" s="1"/>
      <c r="E159" s="1"/>
      <c r="F159" s="1"/>
      <c r="G159" s="1"/>
      <c r="H159" s="1"/>
      <c r="I159" s="1"/>
      <c r="J159" s="1"/>
      <c r="K159" s="1"/>
      <c r="L159" s="1"/>
      <c r="M159" s="1"/>
      <c r="N159" s="1"/>
      <c r="O159" s="1"/>
      <c r="P159" s="1"/>
      <c r="Q159" s="1"/>
      <c r="R159" s="1"/>
      <c r="S159" s="1"/>
      <c r="T159" s="1"/>
      <c r="U159" s="1"/>
      <c r="V159" s="1"/>
      <c r="W159" s="1"/>
      <c r="X159" s="1"/>
      <c r="Y159" s="1"/>
      <c r="Z159"/>
    </row>
    <row r="160" spans="1:26"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row>
    <row r="161" spans="1:26" x14ac:dyDescent="0.3">
      <c r="A161" s="1"/>
      <c r="B161" s="1" t="s">
        <v>83</v>
      </c>
      <c r="C161" s="20">
        <v>0.17</v>
      </c>
      <c r="D161" s="1"/>
      <c r="E161" s="1"/>
      <c r="F161" s="1"/>
      <c r="G161" s="1"/>
      <c r="H161" s="1"/>
      <c r="I161" s="1"/>
      <c r="J161" s="1"/>
      <c r="K161" s="1"/>
      <c r="L161" s="1"/>
      <c r="M161" s="1"/>
      <c r="N161" s="1"/>
      <c r="O161" s="1"/>
      <c r="P161" s="1"/>
      <c r="Q161" s="1"/>
      <c r="R161" s="1"/>
      <c r="S161" s="1"/>
      <c r="T161" s="1"/>
      <c r="U161" s="1"/>
      <c r="V161" s="1"/>
      <c r="W161" s="1"/>
      <c r="X161" s="1"/>
      <c r="Y161" s="1"/>
      <c r="Z161"/>
    </row>
    <row r="162" spans="1:26"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row>
    <row r="163" spans="1:26" x14ac:dyDescent="0.3">
      <c r="A163" s="1"/>
      <c r="B163" s="1" t="s">
        <v>36</v>
      </c>
      <c r="C163" s="1"/>
      <c r="D163" s="1"/>
      <c r="E163" s="1"/>
      <c r="F163" s="1"/>
      <c r="G163" s="1"/>
      <c r="H163" s="1"/>
      <c r="I163" s="1"/>
      <c r="J163" s="1"/>
      <c r="K163" s="1"/>
      <c r="L163" s="1"/>
      <c r="M163" s="1"/>
      <c r="N163" s="1"/>
      <c r="O163" s="1"/>
      <c r="P163" s="1"/>
      <c r="Q163" s="1"/>
      <c r="R163" s="1"/>
      <c r="S163" s="1"/>
      <c r="T163" s="1"/>
      <c r="U163" s="1"/>
      <c r="V163" s="1"/>
      <c r="W163" s="1"/>
      <c r="X163" s="1"/>
      <c r="Y163" s="1"/>
      <c r="Z163"/>
    </row>
    <row r="164" spans="1:26"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row>
    <row r="165" spans="1:26" x14ac:dyDescent="0.3">
      <c r="A165" s="1"/>
      <c r="B165" s="3" t="s">
        <v>15</v>
      </c>
      <c r="C165" s="1"/>
      <c r="D165" s="1"/>
      <c r="E165" s="1"/>
      <c r="F165" s="1"/>
      <c r="G165" s="1"/>
      <c r="H165" s="1"/>
      <c r="I165" s="1"/>
      <c r="J165" s="1"/>
      <c r="K165" s="1"/>
      <c r="L165" s="1"/>
      <c r="M165" s="1"/>
      <c r="N165" s="1"/>
      <c r="O165" s="1"/>
      <c r="P165" s="1"/>
      <c r="Q165" s="1"/>
      <c r="R165" s="1"/>
      <c r="S165" s="1"/>
      <c r="T165" s="1"/>
      <c r="U165" s="1"/>
      <c r="V165" s="1"/>
      <c r="W165" s="1"/>
      <c r="X165" s="1"/>
      <c r="Y165" s="1"/>
      <c r="Z165"/>
    </row>
    <row r="166" spans="1:26"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row>
    <row r="167" spans="1:26" x14ac:dyDescent="0.3">
      <c r="A167" s="1"/>
      <c r="B167" s="62" t="s">
        <v>85</v>
      </c>
      <c r="C167" s="63">
        <v>1.2</v>
      </c>
      <c r="D167" s="1"/>
      <c r="E167" s="1"/>
      <c r="F167" s="1"/>
      <c r="G167" s="1"/>
      <c r="H167" s="1"/>
      <c r="I167" s="1"/>
      <c r="J167" s="1"/>
      <c r="K167" s="1"/>
      <c r="L167" s="1"/>
      <c r="M167" s="1"/>
      <c r="N167" s="1"/>
      <c r="O167" s="1"/>
      <c r="P167" s="1"/>
      <c r="Q167" s="1"/>
      <c r="R167" s="1"/>
      <c r="S167" s="1"/>
      <c r="T167" s="1"/>
      <c r="U167" s="1"/>
      <c r="V167" s="1"/>
      <c r="W167" s="1"/>
      <c r="X167" s="1"/>
      <c r="Y167" s="1"/>
      <c r="Z167"/>
    </row>
    <row r="168" spans="1:26" x14ac:dyDescent="0.3">
      <c r="A168" s="1"/>
      <c r="B168" s="62" t="s">
        <v>86</v>
      </c>
      <c r="C168" s="63">
        <v>1.44</v>
      </c>
      <c r="D168" s="1"/>
      <c r="E168" s="1"/>
      <c r="F168" s="1"/>
      <c r="G168" s="1"/>
      <c r="H168" s="1"/>
      <c r="I168" s="1"/>
      <c r="J168" s="1"/>
      <c r="K168" s="1"/>
      <c r="L168" s="1"/>
      <c r="M168" s="1"/>
      <c r="N168" s="1"/>
      <c r="O168" s="1"/>
      <c r="P168" s="1"/>
      <c r="Q168" s="1"/>
      <c r="R168" s="1"/>
      <c r="S168" s="1"/>
      <c r="T168" s="1"/>
      <c r="U168" s="1"/>
      <c r="V168" s="1"/>
      <c r="W168" s="1"/>
      <c r="X168" s="1"/>
      <c r="Y168" s="1"/>
      <c r="Z168"/>
    </row>
    <row r="169" spans="1:26" x14ac:dyDescent="0.3">
      <c r="A169" s="1"/>
      <c r="B169" s="1" t="s">
        <v>87</v>
      </c>
      <c r="C169" s="5">
        <v>1.4976</v>
      </c>
      <c r="D169" s="1"/>
      <c r="E169" s="1"/>
      <c r="F169" s="1"/>
      <c r="G169" s="1"/>
      <c r="H169" s="1"/>
      <c r="I169" s="19">
        <v>0</v>
      </c>
      <c r="J169" s="19">
        <v>1</v>
      </c>
      <c r="K169" s="19">
        <v>2</v>
      </c>
      <c r="L169" s="1" t="s">
        <v>94</v>
      </c>
      <c r="M169" s="1"/>
      <c r="N169" s="1"/>
      <c r="O169" s="1"/>
      <c r="P169" s="1"/>
      <c r="Q169" s="1"/>
      <c r="R169" s="1"/>
      <c r="S169" s="1"/>
      <c r="T169" s="1"/>
      <c r="U169" s="1"/>
      <c r="V169" s="1"/>
      <c r="W169" s="1"/>
      <c r="X169" s="1"/>
      <c r="Y169" s="1"/>
      <c r="Z169"/>
    </row>
    <row r="170" spans="1:26" x14ac:dyDescent="0.3">
      <c r="A170" s="1"/>
      <c r="B170" s="1"/>
      <c r="C170" s="1"/>
      <c r="D170" s="1"/>
      <c r="E170" s="1"/>
      <c r="F170" s="6" t="s">
        <v>6</v>
      </c>
      <c r="G170" s="61">
        <v>0</v>
      </c>
      <c r="H170" s="65">
        <v>1</v>
      </c>
      <c r="I170" s="60">
        <v>2</v>
      </c>
      <c r="J170" s="65">
        <v>3</v>
      </c>
      <c r="K170" s="8"/>
      <c r="L170" s="1"/>
      <c r="M170" s="1"/>
      <c r="N170" s="1"/>
      <c r="O170" s="1"/>
      <c r="P170" s="1"/>
      <c r="Q170" s="1"/>
      <c r="R170" s="1"/>
      <c r="S170" s="1"/>
      <c r="T170" s="1"/>
      <c r="U170" s="1"/>
      <c r="V170" s="1"/>
      <c r="W170" s="1"/>
      <c r="X170" s="1"/>
      <c r="Y170" s="1"/>
      <c r="Z170"/>
    </row>
    <row r="171" spans="1:26" x14ac:dyDescent="0.3">
      <c r="A171" s="1"/>
      <c r="B171" s="1"/>
      <c r="C171" s="1"/>
      <c r="D171" s="1"/>
      <c r="E171" s="1"/>
      <c r="F171" s="6" t="s">
        <v>17</v>
      </c>
      <c r="G171" s="6"/>
      <c r="H171" s="11">
        <v>1.2</v>
      </c>
      <c r="I171" s="11">
        <v>1.44</v>
      </c>
      <c r="J171" s="11">
        <v>1.4976</v>
      </c>
      <c r="K171" s="11"/>
      <c r="L171" s="1"/>
      <c r="M171" s="1"/>
      <c r="N171" s="1"/>
      <c r="O171" s="1"/>
      <c r="P171" s="1"/>
      <c r="Q171" s="1"/>
      <c r="R171" s="1"/>
      <c r="S171" s="1"/>
      <c r="T171" s="1"/>
      <c r="U171" s="1"/>
      <c r="V171" s="1"/>
      <c r="W171" s="1"/>
      <c r="X171" s="1"/>
      <c r="Y171" s="1"/>
      <c r="Z171"/>
    </row>
    <row r="172" spans="1:26" x14ac:dyDescent="0.3">
      <c r="A172" s="1"/>
      <c r="B172" s="1" t="s">
        <v>95</v>
      </c>
      <c r="C172" s="5">
        <v>2.6399999999999997</v>
      </c>
      <c r="D172" s="1"/>
      <c r="E172" s="1"/>
      <c r="F172" s="6" t="s">
        <v>38</v>
      </c>
      <c r="G172" s="65">
        <v>1</v>
      </c>
      <c r="H172" s="13">
        <v>1</v>
      </c>
      <c r="I172" s="13">
        <v>1</v>
      </c>
      <c r="J172" s="13"/>
      <c r="K172" s="15"/>
      <c r="L172" s="1"/>
      <c r="M172" s="1"/>
      <c r="N172" s="1"/>
      <c r="O172" s="1"/>
      <c r="P172" s="1"/>
      <c r="Q172" s="1"/>
      <c r="R172" s="1"/>
      <c r="S172" s="1"/>
      <c r="T172" s="1"/>
      <c r="U172" s="1"/>
      <c r="V172" s="1"/>
      <c r="W172" s="1"/>
      <c r="X172" s="1"/>
      <c r="Y172" s="1"/>
      <c r="Z172"/>
    </row>
    <row r="173" spans="1:26" x14ac:dyDescent="0.3">
      <c r="A173" s="1"/>
      <c r="B173" s="1" t="s">
        <v>96</v>
      </c>
      <c r="C173" s="5">
        <v>8.4155161078238017</v>
      </c>
      <c r="D173" s="1"/>
      <c r="E173" s="1"/>
      <c r="F173" s="6" t="s">
        <v>39</v>
      </c>
      <c r="G173" s="6"/>
      <c r="H173" s="11">
        <v>1.2</v>
      </c>
      <c r="I173" s="11">
        <v>1.44</v>
      </c>
      <c r="J173" s="11"/>
      <c r="K173" s="16"/>
      <c r="L173" s="1"/>
      <c r="M173" s="1"/>
      <c r="N173" s="1"/>
      <c r="O173" s="1"/>
      <c r="P173" s="1"/>
      <c r="Q173" s="1"/>
      <c r="R173" s="1"/>
      <c r="S173" s="1"/>
      <c r="T173" s="1"/>
      <c r="U173" s="1"/>
      <c r="V173" s="1"/>
      <c r="W173" s="1"/>
      <c r="X173" s="1"/>
      <c r="Y173" s="1"/>
      <c r="Z173"/>
    </row>
    <row r="174" spans="1:26"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row>
    <row r="175" spans="1:26" x14ac:dyDescent="0.3">
      <c r="A175" s="1"/>
      <c r="B175" s="1" t="s">
        <v>97</v>
      </c>
      <c r="C175" s="5">
        <v>11.055516107823802</v>
      </c>
      <c r="D175" s="1"/>
      <c r="E175" s="1"/>
      <c r="F175" s="1"/>
      <c r="G175" s="1"/>
      <c r="H175" s="1"/>
      <c r="I175" s="1"/>
      <c r="J175" s="1"/>
      <c r="K175" s="1"/>
      <c r="L175" s="1"/>
      <c r="M175" s="1"/>
      <c r="N175" s="1"/>
      <c r="O175" s="1"/>
      <c r="P175" s="1"/>
      <c r="Q175" s="1"/>
      <c r="R175" s="1"/>
      <c r="S175" s="1"/>
      <c r="T175" s="1"/>
      <c r="U175" s="1"/>
      <c r="V175" s="1"/>
      <c r="W175" s="1"/>
      <c r="X175" s="1"/>
      <c r="Y175" s="1"/>
      <c r="Z175"/>
    </row>
    <row r="176" spans="1:26"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row>
    <row r="177" spans="1:26"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row>
    <row r="178" spans="1:26" x14ac:dyDescent="0.3">
      <c r="A178" s="1"/>
      <c r="B178" s="1" t="s">
        <v>88</v>
      </c>
      <c r="C178" s="43">
        <v>11.055516107823802</v>
      </c>
      <c r="D178" s="1"/>
      <c r="E178" s="1"/>
      <c r="F178" s="1"/>
      <c r="G178" s="1"/>
      <c r="H178" s="1"/>
      <c r="I178" s="1"/>
      <c r="J178" s="1"/>
      <c r="K178" s="1"/>
      <c r="L178" s="1"/>
      <c r="M178" s="1"/>
      <c r="N178" s="1"/>
      <c r="O178" s="1"/>
      <c r="P178" s="1"/>
      <c r="Q178" s="1"/>
      <c r="R178" s="1"/>
      <c r="S178" s="1"/>
      <c r="T178" s="1"/>
      <c r="U178" s="1"/>
      <c r="V178" s="1"/>
      <c r="W178" s="1"/>
      <c r="X178" s="1"/>
      <c r="Y178" s="1"/>
      <c r="Z178"/>
    </row>
    <row r="179" spans="1:26"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row>
    <row r="180" spans="1:26" x14ac:dyDescent="0.3">
      <c r="A180"/>
      <c r="B180"/>
      <c r="C180"/>
      <c r="D180"/>
      <c r="E180"/>
      <c r="F180"/>
      <c r="G180"/>
      <c r="H180"/>
      <c r="I180"/>
      <c r="J180"/>
      <c r="K180"/>
      <c r="L180"/>
      <c r="M180"/>
      <c r="N180"/>
      <c r="O180"/>
      <c r="P180"/>
      <c r="Q180"/>
      <c r="R180"/>
      <c r="S180"/>
      <c r="T180"/>
      <c r="U180"/>
      <c r="V180"/>
      <c r="W180"/>
      <c r="X180"/>
      <c r="Y180"/>
      <c r="Z180"/>
    </row>
    <row r="181" spans="1:26" x14ac:dyDescent="0.3">
      <c r="A181"/>
      <c r="B181"/>
      <c r="C181"/>
      <c r="D181"/>
      <c r="E181"/>
      <c r="F181"/>
      <c r="G181"/>
      <c r="H181"/>
      <c r="I181"/>
      <c r="J181"/>
      <c r="K181"/>
      <c r="L181"/>
      <c r="M181"/>
      <c r="N181"/>
      <c r="O181"/>
      <c r="P181"/>
      <c r="Q181"/>
      <c r="R181"/>
      <c r="S181"/>
      <c r="T181"/>
      <c r="U181"/>
      <c r="V181"/>
      <c r="W181"/>
      <c r="X181"/>
      <c r="Y181"/>
      <c r="Z18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51"/>
  <sheetViews>
    <sheetView zoomScale="55" zoomScaleNormal="55" workbookViewId="0">
      <selection activeCell="J41" sqref="J41"/>
    </sheetView>
  </sheetViews>
  <sheetFormatPr defaultRowHeight="18.75" x14ac:dyDescent="0.3"/>
  <cols>
    <col min="1" max="1" width="8.140625" style="130" customWidth="1"/>
    <col min="2" max="2" width="40.28515625" style="130" customWidth="1"/>
    <col min="3" max="3" width="26" style="130" customWidth="1"/>
    <col min="4" max="4" width="13.28515625" style="130" customWidth="1"/>
    <col min="5" max="5" width="23.140625" style="130" customWidth="1"/>
    <col min="6" max="6" width="13.28515625" style="130" customWidth="1"/>
    <col min="7" max="7" width="9.140625" style="130"/>
    <col min="8" max="8" width="13.5703125" style="130" bestFit="1" customWidth="1"/>
    <col min="9" max="9" width="12.7109375" style="130" customWidth="1"/>
    <col min="10" max="10" width="10.5703125" style="130" customWidth="1"/>
    <col min="11" max="11" width="11.42578125" style="130" customWidth="1"/>
    <col min="12" max="41" width="9.140625" style="130"/>
    <col min="42" max="42" width="11.140625" style="130" bestFit="1" customWidth="1"/>
    <col min="43" max="16384" width="9.140625" style="130"/>
  </cols>
  <sheetData>
    <row r="2" spans="1:7" x14ac:dyDescent="0.3">
      <c r="A2" s="136">
        <v>1</v>
      </c>
      <c r="B2" s="168" t="s">
        <v>291</v>
      </c>
    </row>
    <row r="3" spans="1:7" x14ac:dyDescent="0.3">
      <c r="B3" s="168" t="s">
        <v>290</v>
      </c>
    </row>
    <row r="4" spans="1:7" x14ac:dyDescent="0.3">
      <c r="B4" s="168" t="s">
        <v>289</v>
      </c>
    </row>
    <row r="6" spans="1:7" x14ac:dyDescent="0.3">
      <c r="B6" s="155" t="s">
        <v>4</v>
      </c>
      <c r="C6" s="153"/>
      <c r="D6" s="153"/>
      <c r="E6" s="153"/>
      <c r="F6" s="153"/>
      <c r="G6" s="153"/>
    </row>
    <row r="7" spans="1:7" x14ac:dyDescent="0.3">
      <c r="B7" s="130" t="s">
        <v>288</v>
      </c>
      <c r="C7" s="167">
        <v>78.83</v>
      </c>
      <c r="D7" s="153"/>
      <c r="E7" s="153"/>
      <c r="G7" s="153"/>
    </row>
    <row r="8" spans="1:7" x14ac:dyDescent="0.3">
      <c r="B8" s="130" t="s">
        <v>287</v>
      </c>
      <c r="C8" s="167">
        <v>2.48</v>
      </c>
      <c r="D8" s="153"/>
      <c r="E8" s="153"/>
      <c r="G8" s="153"/>
    </row>
    <row r="9" spans="1:7" x14ac:dyDescent="0.3">
      <c r="C9" s="156"/>
      <c r="D9" s="153"/>
      <c r="E9" s="153"/>
      <c r="G9" s="153"/>
    </row>
    <row r="10" spans="1:7" x14ac:dyDescent="0.3">
      <c r="B10" s="153" t="s">
        <v>286</v>
      </c>
      <c r="C10" s="156"/>
      <c r="D10" s="153"/>
      <c r="E10" s="153"/>
      <c r="G10" s="153"/>
    </row>
    <row r="11" spans="1:7" x14ac:dyDescent="0.3">
      <c r="B11" s="153"/>
      <c r="C11" s="153"/>
      <c r="D11" s="153"/>
      <c r="E11" s="153"/>
      <c r="G11" s="153"/>
    </row>
    <row r="12" spans="1:7" x14ac:dyDescent="0.3">
      <c r="B12" s="155" t="s">
        <v>15</v>
      </c>
      <c r="C12" s="153"/>
      <c r="D12" s="153"/>
      <c r="E12" s="153"/>
      <c r="F12" s="153"/>
      <c r="G12" s="153"/>
    </row>
    <row r="13" spans="1:7" x14ac:dyDescent="0.3">
      <c r="B13" s="153"/>
      <c r="C13" s="153"/>
      <c r="D13" s="153"/>
      <c r="E13" s="153"/>
      <c r="F13" s="153"/>
      <c r="G13" s="153"/>
    </row>
    <row r="14" spans="1:7" x14ac:dyDescent="0.3">
      <c r="B14" s="155" t="s">
        <v>285</v>
      </c>
      <c r="C14" s="154">
        <f>C8/C7</f>
        <v>3.1460104021311684E-2</v>
      </c>
      <c r="D14" s="153"/>
      <c r="E14" s="153"/>
      <c r="F14" s="153"/>
      <c r="G14" s="153"/>
    </row>
    <row r="15" spans="1:7" x14ac:dyDescent="0.3">
      <c r="B15" s="153"/>
      <c r="C15" s="153"/>
      <c r="D15" s="153"/>
      <c r="E15" s="153"/>
      <c r="F15" s="153"/>
      <c r="G15" s="153"/>
    </row>
    <row r="16" spans="1:7" x14ac:dyDescent="0.3">
      <c r="B16" s="153"/>
      <c r="C16" s="153"/>
      <c r="D16" s="153"/>
      <c r="E16" s="153"/>
      <c r="F16" s="153"/>
      <c r="G16" s="153"/>
    </row>
    <row r="17" spans="1:14" x14ac:dyDescent="0.3">
      <c r="B17" s="140" t="s">
        <v>23</v>
      </c>
      <c r="C17" s="152">
        <f>C14</f>
        <v>3.1460104021311684E-2</v>
      </c>
    </row>
    <row r="18" spans="1:14" x14ac:dyDescent="0.3">
      <c r="C18" s="135"/>
    </row>
    <row r="20" spans="1:14" x14ac:dyDescent="0.3">
      <c r="A20" s="136">
        <v>2</v>
      </c>
      <c r="B20" s="165" t="s">
        <v>284</v>
      </c>
      <c r="C20" s="153"/>
      <c r="D20" s="153"/>
      <c r="E20" s="153"/>
      <c r="F20" s="153"/>
      <c r="G20" s="153"/>
    </row>
    <row r="21" spans="1:14" x14ac:dyDescent="0.3">
      <c r="B21" s="166" t="s">
        <v>283</v>
      </c>
      <c r="C21" s="153"/>
      <c r="D21" s="153"/>
      <c r="E21" s="153"/>
      <c r="F21" s="153"/>
      <c r="G21" s="153"/>
    </row>
    <row r="22" spans="1:14" x14ac:dyDescent="0.3">
      <c r="B22" s="166" t="s">
        <v>282</v>
      </c>
      <c r="F22" s="164"/>
      <c r="G22" s="164"/>
      <c r="I22" s="164"/>
      <c r="J22" s="164"/>
      <c r="K22" s="164"/>
      <c r="L22" s="164"/>
      <c r="M22" s="164"/>
    </row>
    <row r="23" spans="1:14" x14ac:dyDescent="0.3">
      <c r="F23" s="161"/>
      <c r="G23" s="161"/>
      <c r="H23" s="161"/>
      <c r="I23" s="161"/>
      <c r="J23" s="161"/>
      <c r="K23" s="161"/>
      <c r="L23" s="161"/>
      <c r="M23" s="161"/>
    </row>
    <row r="24" spans="1:14" x14ac:dyDescent="0.3">
      <c r="B24" s="165" t="s">
        <v>281</v>
      </c>
      <c r="E24" s="153"/>
      <c r="F24" s="163"/>
      <c r="G24" s="163"/>
      <c r="H24" s="163"/>
      <c r="I24" s="163"/>
      <c r="J24" s="163"/>
      <c r="K24" s="163"/>
      <c r="L24" s="163"/>
      <c r="M24" s="163"/>
      <c r="N24" s="164"/>
    </row>
    <row r="25" spans="1:14" x14ac:dyDescent="0.3">
      <c r="B25" s="162" t="s">
        <v>280</v>
      </c>
      <c r="E25" s="153"/>
      <c r="F25" s="161"/>
      <c r="G25" s="161"/>
      <c r="H25" s="161"/>
      <c r="I25" s="161"/>
      <c r="J25" s="161"/>
      <c r="K25" s="161"/>
      <c r="L25" s="161"/>
      <c r="M25" s="161"/>
      <c r="N25" s="161"/>
    </row>
    <row r="26" spans="1:14" x14ac:dyDescent="0.3">
      <c r="B26" s="162" t="s">
        <v>279</v>
      </c>
      <c r="E26" s="153"/>
      <c r="F26" s="159"/>
      <c r="G26" s="159"/>
      <c r="N26" s="163"/>
    </row>
    <row r="27" spans="1:14" x14ac:dyDescent="0.3">
      <c r="B27" s="162" t="s">
        <v>278</v>
      </c>
      <c r="E27" s="153"/>
      <c r="F27" s="153"/>
      <c r="G27" s="153"/>
      <c r="N27" s="161"/>
    </row>
    <row r="28" spans="1:14" x14ac:dyDescent="0.3">
      <c r="E28" s="153"/>
      <c r="F28" s="153"/>
      <c r="G28" s="153"/>
    </row>
    <row r="29" spans="1:14" x14ac:dyDescent="0.3">
      <c r="B29" s="155" t="s">
        <v>4</v>
      </c>
      <c r="C29" s="153"/>
      <c r="D29" s="153"/>
      <c r="E29" s="153"/>
      <c r="F29" s="153"/>
      <c r="G29" s="153"/>
    </row>
    <row r="30" spans="1:14" x14ac:dyDescent="0.3">
      <c r="B30" s="130" t="s">
        <v>277</v>
      </c>
      <c r="C30" s="160" t="s">
        <v>276</v>
      </c>
      <c r="D30" s="153" t="s">
        <v>275</v>
      </c>
      <c r="E30" s="153"/>
      <c r="F30" s="159"/>
      <c r="G30" s="159"/>
    </row>
    <row r="31" spans="1:14" x14ac:dyDescent="0.3">
      <c r="B31" s="130" t="s">
        <v>274</v>
      </c>
      <c r="C31" s="158">
        <v>0.5</v>
      </c>
      <c r="D31" s="153"/>
      <c r="E31" s="153"/>
    </row>
    <row r="32" spans="1:14" x14ac:dyDescent="0.3">
      <c r="B32" s="130" t="s">
        <v>273</v>
      </c>
      <c r="C32" s="157" t="s">
        <v>272</v>
      </c>
      <c r="D32" s="153"/>
      <c r="E32" s="153"/>
    </row>
    <row r="33" spans="1:10" x14ac:dyDescent="0.3">
      <c r="D33" s="153"/>
      <c r="E33" s="153"/>
    </row>
    <row r="34" spans="1:10" x14ac:dyDescent="0.3">
      <c r="B34" s="153" t="s">
        <v>271</v>
      </c>
      <c r="C34" s="156"/>
      <c r="D34" s="153"/>
      <c r="E34" s="153"/>
    </row>
    <row r="35" spans="1:10" x14ac:dyDescent="0.3">
      <c r="B35" s="153"/>
      <c r="C35" s="153"/>
      <c r="D35" s="153"/>
    </row>
    <row r="36" spans="1:10" x14ac:dyDescent="0.3">
      <c r="B36" s="155" t="s">
        <v>15</v>
      </c>
      <c r="C36" s="153"/>
      <c r="D36" s="153"/>
      <c r="H36" s="140"/>
      <c r="I36" s="140"/>
    </row>
    <row r="37" spans="1:10" x14ac:dyDescent="0.3">
      <c r="B37" s="153"/>
      <c r="C37" s="153"/>
      <c r="D37" s="153"/>
    </row>
    <row r="38" spans="1:10" x14ac:dyDescent="0.3">
      <c r="B38" s="153" t="s">
        <v>270</v>
      </c>
      <c r="C38" s="154" t="s">
        <v>269</v>
      </c>
      <c r="D38" s="153" t="s">
        <v>266</v>
      </c>
    </row>
    <row r="39" spans="1:10" x14ac:dyDescent="0.3">
      <c r="B39" s="153"/>
      <c r="C39" s="153"/>
      <c r="D39" s="153"/>
    </row>
    <row r="40" spans="1:10" x14ac:dyDescent="0.3">
      <c r="B40" s="153" t="s">
        <v>268</v>
      </c>
      <c r="C40" s="153" t="s">
        <v>267</v>
      </c>
      <c r="D40" s="130" t="s">
        <v>266</v>
      </c>
    </row>
    <row r="43" spans="1:10" x14ac:dyDescent="0.3">
      <c r="B43" s="140" t="s">
        <v>23</v>
      </c>
      <c r="C43" s="152" t="s">
        <v>265</v>
      </c>
    </row>
    <row r="44" spans="1:10" x14ac:dyDescent="0.3">
      <c r="C44" s="131"/>
    </row>
    <row r="46" spans="1:10" x14ac:dyDescent="0.3">
      <c r="A46" s="347">
        <v>1</v>
      </c>
      <c r="B46" s="168" t="s">
        <v>326</v>
      </c>
      <c r="J46" s="140" t="s">
        <v>325</v>
      </c>
    </row>
    <row r="47" spans="1:10" x14ac:dyDescent="0.3">
      <c r="B47" s="168"/>
    </row>
    <row r="49" spans="1:12" x14ac:dyDescent="0.3">
      <c r="B49" s="155" t="s">
        <v>4</v>
      </c>
      <c r="C49" s="153"/>
    </row>
    <row r="50" spans="1:12" x14ac:dyDescent="0.3">
      <c r="B50" s="130" t="s">
        <v>8</v>
      </c>
      <c r="C50" s="167">
        <v>1000</v>
      </c>
      <c r="D50" s="153"/>
      <c r="E50" s="153"/>
      <c r="F50" s="153"/>
      <c r="G50" s="153"/>
    </row>
    <row r="51" spans="1:12" x14ac:dyDescent="0.3">
      <c r="B51" s="130" t="s">
        <v>69</v>
      </c>
      <c r="C51" s="167">
        <v>750</v>
      </c>
      <c r="D51" s="153"/>
      <c r="E51" s="153"/>
      <c r="G51" s="153"/>
    </row>
    <row r="52" spans="1:12" x14ac:dyDescent="0.3">
      <c r="B52" s="130" t="s">
        <v>324</v>
      </c>
      <c r="C52" s="181">
        <v>170</v>
      </c>
      <c r="D52" s="153" t="s">
        <v>114</v>
      </c>
      <c r="E52" s="153"/>
      <c r="G52" s="153"/>
    </row>
    <row r="53" spans="1:12" x14ac:dyDescent="0.3">
      <c r="C53" s="131"/>
      <c r="D53" s="153"/>
      <c r="E53" s="153"/>
      <c r="G53" s="153"/>
    </row>
    <row r="54" spans="1:12" x14ac:dyDescent="0.3">
      <c r="B54" s="153" t="s">
        <v>323</v>
      </c>
      <c r="C54" s="153"/>
      <c r="D54" s="153"/>
      <c r="E54" s="153"/>
      <c r="G54" s="153"/>
    </row>
    <row r="55" spans="1:12" x14ac:dyDescent="0.3">
      <c r="B55" s="130" t="s">
        <v>322</v>
      </c>
      <c r="D55" s="153"/>
      <c r="E55" s="153"/>
      <c r="G55" s="153"/>
    </row>
    <row r="56" spans="1:12" x14ac:dyDescent="0.3">
      <c r="D56" s="153"/>
      <c r="E56" s="153"/>
      <c r="F56" s="153"/>
      <c r="G56" s="153"/>
    </row>
    <row r="57" spans="1:12" x14ac:dyDescent="0.3">
      <c r="B57" s="155" t="s">
        <v>15</v>
      </c>
      <c r="C57" s="153"/>
      <c r="D57" s="153"/>
      <c r="E57" s="153"/>
      <c r="F57" s="153"/>
      <c r="G57" s="153"/>
    </row>
    <row r="58" spans="1:12" x14ac:dyDescent="0.3">
      <c r="B58" s="153"/>
      <c r="C58" s="153"/>
      <c r="D58" s="153"/>
      <c r="E58" s="153"/>
      <c r="F58" s="153"/>
      <c r="G58" s="153"/>
    </row>
    <row r="59" spans="1:12" x14ac:dyDescent="0.3">
      <c r="B59" s="130" t="s">
        <v>59</v>
      </c>
      <c r="C59" s="135">
        <f>C50-C51</f>
        <v>250</v>
      </c>
      <c r="D59" s="153"/>
      <c r="E59" s="153"/>
      <c r="F59" s="153"/>
      <c r="G59" s="153"/>
    </row>
    <row r="60" spans="1:12" x14ac:dyDescent="0.3">
      <c r="C60" s="135"/>
      <c r="D60" s="153"/>
      <c r="E60" s="153"/>
      <c r="F60" s="153"/>
      <c r="G60" s="153"/>
    </row>
    <row r="61" spans="1:12" x14ac:dyDescent="0.3">
      <c r="B61" s="153" t="s">
        <v>321</v>
      </c>
      <c r="C61" s="180">
        <f>(C59/C50)*(360/C52)</f>
        <v>0.52941176470588236</v>
      </c>
    </row>
    <row r="62" spans="1:12" x14ac:dyDescent="0.3">
      <c r="B62" s="155"/>
      <c r="C62" s="178"/>
    </row>
    <row r="63" spans="1:12" x14ac:dyDescent="0.3">
      <c r="B63" s="140" t="s">
        <v>23</v>
      </c>
      <c r="C63" s="152">
        <f>C61</f>
        <v>0.52941176470588236</v>
      </c>
      <c r="K63" s="136"/>
      <c r="L63" s="136"/>
    </row>
    <row r="64" spans="1:12" x14ac:dyDescent="0.3">
      <c r="A64" s="347"/>
      <c r="D64" s="153"/>
      <c r="E64" s="153"/>
      <c r="F64" s="153"/>
      <c r="G64" s="153"/>
      <c r="K64" s="136"/>
      <c r="L64" s="136"/>
    </row>
    <row r="65" spans="1:10" x14ac:dyDescent="0.3">
      <c r="D65" s="153"/>
      <c r="E65" s="153"/>
      <c r="F65" s="153"/>
      <c r="G65" s="153"/>
    </row>
    <row r="66" spans="1:10" x14ac:dyDescent="0.3">
      <c r="B66" s="153" t="s">
        <v>320</v>
      </c>
      <c r="C66" s="179">
        <f>(C50-C51)/C51*(360/C52)</f>
        <v>0.70588235294117641</v>
      </c>
      <c r="F66" s="164"/>
      <c r="G66" s="164"/>
      <c r="H66" s="164"/>
      <c r="I66" s="164"/>
      <c r="J66" s="164"/>
    </row>
    <row r="67" spans="1:10" x14ac:dyDescent="0.3">
      <c r="F67" s="161"/>
      <c r="G67" s="161"/>
      <c r="H67" s="161"/>
      <c r="I67" s="161"/>
      <c r="J67" s="161"/>
    </row>
    <row r="68" spans="1:10" x14ac:dyDescent="0.3">
      <c r="B68" s="168" t="s">
        <v>320</v>
      </c>
      <c r="C68" s="179">
        <f>(360*C63)/(360-(C52*C63))</f>
        <v>0.70588235294117652</v>
      </c>
      <c r="E68" s="153"/>
      <c r="F68" s="163"/>
      <c r="G68" s="163"/>
      <c r="H68" s="163"/>
      <c r="I68" s="163"/>
      <c r="J68" s="163"/>
    </row>
    <row r="69" spans="1:10" x14ac:dyDescent="0.3">
      <c r="B69" s="162"/>
      <c r="E69" s="153"/>
      <c r="F69" s="161"/>
      <c r="G69" s="161"/>
      <c r="H69" s="161"/>
      <c r="I69" s="161"/>
      <c r="J69" s="161"/>
    </row>
    <row r="70" spans="1:10" x14ac:dyDescent="0.3">
      <c r="B70" s="162"/>
      <c r="E70" s="153"/>
      <c r="F70" s="159"/>
      <c r="G70" s="159"/>
    </row>
    <row r="73" spans="1:10" x14ac:dyDescent="0.3">
      <c r="A73" s="136"/>
      <c r="B73" s="148"/>
    </row>
    <row r="77" spans="1:10" x14ac:dyDescent="0.3">
      <c r="C77" s="135"/>
    </row>
    <row r="78" spans="1:10" x14ac:dyDescent="0.3">
      <c r="C78" s="135"/>
    </row>
    <row r="79" spans="1:10" x14ac:dyDescent="0.3">
      <c r="C79" s="135"/>
    </row>
    <row r="82" spans="2:12" x14ac:dyDescent="0.3">
      <c r="C82" s="136"/>
    </row>
    <row r="86" spans="2:12" x14ac:dyDescent="0.3">
      <c r="B86" s="134"/>
    </row>
    <row r="89" spans="2:12" x14ac:dyDescent="0.3">
      <c r="E89" s="133"/>
      <c r="F89" s="146"/>
      <c r="G89" s="146"/>
      <c r="H89" s="146"/>
      <c r="I89" s="146"/>
      <c r="J89" s="146"/>
      <c r="K89" s="146"/>
      <c r="L89" s="146"/>
    </row>
    <row r="90" spans="2:12" x14ac:dyDescent="0.3">
      <c r="E90" s="133"/>
      <c r="F90" s="145"/>
      <c r="G90" s="149"/>
      <c r="H90" s="149"/>
      <c r="I90" s="149"/>
      <c r="J90" s="149"/>
      <c r="K90" s="149"/>
    </row>
    <row r="91" spans="2:12" x14ac:dyDescent="0.3">
      <c r="E91" s="133"/>
      <c r="F91" s="143"/>
      <c r="G91" s="142"/>
      <c r="H91" s="142"/>
      <c r="I91" s="142"/>
      <c r="J91" s="141"/>
      <c r="K91" s="141"/>
    </row>
    <row r="94" spans="2:12" x14ac:dyDescent="0.3">
      <c r="C94" s="131"/>
    </row>
    <row r="96" spans="2:12" x14ac:dyDescent="0.3">
      <c r="C96" s="131"/>
    </row>
    <row r="100" spans="1:3" x14ac:dyDescent="0.3">
      <c r="A100" s="136"/>
      <c r="B100" s="148"/>
    </row>
    <row r="105" spans="1:3" x14ac:dyDescent="0.3">
      <c r="C105" s="135"/>
    </row>
    <row r="106" spans="1:3" x14ac:dyDescent="0.3">
      <c r="C106" s="147"/>
    </row>
    <row r="107" spans="1:3" x14ac:dyDescent="0.3">
      <c r="C107" s="135"/>
    </row>
    <row r="110" spans="1:3" x14ac:dyDescent="0.3">
      <c r="C110" s="136"/>
    </row>
    <row r="111" spans="1:3" x14ac:dyDescent="0.3">
      <c r="C111" s="136"/>
    </row>
    <row r="115" spans="1:42" x14ac:dyDescent="0.3">
      <c r="C115" s="135"/>
    </row>
    <row r="116" spans="1:42" x14ac:dyDescent="0.3">
      <c r="C116" s="135"/>
    </row>
    <row r="117" spans="1:42" x14ac:dyDescent="0.3">
      <c r="B117" s="134"/>
      <c r="E117" s="133"/>
      <c r="F117" s="146"/>
      <c r="G117" s="146"/>
      <c r="H117" s="146"/>
      <c r="I117" s="146"/>
      <c r="J117" s="146"/>
      <c r="K117" s="146"/>
      <c r="L117" s="146"/>
      <c r="M117" s="146"/>
      <c r="N117" s="146"/>
      <c r="O117" s="146"/>
      <c r="P117" s="146"/>
      <c r="Q117" s="146"/>
      <c r="R117" s="146"/>
      <c r="S117" s="146"/>
      <c r="T117" s="146"/>
      <c r="U117" s="146"/>
      <c r="V117" s="146"/>
      <c r="W117" s="146"/>
      <c r="X117" s="146"/>
      <c r="Y117" s="146"/>
      <c r="Z117" s="146"/>
      <c r="AA117" s="146"/>
      <c r="AB117" s="146"/>
      <c r="AC117" s="146"/>
      <c r="AD117" s="146"/>
      <c r="AE117" s="146"/>
      <c r="AF117" s="146"/>
      <c r="AG117" s="146"/>
      <c r="AH117" s="146"/>
      <c r="AI117" s="146"/>
      <c r="AJ117" s="146"/>
      <c r="AK117" s="146"/>
      <c r="AL117" s="146"/>
      <c r="AM117" s="146"/>
      <c r="AN117" s="146"/>
      <c r="AO117" s="146"/>
      <c r="AP117" s="146"/>
    </row>
    <row r="118" spans="1:42" x14ac:dyDescent="0.3">
      <c r="E118" s="133"/>
      <c r="F118" s="145"/>
      <c r="G118" s="144"/>
      <c r="H118" s="144"/>
      <c r="I118" s="144"/>
      <c r="J118" s="144"/>
      <c r="K118" s="144"/>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c r="AH118" s="144"/>
      <c r="AI118" s="144"/>
      <c r="AJ118" s="144"/>
      <c r="AK118" s="144"/>
      <c r="AL118" s="144"/>
      <c r="AM118" s="144"/>
      <c r="AN118" s="144"/>
      <c r="AO118" s="144"/>
      <c r="AP118" s="144"/>
    </row>
    <row r="119" spans="1:42" x14ac:dyDescent="0.3">
      <c r="E119" s="133"/>
      <c r="F119" s="143"/>
      <c r="G119" s="142"/>
      <c r="H119" s="142"/>
      <c r="I119" s="142"/>
      <c r="J119" s="141"/>
      <c r="K119" s="141"/>
    </row>
    <row r="121" spans="1:42" x14ac:dyDescent="0.3">
      <c r="B121" s="140"/>
      <c r="C121" s="131"/>
    </row>
    <row r="123" spans="1:42" x14ac:dyDescent="0.3">
      <c r="C123" s="131"/>
    </row>
    <row r="125" spans="1:42" x14ac:dyDescent="0.3">
      <c r="C125" s="139"/>
      <c r="D125" s="139"/>
    </row>
    <row r="127" spans="1:42" x14ac:dyDescent="0.3">
      <c r="A127" s="136"/>
    </row>
    <row r="128" spans="1:42" x14ac:dyDescent="0.3">
      <c r="C128" s="131"/>
    </row>
    <row r="129" spans="2:7" x14ac:dyDescent="0.3">
      <c r="C129" s="138"/>
    </row>
    <row r="132" spans="2:7" x14ac:dyDescent="0.3">
      <c r="C132" s="135"/>
    </row>
    <row r="133" spans="2:7" x14ac:dyDescent="0.3">
      <c r="G133" s="137"/>
    </row>
    <row r="134" spans="2:7" x14ac:dyDescent="0.3">
      <c r="G134" s="135"/>
    </row>
    <row r="137" spans="2:7" x14ac:dyDescent="0.3">
      <c r="C137" s="136"/>
    </row>
    <row r="141" spans="2:7" x14ac:dyDescent="0.3">
      <c r="C141" s="135"/>
    </row>
    <row r="142" spans="2:7" x14ac:dyDescent="0.3">
      <c r="C142" s="135"/>
    </row>
    <row r="143" spans="2:7" x14ac:dyDescent="0.3">
      <c r="B143" s="134"/>
      <c r="E143" s="133"/>
    </row>
    <row r="144" spans="2:7" x14ac:dyDescent="0.3">
      <c r="E144" s="133"/>
    </row>
    <row r="145" spans="3:5" x14ac:dyDescent="0.3">
      <c r="E145" s="133"/>
    </row>
    <row r="147" spans="3:5" x14ac:dyDescent="0.3">
      <c r="C147" s="132"/>
    </row>
    <row r="149" spans="3:5" x14ac:dyDescent="0.3">
      <c r="C149" s="131"/>
    </row>
    <row r="151" spans="3:5" x14ac:dyDescent="0.3">
      <c r="C151" s="13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2"/>
  <sheetViews>
    <sheetView tabSelected="1" topLeftCell="A28" zoomScale="70" zoomScaleNormal="70" workbookViewId="0">
      <selection activeCell="H82" sqref="H82"/>
    </sheetView>
  </sheetViews>
  <sheetFormatPr defaultRowHeight="18.75" x14ac:dyDescent="0.3"/>
  <cols>
    <col min="1" max="1" width="9.140625" style="1"/>
    <col min="2" max="2" width="24.140625" style="1" customWidth="1"/>
    <col min="3" max="3" width="14.42578125" style="1" customWidth="1"/>
    <col min="4" max="4" width="23.42578125" style="1" bestFit="1" customWidth="1"/>
    <col min="5" max="5" width="14.85546875" style="1" bestFit="1" customWidth="1"/>
    <col min="6" max="6" width="13.85546875" style="1" customWidth="1"/>
    <col min="7" max="10" width="12.7109375" style="1" customWidth="1"/>
    <col min="11" max="11" width="14.42578125" style="1" bestFit="1" customWidth="1"/>
    <col min="12" max="16" width="12.7109375" style="1" customWidth="1"/>
    <col min="17" max="20" width="13.5703125" style="1" bestFit="1" customWidth="1"/>
    <col min="21" max="21" width="12.5703125" style="1" bestFit="1" customWidth="1"/>
    <col min="22" max="16384" width="9.140625" style="1"/>
  </cols>
  <sheetData>
    <row r="1" spans="1:5" x14ac:dyDescent="0.3">
      <c r="A1" s="1">
        <v>2</v>
      </c>
      <c r="B1" s="10" t="s">
        <v>25</v>
      </c>
    </row>
    <row r="2" spans="1:5" x14ac:dyDescent="0.3">
      <c r="B2" s="1" t="s">
        <v>26</v>
      </c>
    </row>
    <row r="3" spans="1:5" x14ac:dyDescent="0.3">
      <c r="B3" s="1" t="s">
        <v>27</v>
      </c>
    </row>
    <row r="4" spans="1:5" x14ac:dyDescent="0.3">
      <c r="B4" s="1" t="s">
        <v>28</v>
      </c>
    </row>
    <row r="6" spans="1:5" x14ac:dyDescent="0.3">
      <c r="B6" s="3" t="s">
        <v>4</v>
      </c>
    </row>
    <row r="7" spans="1:5" x14ac:dyDescent="0.3">
      <c r="B7" s="51" t="s">
        <v>29</v>
      </c>
      <c r="C7" s="52">
        <v>20</v>
      </c>
      <c r="D7" s="53" t="s">
        <v>6</v>
      </c>
      <c r="E7" s="1" t="s">
        <v>30</v>
      </c>
    </row>
    <row r="8" spans="1:5" x14ac:dyDescent="0.3">
      <c r="B8" s="54" t="s">
        <v>7</v>
      </c>
      <c r="C8" s="4">
        <v>0.09</v>
      </c>
      <c r="D8" s="55"/>
    </row>
    <row r="9" spans="1:5" x14ac:dyDescent="0.3">
      <c r="B9" s="54" t="s">
        <v>8</v>
      </c>
      <c r="C9" s="5">
        <v>1000</v>
      </c>
      <c r="D9" s="55"/>
    </row>
    <row r="10" spans="1:5" x14ac:dyDescent="0.3">
      <c r="B10" s="56" t="s">
        <v>31</v>
      </c>
      <c r="C10" s="59">
        <v>0.1</v>
      </c>
      <c r="D10" s="58"/>
    </row>
    <row r="12" spans="1:5" x14ac:dyDescent="0.3">
      <c r="B12" s="51" t="s">
        <v>32</v>
      </c>
      <c r="C12" s="52">
        <v>5</v>
      </c>
      <c r="D12" s="53" t="s">
        <v>6</v>
      </c>
      <c r="E12" s="1" t="s">
        <v>33</v>
      </c>
    </row>
    <row r="13" spans="1:5" x14ac:dyDescent="0.3">
      <c r="B13" s="54" t="s">
        <v>34</v>
      </c>
      <c r="C13" s="9">
        <v>8.5000000000000006E-2</v>
      </c>
      <c r="D13" s="55"/>
    </row>
    <row r="14" spans="1:5" x14ac:dyDescent="0.3">
      <c r="B14" s="56" t="s">
        <v>35</v>
      </c>
      <c r="C14" s="57">
        <v>15</v>
      </c>
      <c r="D14" s="58" t="s">
        <v>6</v>
      </c>
    </row>
    <row r="16" spans="1:5" x14ac:dyDescent="0.3">
      <c r="B16" s="1" t="s">
        <v>36</v>
      </c>
    </row>
    <row r="17" spans="2:26" x14ac:dyDescent="0.3">
      <c r="W17" s="244"/>
      <c r="X17" s="244"/>
      <c r="Y17" s="244"/>
      <c r="Z17" s="244"/>
    </row>
    <row r="18" spans="2:26" x14ac:dyDescent="0.3">
      <c r="B18" s="3" t="s">
        <v>15</v>
      </c>
    </row>
    <row r="20" spans="2:26" x14ac:dyDescent="0.3">
      <c r="B20" s="10" t="s">
        <v>37</v>
      </c>
    </row>
    <row r="22" spans="2:26" x14ac:dyDescent="0.3">
      <c r="D22" s="6" t="s">
        <v>6</v>
      </c>
      <c r="E22" s="65">
        <v>0</v>
      </c>
      <c r="F22" s="65">
        <v>1</v>
      </c>
      <c r="G22" s="65">
        <v>2</v>
      </c>
      <c r="H22" s="65">
        <v>3</v>
      </c>
      <c r="I22" s="65">
        <v>4</v>
      </c>
      <c r="J22" s="65">
        <v>5</v>
      </c>
      <c r="K22" s="65">
        <v>6</v>
      </c>
      <c r="L22" s="65">
        <v>7</v>
      </c>
      <c r="M22" s="65">
        <v>8</v>
      </c>
      <c r="N22" s="65">
        <v>9</v>
      </c>
      <c r="O22" s="65">
        <v>10</v>
      </c>
      <c r="P22" s="65">
        <v>11</v>
      </c>
      <c r="Q22" s="65">
        <v>12</v>
      </c>
      <c r="R22" s="65">
        <v>13</v>
      </c>
      <c r="S22" s="65">
        <v>14</v>
      </c>
      <c r="T22" s="65">
        <v>15</v>
      </c>
    </row>
    <row r="23" spans="2:26" x14ac:dyDescent="0.3">
      <c r="D23" s="6" t="s">
        <v>17</v>
      </c>
      <c r="E23" s="11"/>
      <c r="F23" s="11">
        <v>90</v>
      </c>
      <c r="G23" s="11">
        <v>90</v>
      </c>
      <c r="H23" s="11">
        <v>90</v>
      </c>
      <c r="I23" s="11">
        <v>90</v>
      </c>
      <c r="J23" s="11">
        <v>90</v>
      </c>
      <c r="K23" s="11">
        <v>90</v>
      </c>
      <c r="L23" s="11">
        <v>90</v>
      </c>
      <c r="M23" s="11">
        <v>90</v>
      </c>
      <c r="N23" s="11">
        <v>90</v>
      </c>
      <c r="O23" s="11">
        <v>90</v>
      </c>
      <c r="P23" s="11">
        <v>90</v>
      </c>
      <c r="Q23" s="11">
        <v>90</v>
      </c>
      <c r="R23" s="11">
        <v>90</v>
      </c>
      <c r="S23" s="11">
        <v>90</v>
      </c>
      <c r="T23" s="11">
        <v>90</v>
      </c>
    </row>
    <row r="24" spans="2:26" x14ac:dyDescent="0.3">
      <c r="D24" s="6" t="s">
        <v>38</v>
      </c>
      <c r="E24" s="13">
        <f>1/(1+$C$10)^E22</f>
        <v>1</v>
      </c>
      <c r="F24" s="13">
        <f t="shared" ref="F24:T24" si="0">1/(1+$C$10)^F22</f>
        <v>0.90909090909090906</v>
      </c>
      <c r="G24" s="13">
        <f t="shared" si="0"/>
        <v>0.82644628099173545</v>
      </c>
      <c r="H24" s="13">
        <f t="shared" si="0"/>
        <v>0.75131480090157754</v>
      </c>
      <c r="I24" s="13">
        <f t="shared" si="0"/>
        <v>0.68301345536507052</v>
      </c>
      <c r="J24" s="13">
        <f t="shared" si="0"/>
        <v>0.62092132305915493</v>
      </c>
      <c r="K24" s="13">
        <f t="shared" si="0"/>
        <v>0.56447393005377722</v>
      </c>
      <c r="L24" s="13">
        <f t="shared" si="0"/>
        <v>0.51315811823070645</v>
      </c>
      <c r="M24" s="13">
        <f t="shared" si="0"/>
        <v>0.46650738020973315</v>
      </c>
      <c r="N24" s="13">
        <f t="shared" si="0"/>
        <v>0.42409761837248466</v>
      </c>
      <c r="O24" s="13">
        <f t="shared" si="0"/>
        <v>0.38554328942953148</v>
      </c>
      <c r="P24" s="13">
        <f t="shared" si="0"/>
        <v>0.3504938994813922</v>
      </c>
      <c r="Q24" s="13">
        <f t="shared" si="0"/>
        <v>0.31863081771035656</v>
      </c>
      <c r="R24" s="13">
        <f t="shared" si="0"/>
        <v>0.28966437973668779</v>
      </c>
      <c r="S24" s="13">
        <f t="shared" si="0"/>
        <v>0.26333125430607973</v>
      </c>
      <c r="T24" s="13">
        <f t="shared" si="0"/>
        <v>0.23939204936916339</v>
      </c>
    </row>
    <row r="25" spans="2:26" x14ac:dyDescent="0.3">
      <c r="D25" s="6" t="s">
        <v>39</v>
      </c>
      <c r="E25" s="6"/>
      <c r="F25" s="11">
        <f>F24*F23</f>
        <v>81.818181818181813</v>
      </c>
      <c r="G25" s="11">
        <f t="shared" ref="G25:T25" si="1">G24*G23</f>
        <v>74.380165289256183</v>
      </c>
      <c r="H25" s="11">
        <f t="shared" si="1"/>
        <v>67.618332081141972</v>
      </c>
      <c r="I25" s="11">
        <f t="shared" si="1"/>
        <v>61.471210982856348</v>
      </c>
      <c r="J25" s="11">
        <f t="shared" si="1"/>
        <v>55.88291907532394</v>
      </c>
      <c r="K25" s="11">
        <f t="shared" si="1"/>
        <v>50.802653704839948</v>
      </c>
      <c r="L25" s="11">
        <f t="shared" si="1"/>
        <v>46.18423064076358</v>
      </c>
      <c r="M25" s="11">
        <f t="shared" si="1"/>
        <v>41.985664218875982</v>
      </c>
      <c r="N25" s="11">
        <f t="shared" si="1"/>
        <v>38.168785653523621</v>
      </c>
      <c r="O25" s="11">
        <f t="shared" si="1"/>
        <v>34.698896048657836</v>
      </c>
      <c r="P25" s="11">
        <f t="shared" si="1"/>
        <v>31.544450953325299</v>
      </c>
      <c r="Q25" s="11">
        <f t="shared" si="1"/>
        <v>28.67677359393209</v>
      </c>
      <c r="R25" s="11">
        <f t="shared" si="1"/>
        <v>26.069794176301901</v>
      </c>
      <c r="S25" s="11">
        <f t="shared" si="1"/>
        <v>23.699812887547175</v>
      </c>
      <c r="T25" s="11">
        <f t="shared" si="1"/>
        <v>21.545284443224705</v>
      </c>
    </row>
    <row r="27" spans="2:26" x14ac:dyDescent="0.3">
      <c r="B27" s="1" t="s">
        <v>40</v>
      </c>
      <c r="C27" s="5">
        <f>SUM(F25:T25)</f>
        <v>684.54715556775227</v>
      </c>
    </row>
    <row r="30" spans="2:26" x14ac:dyDescent="0.3">
      <c r="B30" s="1" t="s">
        <v>41</v>
      </c>
    </row>
    <row r="32" spans="2:26" x14ac:dyDescent="0.3">
      <c r="D32" s="6" t="s">
        <v>6</v>
      </c>
      <c r="E32" s="65">
        <v>0</v>
      </c>
      <c r="F32" s="65">
        <v>1</v>
      </c>
      <c r="G32" s="65">
        <v>2</v>
      </c>
      <c r="H32" s="65">
        <v>3</v>
      </c>
      <c r="I32" s="65">
        <v>4</v>
      </c>
      <c r="J32" s="65">
        <v>5</v>
      </c>
    </row>
    <row r="33" spans="1:20" x14ac:dyDescent="0.3">
      <c r="D33" s="6" t="s">
        <v>17</v>
      </c>
      <c r="E33" s="11"/>
      <c r="F33" s="11">
        <v>90</v>
      </c>
      <c r="G33" s="11">
        <v>90</v>
      </c>
      <c r="H33" s="11">
        <v>90</v>
      </c>
      <c r="I33" s="11">
        <v>90</v>
      </c>
      <c r="J33" s="11">
        <v>1131.5211828789697</v>
      </c>
    </row>
    <row r="34" spans="1:20" x14ac:dyDescent="0.3">
      <c r="D34" s="6" t="s">
        <v>38</v>
      </c>
      <c r="E34" s="65">
        <v>1</v>
      </c>
      <c r="F34" s="12">
        <f>1/(1+$C$13)^F32</f>
        <v>0.92165898617511521</v>
      </c>
      <c r="G34" s="12">
        <f t="shared" ref="G34:J34" si="2">1/(1+$C$13)^G32</f>
        <v>0.84945528679734128</v>
      </c>
      <c r="H34" s="12">
        <f t="shared" si="2"/>
        <v>0.78290809843072917</v>
      </c>
      <c r="I34" s="12">
        <f t="shared" si="2"/>
        <v>0.72157428426795334</v>
      </c>
      <c r="J34" s="12">
        <f t="shared" si="2"/>
        <v>0.66504542328843619</v>
      </c>
    </row>
    <row r="35" spans="1:20" x14ac:dyDescent="0.3">
      <c r="D35" s="6" t="s">
        <v>39</v>
      </c>
      <c r="E35" s="6"/>
      <c r="F35" s="11">
        <f>F34*F33</f>
        <v>82.94930875576037</v>
      </c>
      <c r="G35" s="11">
        <f t="shared" ref="G35:J35" si="3">G34*G33</f>
        <v>76.450975811760713</v>
      </c>
      <c r="H35" s="11">
        <f t="shared" si="3"/>
        <v>70.461728858765625</v>
      </c>
      <c r="I35" s="11">
        <f t="shared" si="3"/>
        <v>64.941685584115802</v>
      </c>
      <c r="J35" s="11">
        <f t="shared" si="3"/>
        <v>752.51298402757641</v>
      </c>
    </row>
    <row r="37" spans="1:20" x14ac:dyDescent="0.3">
      <c r="B37" s="1" t="s">
        <v>42</v>
      </c>
      <c r="C37" s="5">
        <f>SUM(F35:J35)</f>
        <v>1047.3166830379789</v>
      </c>
    </row>
    <row r="39" spans="1:20" x14ac:dyDescent="0.3">
      <c r="B39" s="3" t="s">
        <v>23</v>
      </c>
      <c r="C39" s="5">
        <f>C37+C27</f>
        <v>1731.8638386057312</v>
      </c>
    </row>
    <row r="42" spans="1:20" x14ac:dyDescent="0.3">
      <c r="A42" s="324"/>
      <c r="B42" s="324"/>
      <c r="C42" s="324"/>
      <c r="D42" s="324"/>
      <c r="E42" s="324"/>
      <c r="F42" s="324"/>
      <c r="G42" s="324"/>
      <c r="H42" s="324"/>
      <c r="I42" s="324"/>
      <c r="J42" s="324"/>
      <c r="K42" s="324"/>
      <c r="L42" s="324"/>
      <c r="M42" s="324"/>
      <c r="N42" s="324"/>
      <c r="O42" s="324"/>
      <c r="P42" s="324"/>
      <c r="Q42" s="324"/>
      <c r="R42" s="324"/>
      <c r="S42" s="324"/>
      <c r="T42" s="324"/>
    </row>
    <row r="43" spans="1:20" x14ac:dyDescent="0.3">
      <c r="A43" s="324">
        <v>7</v>
      </c>
      <c r="B43" s="325" t="s">
        <v>853</v>
      </c>
      <c r="C43" s="324"/>
      <c r="D43" s="324"/>
      <c r="E43" s="324"/>
      <c r="F43" s="324"/>
      <c r="G43" s="324"/>
      <c r="H43" s="324"/>
      <c r="I43" s="324"/>
      <c r="J43" s="324"/>
      <c r="K43" s="324"/>
      <c r="L43" s="324"/>
      <c r="M43" s="324"/>
      <c r="N43" s="324"/>
      <c r="O43" s="324"/>
      <c r="P43" s="324"/>
      <c r="Q43" s="324"/>
      <c r="R43" s="324"/>
      <c r="S43" s="324"/>
      <c r="T43" s="324"/>
    </row>
    <row r="44" spans="1:20" x14ac:dyDescent="0.3">
      <c r="A44" s="324"/>
      <c r="B44" s="326" t="s">
        <v>854</v>
      </c>
      <c r="C44" s="324"/>
      <c r="D44" s="324"/>
      <c r="E44" s="324"/>
      <c r="F44" s="324"/>
      <c r="G44" s="324"/>
      <c r="H44" s="324"/>
      <c r="I44" s="324"/>
      <c r="J44" s="324"/>
      <c r="K44" s="324"/>
      <c r="L44" s="324"/>
      <c r="M44" s="324"/>
      <c r="N44" s="324"/>
      <c r="O44" s="324"/>
      <c r="P44" s="324"/>
      <c r="Q44" s="324"/>
      <c r="R44" s="324"/>
      <c r="S44" s="324"/>
      <c r="T44" s="324"/>
    </row>
    <row r="45" spans="1:20" x14ac:dyDescent="0.3">
      <c r="A45" s="324"/>
      <c r="B45" s="326" t="s">
        <v>855</v>
      </c>
      <c r="C45" s="324"/>
      <c r="D45" s="324"/>
      <c r="E45" s="324"/>
      <c r="F45" s="324"/>
      <c r="G45" s="324"/>
      <c r="H45" s="324"/>
      <c r="I45" s="324"/>
      <c r="J45" s="324"/>
      <c r="K45" s="324"/>
      <c r="L45" s="324"/>
      <c r="M45" s="324"/>
      <c r="N45" s="324"/>
      <c r="O45" s="324"/>
      <c r="P45" s="324"/>
      <c r="Q45" s="324"/>
      <c r="R45" s="324"/>
      <c r="S45" s="324"/>
      <c r="T45" s="324"/>
    </row>
    <row r="46" spans="1:20" x14ac:dyDescent="0.3">
      <c r="A46" s="324"/>
      <c r="B46" s="324"/>
      <c r="C46" s="324"/>
      <c r="D46" s="324"/>
      <c r="E46" s="324"/>
      <c r="F46" s="324"/>
      <c r="G46" s="324"/>
      <c r="H46" s="324"/>
      <c r="I46" s="324"/>
      <c r="J46" s="324"/>
      <c r="K46" s="324"/>
      <c r="L46" s="324"/>
      <c r="M46" s="324"/>
      <c r="N46" s="324"/>
      <c r="O46" s="324"/>
      <c r="P46" s="324"/>
      <c r="Q46" s="324"/>
      <c r="R46" s="324"/>
      <c r="S46" s="324"/>
      <c r="T46" s="324"/>
    </row>
    <row r="47" spans="1:20" x14ac:dyDescent="0.3">
      <c r="A47" s="324"/>
      <c r="B47" s="327" t="s">
        <v>4</v>
      </c>
      <c r="C47" s="324"/>
      <c r="D47" s="324"/>
      <c r="E47" s="324"/>
      <c r="F47" s="324"/>
      <c r="G47" s="324"/>
      <c r="H47" s="324"/>
      <c r="I47" s="324"/>
      <c r="J47" s="324"/>
      <c r="K47" s="324"/>
      <c r="L47" s="324"/>
      <c r="M47" s="324"/>
      <c r="N47" s="324"/>
      <c r="O47" s="324"/>
      <c r="P47" s="324"/>
      <c r="Q47" s="324"/>
      <c r="R47" s="324"/>
      <c r="S47" s="324"/>
      <c r="T47" s="324"/>
    </row>
    <row r="48" spans="1:20" x14ac:dyDescent="0.3">
      <c r="A48" s="324"/>
      <c r="B48" s="324"/>
      <c r="C48" s="324"/>
      <c r="D48" s="324"/>
      <c r="E48" s="324"/>
      <c r="F48" s="324"/>
      <c r="G48" s="324"/>
      <c r="H48" s="324"/>
      <c r="I48" s="324"/>
      <c r="J48" s="324"/>
      <c r="K48" s="324"/>
      <c r="L48" s="324"/>
      <c r="M48" s="324"/>
      <c r="N48" s="324"/>
      <c r="O48" s="324"/>
      <c r="P48" s="324"/>
      <c r="Q48" s="324"/>
      <c r="R48" s="324"/>
      <c r="S48" s="324"/>
      <c r="T48" s="324"/>
    </row>
    <row r="49" spans="1:20" x14ac:dyDescent="0.3">
      <c r="A49" s="324"/>
      <c r="B49" s="324" t="s">
        <v>324</v>
      </c>
      <c r="C49" s="324">
        <v>10</v>
      </c>
      <c r="D49" s="324" t="s">
        <v>6</v>
      </c>
      <c r="E49" s="324"/>
      <c r="F49" s="324"/>
      <c r="G49" s="324"/>
      <c r="H49" s="324"/>
      <c r="I49" s="324"/>
      <c r="J49" s="324"/>
      <c r="K49" s="324"/>
      <c r="L49" s="324"/>
      <c r="M49" s="324"/>
      <c r="N49" s="324"/>
      <c r="O49" s="324"/>
      <c r="P49" s="324"/>
      <c r="Q49" s="324"/>
      <c r="R49" s="324"/>
      <c r="S49" s="324"/>
      <c r="T49" s="324"/>
    </row>
    <row r="50" spans="1:20" x14ac:dyDescent="0.3">
      <c r="A50" s="324"/>
      <c r="B50" s="324" t="s">
        <v>63</v>
      </c>
      <c r="C50" s="226">
        <v>0.11</v>
      </c>
      <c r="D50" s="324"/>
      <c r="E50" s="324"/>
      <c r="F50" s="324"/>
      <c r="G50" s="324"/>
      <c r="H50" s="324"/>
      <c r="I50" s="324"/>
      <c r="J50" s="324"/>
      <c r="K50" s="324"/>
      <c r="L50" s="324"/>
      <c r="M50" s="324"/>
      <c r="N50" s="324"/>
      <c r="O50" s="324"/>
      <c r="P50" s="324"/>
      <c r="Q50" s="324"/>
      <c r="R50" s="324"/>
      <c r="S50" s="324"/>
      <c r="T50" s="324"/>
    </row>
    <row r="51" spans="1:20" x14ac:dyDescent="0.3">
      <c r="A51" s="324"/>
      <c r="B51" s="324" t="s">
        <v>8</v>
      </c>
      <c r="C51" s="328">
        <v>1000</v>
      </c>
      <c r="D51" s="324"/>
      <c r="E51" s="324"/>
      <c r="F51" s="324"/>
      <c r="G51" s="324"/>
      <c r="H51" s="324"/>
      <c r="I51" s="324"/>
      <c r="J51" s="324"/>
      <c r="K51" s="324"/>
      <c r="L51" s="324"/>
      <c r="M51" s="324"/>
      <c r="N51" s="324"/>
      <c r="O51" s="324"/>
      <c r="P51" s="324"/>
      <c r="Q51" s="324"/>
      <c r="R51" s="324"/>
      <c r="S51" s="324"/>
      <c r="T51" s="324"/>
    </row>
    <row r="52" spans="1:20" x14ac:dyDescent="0.3">
      <c r="A52" s="324"/>
      <c r="B52" s="324" t="s">
        <v>83</v>
      </c>
      <c r="C52" s="330">
        <v>9.7900000000000001E-2</v>
      </c>
      <c r="D52" s="324"/>
      <c r="E52" s="324"/>
      <c r="F52" s="324"/>
      <c r="G52" s="324"/>
      <c r="H52" s="324"/>
      <c r="I52" s="324"/>
      <c r="J52" s="324"/>
      <c r="K52" s="324"/>
      <c r="L52" s="324"/>
      <c r="M52" s="324"/>
      <c r="N52" s="324"/>
      <c r="O52" s="324"/>
      <c r="P52" s="324"/>
      <c r="Q52" s="324"/>
      <c r="R52" s="324"/>
      <c r="S52" s="324"/>
      <c r="T52" s="324"/>
    </row>
    <row r="53" spans="1:20" x14ac:dyDescent="0.3">
      <c r="A53" s="324"/>
      <c r="B53" s="324" t="s">
        <v>856</v>
      </c>
      <c r="C53" s="328">
        <v>1060.49</v>
      </c>
      <c r="D53" s="324"/>
      <c r="E53" s="324"/>
      <c r="F53" s="324"/>
      <c r="G53" s="324"/>
      <c r="H53" s="324"/>
      <c r="I53" s="324"/>
      <c r="J53" s="324"/>
      <c r="K53" s="324"/>
      <c r="L53" s="324"/>
      <c r="M53" s="324"/>
      <c r="N53" s="324"/>
      <c r="O53" s="324"/>
      <c r="P53" s="324"/>
      <c r="Q53" s="324"/>
      <c r="R53" s="324"/>
      <c r="S53" s="324"/>
      <c r="T53" s="324"/>
    </row>
    <row r="54" spans="1:20" x14ac:dyDescent="0.3">
      <c r="A54" s="324"/>
      <c r="B54" s="324"/>
      <c r="C54" s="324"/>
      <c r="D54" s="324"/>
      <c r="E54" s="324"/>
      <c r="F54" s="324"/>
      <c r="G54" s="324"/>
      <c r="H54" s="324"/>
      <c r="I54" s="324"/>
      <c r="J54" s="324"/>
      <c r="K54" s="324"/>
      <c r="L54" s="324"/>
      <c r="M54" s="324"/>
      <c r="N54" s="324"/>
      <c r="O54" s="324"/>
      <c r="P54" s="324"/>
      <c r="Q54" s="324"/>
      <c r="R54" s="324"/>
      <c r="S54" s="324"/>
      <c r="T54" s="324"/>
    </row>
    <row r="55" spans="1:20" x14ac:dyDescent="0.3">
      <c r="A55" s="324"/>
      <c r="B55" s="324" t="s">
        <v>857</v>
      </c>
      <c r="C55" s="324"/>
      <c r="D55" s="324"/>
      <c r="E55" s="324"/>
      <c r="F55" s="324"/>
      <c r="G55" s="324"/>
      <c r="H55" s="324"/>
      <c r="I55" s="324"/>
      <c r="J55" s="324"/>
      <c r="K55" s="324"/>
      <c r="L55" s="324"/>
      <c r="M55" s="324"/>
      <c r="N55" s="324"/>
      <c r="O55" s="324"/>
      <c r="P55" s="324"/>
      <c r="Q55" s="324"/>
      <c r="R55" s="324"/>
      <c r="S55" s="324"/>
      <c r="T55" s="324"/>
    </row>
    <row r="56" spans="1:20" x14ac:dyDescent="0.3">
      <c r="A56" s="324"/>
      <c r="B56" s="324"/>
      <c r="C56" s="324"/>
      <c r="D56" s="324"/>
      <c r="E56" s="324"/>
      <c r="F56" s="324"/>
      <c r="G56" s="324"/>
      <c r="H56" s="324"/>
      <c r="I56" s="324"/>
      <c r="J56" s="324"/>
      <c r="K56" s="324"/>
      <c r="L56" s="324"/>
      <c r="M56" s="324"/>
      <c r="N56" s="324"/>
      <c r="O56" s="324"/>
      <c r="P56" s="324"/>
      <c r="Q56" s="324"/>
      <c r="R56" s="324"/>
      <c r="S56" s="324"/>
      <c r="T56" s="324"/>
    </row>
    <row r="57" spans="1:20" x14ac:dyDescent="0.3">
      <c r="A57" s="324"/>
      <c r="B57" s="327" t="s">
        <v>15</v>
      </c>
      <c r="C57" s="324"/>
      <c r="D57" s="324"/>
      <c r="E57" s="324"/>
      <c r="F57" s="324"/>
      <c r="G57" s="324"/>
      <c r="H57" s="324"/>
      <c r="I57" s="324"/>
      <c r="J57" s="324"/>
      <c r="K57" s="324"/>
      <c r="L57" s="324"/>
      <c r="M57" s="324"/>
      <c r="N57" s="324"/>
      <c r="O57" s="324"/>
      <c r="P57" s="324"/>
      <c r="Q57" s="324"/>
      <c r="R57" s="324"/>
      <c r="S57" s="324"/>
      <c r="T57" s="324"/>
    </row>
    <row r="58" spans="1:20" x14ac:dyDescent="0.3">
      <c r="A58" s="324"/>
      <c r="B58" s="324"/>
      <c r="C58" s="324"/>
      <c r="D58" s="324"/>
      <c r="E58" s="324"/>
      <c r="F58" s="324"/>
      <c r="G58" s="324"/>
      <c r="H58" s="324"/>
      <c r="I58" s="324"/>
      <c r="J58" s="324"/>
      <c r="K58" s="324"/>
      <c r="L58" s="324"/>
      <c r="M58" s="324"/>
      <c r="N58" s="324"/>
      <c r="O58" s="324"/>
      <c r="P58" s="324"/>
      <c r="Q58" s="337"/>
      <c r="R58" s="337"/>
      <c r="S58" s="337"/>
      <c r="T58" s="337"/>
    </row>
    <row r="59" spans="1:20" x14ac:dyDescent="0.3">
      <c r="A59" s="324"/>
      <c r="B59" s="324"/>
      <c r="C59" s="324"/>
      <c r="D59" s="327" t="s">
        <v>858</v>
      </c>
      <c r="E59" s="331" t="s">
        <v>314</v>
      </c>
      <c r="F59" s="332">
        <v>0</v>
      </c>
      <c r="G59" s="332">
        <v>1</v>
      </c>
      <c r="H59" s="332">
        <v>2</v>
      </c>
      <c r="I59" s="332">
        <v>3</v>
      </c>
      <c r="J59" s="332">
        <v>4</v>
      </c>
      <c r="K59" s="332">
        <v>5</v>
      </c>
      <c r="L59" s="332">
        <v>6</v>
      </c>
      <c r="M59" s="332">
        <v>7</v>
      </c>
      <c r="N59" s="332">
        <v>8</v>
      </c>
      <c r="O59" s="332">
        <v>9</v>
      </c>
      <c r="P59" s="332">
        <v>10</v>
      </c>
      <c r="Q59" s="324"/>
      <c r="R59" s="324"/>
      <c r="S59" s="324"/>
      <c r="T59" s="324"/>
    </row>
    <row r="60" spans="1:20" x14ac:dyDescent="0.3">
      <c r="A60" s="324"/>
      <c r="B60" s="324"/>
      <c r="C60" s="324"/>
      <c r="D60" s="324"/>
      <c r="E60" s="333" t="s">
        <v>17</v>
      </c>
      <c r="F60" s="334"/>
      <c r="G60" s="334">
        <v>110</v>
      </c>
      <c r="H60" s="334">
        <v>110</v>
      </c>
      <c r="I60" s="334">
        <v>110</v>
      </c>
      <c r="J60" s="334">
        <v>110</v>
      </c>
      <c r="K60" s="334">
        <v>110</v>
      </c>
      <c r="L60" s="334">
        <v>110</v>
      </c>
      <c r="M60" s="334">
        <v>110</v>
      </c>
      <c r="N60" s="334">
        <v>110</v>
      </c>
      <c r="O60" s="334">
        <v>110</v>
      </c>
      <c r="P60" s="334">
        <v>1110</v>
      </c>
      <c r="Q60" s="324"/>
      <c r="R60" s="324"/>
      <c r="S60" s="324"/>
      <c r="T60" s="324"/>
    </row>
    <row r="61" spans="1:20" x14ac:dyDescent="0.3">
      <c r="A61" s="324"/>
      <c r="B61" s="324"/>
      <c r="C61" s="324"/>
      <c r="D61" s="324"/>
      <c r="E61" s="333" t="s">
        <v>38</v>
      </c>
      <c r="F61" s="335"/>
      <c r="G61" s="335">
        <v>0.91082976591675002</v>
      </c>
      <c r="H61" s="335">
        <v>0.82961086247996174</v>
      </c>
      <c r="I61" s="335">
        <v>0.75563426767461672</v>
      </c>
      <c r="J61" s="335">
        <v>0.68825418314474607</v>
      </c>
      <c r="K61" s="335">
        <v>0.62688239652495303</v>
      </c>
      <c r="L61" s="335">
        <v>0.57098314648415438</v>
      </c>
      <c r="M61" s="335">
        <v>0.52006844565457178</v>
      </c>
      <c r="N61" s="335">
        <v>0.47369382061624166</v>
      </c>
      <c r="O61" s="335">
        <v>0.43145443174810238</v>
      </c>
      <c r="P61" s="335">
        <v>0.39298153907286854</v>
      </c>
      <c r="Q61" s="324"/>
      <c r="R61" s="324"/>
      <c r="S61" s="324"/>
      <c r="T61" s="324"/>
    </row>
    <row r="62" spans="1:20" x14ac:dyDescent="0.3">
      <c r="A62" s="324"/>
      <c r="B62" s="324"/>
      <c r="C62" s="324"/>
      <c r="D62" s="324"/>
      <c r="E62" s="333" t="s">
        <v>39</v>
      </c>
      <c r="F62" s="336"/>
      <c r="G62" s="334">
        <v>100.1912742508425</v>
      </c>
      <c r="H62" s="334">
        <v>91.257194872795793</v>
      </c>
      <c r="I62" s="334">
        <v>83.119769444207833</v>
      </c>
      <c r="J62" s="334">
        <v>75.707960145922073</v>
      </c>
      <c r="K62" s="334">
        <v>68.957063617744836</v>
      </c>
      <c r="L62" s="334">
        <v>62.808146113256981</v>
      </c>
      <c r="M62" s="334">
        <v>57.207529022002895</v>
      </c>
      <c r="N62" s="334">
        <v>52.106320267786579</v>
      </c>
      <c r="O62" s="334">
        <v>47.459987492291262</v>
      </c>
      <c r="P62" s="334">
        <v>436.20950837088407</v>
      </c>
      <c r="Q62" s="324"/>
      <c r="R62" s="324"/>
      <c r="S62" s="324"/>
      <c r="T62" s="324"/>
    </row>
    <row r="63" spans="1:20" x14ac:dyDescent="0.3">
      <c r="A63" s="324"/>
      <c r="B63" s="324"/>
      <c r="C63" s="324"/>
      <c r="D63" s="324"/>
      <c r="E63" s="324"/>
      <c r="F63" s="324"/>
      <c r="G63" s="324"/>
      <c r="H63" s="324"/>
      <c r="I63" s="324"/>
      <c r="J63" s="324"/>
      <c r="K63" s="324"/>
      <c r="L63" s="324"/>
      <c r="M63" s="324"/>
      <c r="N63" s="324"/>
      <c r="O63" s="324"/>
      <c r="P63" s="324"/>
      <c r="Q63" s="324"/>
      <c r="R63" s="324"/>
      <c r="S63" s="324"/>
      <c r="T63" s="324"/>
    </row>
    <row r="64" spans="1:20" x14ac:dyDescent="0.3">
      <c r="A64" s="324"/>
      <c r="B64" s="324" t="s">
        <v>97</v>
      </c>
      <c r="C64" s="328">
        <v>1075.0247535977348</v>
      </c>
      <c r="D64" s="324"/>
      <c r="E64" s="324"/>
      <c r="F64" s="324"/>
      <c r="G64" s="324"/>
      <c r="H64" s="324"/>
      <c r="I64" s="324"/>
      <c r="J64" s="324"/>
      <c r="K64" s="324"/>
      <c r="L64" s="324"/>
      <c r="M64" s="324"/>
      <c r="N64" s="324"/>
      <c r="O64" s="324"/>
      <c r="P64" s="324"/>
      <c r="Q64" s="324"/>
      <c r="R64" s="324"/>
      <c r="S64" s="324"/>
      <c r="T64" s="324"/>
    </row>
    <row r="65" spans="1:20" x14ac:dyDescent="0.3">
      <c r="A65" s="324"/>
      <c r="B65" s="324" t="s">
        <v>859</v>
      </c>
      <c r="C65" s="348">
        <v>1075.0247535977348</v>
      </c>
      <c r="D65" s="324"/>
      <c r="E65" s="324"/>
      <c r="F65" s="324"/>
      <c r="G65" s="324"/>
      <c r="H65" s="324"/>
      <c r="I65" s="324"/>
      <c r="J65" s="324"/>
      <c r="K65" s="324"/>
      <c r="L65" s="324"/>
      <c r="M65" s="324"/>
      <c r="N65" s="324"/>
      <c r="O65" s="324"/>
      <c r="P65" s="324"/>
      <c r="Q65" s="324"/>
      <c r="R65" s="324"/>
      <c r="S65" s="324"/>
      <c r="T65" s="324"/>
    </row>
    <row r="66" spans="1:20" x14ac:dyDescent="0.3">
      <c r="A66" s="324"/>
      <c r="B66" s="324"/>
      <c r="C66" s="324"/>
      <c r="D66" s="324"/>
      <c r="E66" s="324"/>
      <c r="F66" s="324"/>
      <c r="G66" s="324"/>
      <c r="H66" s="324"/>
      <c r="I66" s="324"/>
      <c r="J66" s="324"/>
      <c r="K66" s="324"/>
      <c r="L66" s="324"/>
      <c r="M66" s="324"/>
      <c r="N66" s="324"/>
      <c r="O66" s="324"/>
      <c r="P66" s="324"/>
      <c r="Q66" s="324"/>
      <c r="R66" s="324"/>
      <c r="S66" s="324"/>
      <c r="T66" s="324"/>
    </row>
    <row r="67" spans="1:20" x14ac:dyDescent="0.3">
      <c r="A67" s="324"/>
      <c r="B67" s="327" t="s">
        <v>860</v>
      </c>
      <c r="C67" s="324"/>
      <c r="D67" s="324"/>
      <c r="E67" s="324"/>
      <c r="F67" s="324"/>
      <c r="G67" s="324"/>
      <c r="H67" s="324"/>
      <c r="I67" s="324"/>
      <c r="J67" s="324"/>
      <c r="K67" s="324"/>
      <c r="L67" s="324"/>
      <c r="M67" s="324"/>
      <c r="N67" s="324"/>
      <c r="O67" s="324"/>
      <c r="P67" s="324"/>
      <c r="Q67" s="324"/>
      <c r="R67" s="324"/>
      <c r="S67" s="324"/>
      <c r="T67" s="324"/>
    </row>
    <row r="68" spans="1:20" x14ac:dyDescent="0.3">
      <c r="A68" s="324"/>
      <c r="B68" s="324" t="s">
        <v>861</v>
      </c>
      <c r="C68" s="328">
        <v>110</v>
      </c>
      <c r="D68" s="324"/>
      <c r="E68" s="324"/>
      <c r="F68" s="324"/>
      <c r="G68" s="324"/>
      <c r="H68" s="324"/>
      <c r="I68" s="324"/>
      <c r="J68" s="324"/>
      <c r="K68" s="324"/>
      <c r="L68" s="324"/>
      <c r="M68" s="324"/>
      <c r="N68" s="324"/>
      <c r="O68" s="324"/>
      <c r="P68" s="324"/>
      <c r="Q68" s="324"/>
      <c r="R68" s="324"/>
      <c r="S68" s="324"/>
      <c r="T68" s="324"/>
    </row>
    <row r="69" spans="1:20" x14ac:dyDescent="0.3">
      <c r="A69" s="324"/>
      <c r="B69" s="324" t="s">
        <v>856</v>
      </c>
      <c r="C69" s="328">
        <v>1060.49</v>
      </c>
      <c r="D69" s="324"/>
      <c r="E69" s="324"/>
      <c r="F69" s="324"/>
      <c r="G69" s="324"/>
      <c r="H69" s="324"/>
      <c r="I69" s="324"/>
      <c r="J69" s="324"/>
      <c r="K69" s="324"/>
      <c r="L69" s="324"/>
      <c r="M69" s="324"/>
      <c r="N69" s="324"/>
      <c r="O69" s="324"/>
      <c r="P69" s="324"/>
      <c r="Q69" s="324"/>
      <c r="R69" s="324"/>
      <c r="S69" s="324"/>
      <c r="T69" s="324"/>
    </row>
    <row r="70" spans="1:20" x14ac:dyDescent="0.3">
      <c r="A70" s="324"/>
      <c r="B70" s="324" t="s">
        <v>862</v>
      </c>
      <c r="C70" s="348">
        <v>1170.49</v>
      </c>
      <c r="D70" s="324"/>
      <c r="E70" s="324"/>
      <c r="F70" s="324"/>
      <c r="G70" s="324"/>
      <c r="H70" s="324"/>
      <c r="I70" s="324"/>
      <c r="J70" s="324"/>
      <c r="K70" s="324"/>
      <c r="L70" s="324"/>
      <c r="M70" s="324"/>
      <c r="N70" s="324"/>
      <c r="O70" s="324"/>
      <c r="P70" s="324"/>
      <c r="Q70" s="324"/>
      <c r="R70" s="324"/>
      <c r="S70" s="324"/>
      <c r="T70" s="324"/>
    </row>
    <row r="71" spans="1:20" x14ac:dyDescent="0.3">
      <c r="A71" s="324"/>
      <c r="B71" s="324"/>
      <c r="C71" s="324"/>
      <c r="D71" s="324"/>
      <c r="E71" s="324"/>
      <c r="F71" s="324"/>
      <c r="G71" s="324"/>
      <c r="H71" s="324"/>
      <c r="I71" s="324"/>
      <c r="J71" s="324"/>
      <c r="K71" s="324"/>
      <c r="L71" s="324"/>
      <c r="M71" s="324"/>
      <c r="N71" s="324"/>
      <c r="O71" s="324"/>
      <c r="P71" s="324"/>
      <c r="Q71" s="324"/>
      <c r="R71" s="324"/>
      <c r="S71" s="324"/>
      <c r="T71" s="324"/>
    </row>
    <row r="72" spans="1:20" x14ac:dyDescent="0.3">
      <c r="A72" s="324"/>
      <c r="B72" s="324"/>
      <c r="C72" s="324"/>
      <c r="D72" s="324"/>
      <c r="E72" s="324"/>
      <c r="F72" s="324"/>
      <c r="G72" s="324"/>
      <c r="H72" s="324"/>
      <c r="I72" s="324"/>
      <c r="J72" s="324"/>
      <c r="K72" s="324"/>
      <c r="L72" s="324"/>
      <c r="M72" s="324"/>
      <c r="N72" s="324"/>
      <c r="O72" s="324"/>
      <c r="P72" s="324"/>
      <c r="Q72" s="324"/>
      <c r="R72" s="324"/>
      <c r="S72" s="324"/>
      <c r="T72" s="324"/>
    </row>
    <row r="73" spans="1:20" x14ac:dyDescent="0.3">
      <c r="A73" s="324"/>
      <c r="B73" s="324"/>
      <c r="C73" s="324"/>
      <c r="D73" s="324"/>
      <c r="E73" s="324"/>
      <c r="F73" s="324"/>
      <c r="G73" s="324"/>
      <c r="H73" s="324"/>
      <c r="I73" s="324"/>
      <c r="J73" s="324"/>
      <c r="K73" s="324"/>
      <c r="L73" s="324"/>
      <c r="M73" s="324"/>
      <c r="N73" s="324"/>
      <c r="O73" s="324"/>
      <c r="P73" s="324"/>
      <c r="Q73" s="324"/>
      <c r="R73" s="324"/>
      <c r="S73" s="324"/>
      <c r="T73" s="324"/>
    </row>
    <row r="74" spans="1:20" x14ac:dyDescent="0.3">
      <c r="A74" s="324"/>
      <c r="B74" s="324"/>
      <c r="C74" s="324"/>
      <c r="D74" s="324"/>
      <c r="E74" s="324"/>
      <c r="F74" s="324"/>
      <c r="G74" s="324"/>
      <c r="H74" s="324"/>
      <c r="I74" s="324"/>
      <c r="J74" s="324"/>
      <c r="K74" s="324"/>
      <c r="L74" s="324"/>
      <c r="M74" s="324"/>
      <c r="N74" s="324"/>
      <c r="O74" s="324"/>
      <c r="P74" s="324"/>
      <c r="Q74" s="324"/>
      <c r="R74" s="324"/>
      <c r="S74" s="324"/>
      <c r="T74" s="324"/>
    </row>
    <row r="75" spans="1:20" x14ac:dyDescent="0.3">
      <c r="A75" s="324"/>
      <c r="B75" s="324"/>
      <c r="C75" s="324"/>
      <c r="D75" s="324"/>
      <c r="E75" s="324"/>
      <c r="F75" s="324"/>
      <c r="G75" s="324"/>
      <c r="H75" s="324"/>
      <c r="I75" s="324"/>
      <c r="J75" s="324"/>
      <c r="K75" s="324"/>
      <c r="L75" s="324"/>
      <c r="M75" s="324"/>
      <c r="N75" s="324"/>
      <c r="O75" s="324"/>
      <c r="P75" s="324"/>
      <c r="Q75" s="324"/>
      <c r="R75" s="324"/>
      <c r="S75" s="324"/>
      <c r="T75" s="324"/>
    </row>
    <row r="76" spans="1:20" x14ac:dyDescent="0.3">
      <c r="A76" s="324"/>
      <c r="B76" s="324"/>
      <c r="C76" s="324"/>
      <c r="D76" s="324"/>
      <c r="E76" s="324"/>
      <c r="F76" s="324"/>
      <c r="G76" s="324"/>
      <c r="H76" s="324"/>
      <c r="I76" s="324"/>
      <c r="J76" s="324"/>
      <c r="K76" s="324"/>
      <c r="L76" s="324"/>
      <c r="M76" s="324"/>
      <c r="N76" s="324"/>
      <c r="O76" s="324"/>
      <c r="P76" s="324"/>
      <c r="Q76" s="324"/>
      <c r="R76" s="324"/>
      <c r="S76" s="324"/>
      <c r="T76" s="324"/>
    </row>
    <row r="77" spans="1:20" x14ac:dyDescent="0.3">
      <c r="A77" s="324"/>
      <c r="B77" s="324"/>
      <c r="C77" s="324"/>
      <c r="D77" s="324"/>
      <c r="E77" s="324"/>
      <c r="F77" s="324"/>
      <c r="G77" s="324"/>
      <c r="H77" s="324"/>
      <c r="I77" s="324"/>
      <c r="J77" s="324"/>
      <c r="K77" s="324"/>
      <c r="L77" s="324"/>
      <c r="M77" s="324"/>
      <c r="N77" s="324"/>
      <c r="O77" s="324"/>
      <c r="P77" s="324"/>
      <c r="Q77" s="324"/>
      <c r="R77" s="324"/>
      <c r="S77" s="324"/>
      <c r="T77" s="324"/>
    </row>
    <row r="78" spans="1:20" x14ac:dyDescent="0.3">
      <c r="A78" s="324"/>
      <c r="B78" s="324" t="s">
        <v>863</v>
      </c>
      <c r="C78" s="349">
        <f>(C70-C65)/C69</f>
        <v>9.0019940218451056E-2</v>
      </c>
      <c r="D78" s="324"/>
      <c r="E78" s="324"/>
      <c r="F78" s="324"/>
      <c r="G78" s="324"/>
      <c r="H78" s="324"/>
      <c r="I78" s="324"/>
      <c r="J78" s="324"/>
      <c r="K78" s="324"/>
      <c r="L78" s="324"/>
      <c r="M78" s="324"/>
      <c r="N78" s="324"/>
      <c r="O78" s="324"/>
      <c r="P78" s="324"/>
      <c r="Q78" s="324"/>
      <c r="R78" s="324"/>
      <c r="S78" s="324"/>
      <c r="T78" s="324"/>
    </row>
    <row r="79" spans="1:20" x14ac:dyDescent="0.3">
      <c r="A79" s="324"/>
      <c r="B79" s="324"/>
      <c r="C79" s="324"/>
      <c r="D79" s="324"/>
      <c r="E79" s="324"/>
      <c r="F79" s="324"/>
      <c r="G79" s="324"/>
      <c r="H79" s="324"/>
      <c r="I79" s="324"/>
      <c r="J79" s="324"/>
      <c r="K79" s="324"/>
      <c r="L79" s="324"/>
      <c r="M79" s="324"/>
      <c r="N79" s="324"/>
      <c r="O79" s="324"/>
      <c r="P79" s="324"/>
      <c r="Q79" s="324"/>
      <c r="R79" s="324"/>
      <c r="S79" s="324"/>
      <c r="T79" s="324"/>
    </row>
    <row r="80" spans="1:20" x14ac:dyDescent="0.3">
      <c r="A80" s="324"/>
      <c r="B80" s="324" t="s">
        <v>23</v>
      </c>
      <c r="C80" s="350">
        <v>8.8802835546601233E-2</v>
      </c>
      <c r="D80" s="324"/>
      <c r="E80" s="324"/>
      <c r="F80" s="324"/>
      <c r="G80" s="324"/>
      <c r="H80" s="324"/>
      <c r="I80" s="324"/>
      <c r="J80" s="324"/>
      <c r="K80" s="324"/>
      <c r="L80" s="324"/>
      <c r="M80" s="324"/>
      <c r="N80" s="324"/>
      <c r="O80" s="324"/>
      <c r="P80" s="324"/>
      <c r="Q80" s="324"/>
      <c r="R80" s="324"/>
      <c r="S80" s="324"/>
      <c r="T80" s="324"/>
    </row>
    <row r="81" spans="1:21" x14ac:dyDescent="0.3">
      <c r="A81" s="324"/>
      <c r="B81" s="324"/>
      <c r="C81" s="324"/>
      <c r="D81" s="324"/>
      <c r="E81" s="324"/>
      <c r="F81" s="324"/>
      <c r="G81" s="324"/>
      <c r="H81" s="324"/>
      <c r="I81" s="324"/>
      <c r="J81" s="324"/>
      <c r="K81" s="324"/>
      <c r="L81" s="324"/>
      <c r="M81" s="324"/>
      <c r="N81" s="324"/>
      <c r="O81" s="324"/>
      <c r="P81" s="324"/>
      <c r="Q81" s="324"/>
      <c r="R81" s="324"/>
      <c r="S81" s="324"/>
      <c r="T81" s="324"/>
    </row>
    <row r="82" spans="1:21" x14ac:dyDescent="0.3">
      <c r="A82" s="324">
        <v>6</v>
      </c>
      <c r="B82" s="325" t="s">
        <v>412</v>
      </c>
      <c r="C82" s="324"/>
      <c r="D82" s="324"/>
      <c r="E82" s="324"/>
      <c r="F82" s="324"/>
      <c r="G82" s="324"/>
      <c r="H82" s="324"/>
      <c r="I82" s="324"/>
      <c r="J82" s="324"/>
      <c r="K82" s="324"/>
      <c r="L82" s="324"/>
      <c r="M82" s="324"/>
      <c r="N82" s="324"/>
      <c r="O82" s="324"/>
      <c r="P82" s="324"/>
      <c r="Q82" s="324"/>
      <c r="R82" s="324"/>
      <c r="S82" s="324"/>
      <c r="T82" s="324"/>
      <c r="U82" s="324"/>
    </row>
    <row r="83" spans="1:21" x14ac:dyDescent="0.3">
      <c r="A83" s="324"/>
      <c r="B83" s="326" t="s">
        <v>413</v>
      </c>
      <c r="C83" s="324"/>
      <c r="D83" s="324"/>
      <c r="E83" s="324"/>
      <c r="F83" s="324"/>
      <c r="G83" s="324"/>
      <c r="H83" s="324"/>
      <c r="I83" s="324"/>
      <c r="J83" s="324"/>
      <c r="K83" s="324"/>
      <c r="L83" s="324"/>
      <c r="M83" s="324"/>
      <c r="N83" s="324"/>
      <c r="O83" s="324"/>
      <c r="P83" s="324"/>
      <c r="Q83" s="324"/>
      <c r="R83" s="324"/>
      <c r="S83" s="324"/>
      <c r="T83" s="324"/>
      <c r="U83" s="324"/>
    </row>
    <row r="84" spans="1:21" x14ac:dyDescent="0.3">
      <c r="A84" s="324"/>
      <c r="B84" s="326" t="s">
        <v>414</v>
      </c>
      <c r="C84" s="324"/>
      <c r="D84" s="324"/>
      <c r="E84" s="324"/>
      <c r="F84" s="324"/>
      <c r="G84" s="324"/>
      <c r="H84" s="324"/>
      <c r="I84" s="324"/>
      <c r="J84" s="324"/>
      <c r="K84" s="324"/>
      <c r="L84" s="324"/>
      <c r="M84" s="324"/>
      <c r="N84" s="324"/>
      <c r="O84" s="324"/>
      <c r="P84" s="324"/>
      <c r="Q84" s="324"/>
      <c r="R84" s="324"/>
      <c r="S84" s="324"/>
      <c r="T84" s="324"/>
      <c r="U84" s="324"/>
    </row>
    <row r="85" spans="1:21" x14ac:dyDescent="0.3">
      <c r="A85" s="324"/>
      <c r="B85" s="326" t="s">
        <v>415</v>
      </c>
      <c r="C85" s="324"/>
      <c r="D85" s="324"/>
      <c r="E85" s="324"/>
      <c r="F85" s="324"/>
      <c r="G85" s="324"/>
      <c r="H85" s="324"/>
      <c r="I85" s="324"/>
      <c r="J85" s="324"/>
      <c r="K85" s="324"/>
      <c r="L85" s="324"/>
      <c r="M85" s="324"/>
      <c r="N85" s="324"/>
      <c r="O85" s="324"/>
      <c r="P85" s="324"/>
      <c r="Q85" s="324"/>
      <c r="R85" s="324"/>
      <c r="S85" s="324"/>
      <c r="T85" s="324"/>
      <c r="U85" s="324"/>
    </row>
    <row r="86" spans="1:21" x14ac:dyDescent="0.3">
      <c r="A86" s="324"/>
      <c r="B86" s="326" t="s">
        <v>416</v>
      </c>
      <c r="C86" s="324"/>
      <c r="D86" s="324"/>
      <c r="E86" s="324"/>
      <c r="F86" s="324"/>
      <c r="G86" s="324"/>
      <c r="H86" s="324"/>
      <c r="I86" s="324"/>
      <c r="J86" s="324"/>
      <c r="K86" s="324"/>
      <c r="L86" s="324"/>
      <c r="M86" s="324"/>
      <c r="N86" s="324"/>
      <c r="O86" s="324"/>
      <c r="P86" s="324"/>
      <c r="Q86" s="324"/>
      <c r="R86" s="324"/>
      <c r="S86" s="324"/>
      <c r="T86" s="324"/>
      <c r="U86" s="324"/>
    </row>
    <row r="87" spans="1:21" x14ac:dyDescent="0.3">
      <c r="A87" s="324"/>
      <c r="B87" s="326" t="s">
        <v>417</v>
      </c>
      <c r="C87" s="324"/>
      <c r="D87" s="324"/>
      <c r="E87" s="324"/>
      <c r="F87" s="324"/>
      <c r="G87" s="324"/>
      <c r="H87" s="324"/>
      <c r="I87" s="324"/>
      <c r="J87" s="324"/>
      <c r="K87" s="324"/>
      <c r="L87" s="324"/>
      <c r="M87" s="324"/>
      <c r="N87" s="324"/>
      <c r="O87" s="324"/>
      <c r="P87" s="324"/>
      <c r="Q87" s="324"/>
      <c r="R87" s="324"/>
      <c r="S87" s="324"/>
      <c r="T87" s="324"/>
      <c r="U87" s="324"/>
    </row>
    <row r="88" spans="1:21" x14ac:dyDescent="0.3">
      <c r="A88" s="324"/>
      <c r="B88" s="324"/>
      <c r="C88" s="324"/>
      <c r="D88" s="324"/>
      <c r="E88" s="324"/>
      <c r="F88" s="324"/>
      <c r="G88" s="324"/>
      <c r="H88" s="324"/>
      <c r="I88" s="324"/>
      <c r="J88" s="324"/>
      <c r="K88" s="324"/>
      <c r="L88" s="324"/>
      <c r="M88" s="324"/>
      <c r="N88" s="324"/>
      <c r="O88" s="324"/>
      <c r="P88" s="324"/>
      <c r="Q88" s="324"/>
      <c r="R88" s="324"/>
      <c r="S88" s="324"/>
      <c r="T88" s="324"/>
      <c r="U88" s="324"/>
    </row>
    <row r="89" spans="1:21" x14ac:dyDescent="0.3">
      <c r="A89" s="324"/>
      <c r="B89" s="327" t="s">
        <v>4</v>
      </c>
      <c r="C89" s="324"/>
      <c r="D89" s="324"/>
      <c r="E89" s="324"/>
      <c r="F89" s="324"/>
      <c r="G89" s="324"/>
      <c r="H89" s="324"/>
      <c r="I89" s="324"/>
      <c r="J89" s="324"/>
      <c r="K89" s="324"/>
      <c r="L89" s="324"/>
      <c r="M89" s="324"/>
      <c r="N89" s="324"/>
      <c r="O89" s="324"/>
      <c r="P89" s="324"/>
      <c r="Q89" s="324"/>
      <c r="R89" s="324"/>
      <c r="S89" s="324"/>
      <c r="T89" s="324"/>
      <c r="U89" s="324"/>
    </row>
    <row r="90" spans="1:21" x14ac:dyDescent="0.3">
      <c r="A90" s="324"/>
      <c r="B90" s="324"/>
      <c r="C90" s="324"/>
      <c r="D90" s="324"/>
      <c r="E90" s="324"/>
      <c r="F90" s="324"/>
      <c r="G90" s="324"/>
      <c r="H90" s="324"/>
      <c r="I90" s="324"/>
      <c r="J90" s="324"/>
      <c r="K90" s="324"/>
      <c r="L90" s="324"/>
      <c r="M90" s="324"/>
      <c r="N90" s="324"/>
      <c r="O90" s="324"/>
      <c r="P90" s="324"/>
      <c r="Q90" s="324"/>
      <c r="R90" s="324"/>
      <c r="S90" s="324"/>
      <c r="T90" s="324"/>
      <c r="U90" s="324"/>
    </row>
    <row r="91" spans="1:21" x14ac:dyDescent="0.3">
      <c r="A91" s="324"/>
      <c r="B91" s="324" t="s">
        <v>324</v>
      </c>
      <c r="C91" s="324">
        <v>20</v>
      </c>
      <c r="D91" s="324" t="s">
        <v>6</v>
      </c>
      <c r="E91" s="324"/>
      <c r="F91" s="324"/>
      <c r="G91" s="324"/>
      <c r="H91" s="324"/>
      <c r="I91" s="324"/>
      <c r="J91" s="324"/>
      <c r="K91" s="324"/>
      <c r="L91" s="324"/>
      <c r="M91" s="324"/>
      <c r="N91" s="324"/>
      <c r="O91" s="324"/>
      <c r="P91" s="324"/>
      <c r="Q91" s="324"/>
      <c r="R91" s="324"/>
      <c r="S91" s="324"/>
      <c r="T91" s="324"/>
      <c r="U91" s="324"/>
    </row>
    <row r="92" spans="1:21" x14ac:dyDescent="0.3">
      <c r="A92" s="324"/>
      <c r="B92" s="324" t="s">
        <v>63</v>
      </c>
      <c r="C92" s="226">
        <v>0.09</v>
      </c>
      <c r="D92" s="324"/>
      <c r="E92" s="324"/>
      <c r="F92" s="324"/>
      <c r="G92" s="324"/>
      <c r="H92" s="324"/>
      <c r="I92" s="324"/>
      <c r="J92" s="324"/>
      <c r="K92" s="324"/>
      <c r="L92" s="324"/>
      <c r="M92" s="324"/>
      <c r="N92" s="324"/>
      <c r="O92" s="324"/>
      <c r="P92" s="324"/>
      <c r="Q92" s="324"/>
      <c r="R92" s="324"/>
      <c r="S92" s="324"/>
      <c r="T92" s="324"/>
      <c r="U92" s="324"/>
    </row>
    <row r="93" spans="1:21" x14ac:dyDescent="0.3">
      <c r="A93" s="324"/>
      <c r="B93" s="324" t="s">
        <v>8</v>
      </c>
      <c r="C93" s="328">
        <v>1000</v>
      </c>
      <c r="D93" s="324"/>
      <c r="E93" s="324"/>
      <c r="F93" s="324"/>
      <c r="G93" s="324"/>
      <c r="H93" s="324"/>
      <c r="I93" s="324"/>
      <c r="J93" s="324"/>
      <c r="K93" s="324"/>
      <c r="L93" s="324"/>
      <c r="M93" s="324"/>
      <c r="N93" s="324"/>
      <c r="O93" s="324"/>
      <c r="P93" s="324"/>
      <c r="Q93" s="324"/>
      <c r="R93" s="324"/>
      <c r="S93" s="324"/>
      <c r="T93" s="324"/>
      <c r="U93" s="324"/>
    </row>
    <row r="94" spans="1:21" x14ac:dyDescent="0.3">
      <c r="A94" s="324"/>
      <c r="B94" s="324" t="s">
        <v>31</v>
      </c>
      <c r="C94" s="329">
        <v>0.1</v>
      </c>
      <c r="D94" s="324"/>
      <c r="E94" s="324"/>
      <c r="F94" s="324"/>
      <c r="G94" s="324"/>
      <c r="H94" s="324"/>
      <c r="I94" s="324"/>
      <c r="J94" s="324"/>
      <c r="K94" s="324"/>
      <c r="L94" s="324"/>
      <c r="M94" s="324"/>
      <c r="N94" s="324"/>
      <c r="O94" s="324"/>
      <c r="P94" s="324"/>
      <c r="Q94" s="324"/>
      <c r="R94" s="324"/>
      <c r="S94" s="324"/>
      <c r="T94" s="324"/>
      <c r="U94" s="324"/>
    </row>
    <row r="95" spans="1:21" x14ac:dyDescent="0.3">
      <c r="A95" s="324"/>
      <c r="B95" s="324" t="s">
        <v>34</v>
      </c>
      <c r="C95" s="330">
        <v>5.5E-2</v>
      </c>
      <c r="D95" s="324"/>
      <c r="E95" s="324"/>
      <c r="F95" s="324"/>
      <c r="G95" s="324"/>
      <c r="H95" s="324"/>
      <c r="I95" s="324"/>
      <c r="J95" s="324"/>
      <c r="K95" s="324"/>
      <c r="L95" s="324"/>
      <c r="M95" s="324"/>
      <c r="N95" s="324"/>
      <c r="O95" s="324"/>
      <c r="P95" s="324"/>
      <c r="Q95" s="324"/>
      <c r="R95" s="324"/>
      <c r="S95" s="324"/>
      <c r="T95" s="324"/>
      <c r="U95" s="324"/>
    </row>
    <row r="96" spans="1:21" x14ac:dyDescent="0.3">
      <c r="A96" s="324"/>
      <c r="B96" s="324"/>
      <c r="C96" s="324"/>
      <c r="D96" s="324"/>
      <c r="E96" s="324"/>
      <c r="F96" s="324"/>
      <c r="G96" s="324"/>
      <c r="H96" s="324"/>
      <c r="I96" s="324"/>
      <c r="J96" s="324"/>
      <c r="K96" s="324"/>
      <c r="L96" s="324"/>
      <c r="M96" s="324"/>
      <c r="N96" s="324"/>
      <c r="O96" s="324"/>
      <c r="P96" s="324"/>
      <c r="Q96" s="324"/>
      <c r="R96" s="324"/>
      <c r="S96" s="324"/>
      <c r="T96" s="324"/>
      <c r="U96" s="324"/>
    </row>
    <row r="97" spans="1:21" x14ac:dyDescent="0.3">
      <c r="A97" s="324"/>
      <c r="B97" s="324" t="s">
        <v>36</v>
      </c>
      <c r="C97" s="324"/>
      <c r="D97" s="324"/>
      <c r="E97" s="324"/>
      <c r="F97" s="324"/>
      <c r="G97" s="324"/>
      <c r="H97" s="324"/>
      <c r="I97" s="324"/>
      <c r="J97" s="324"/>
      <c r="K97" s="324"/>
      <c r="L97" s="324"/>
      <c r="M97" s="324"/>
      <c r="N97" s="324"/>
      <c r="O97" s="324"/>
      <c r="P97" s="324"/>
      <c r="Q97" s="324"/>
      <c r="R97" s="324"/>
      <c r="S97" s="324"/>
      <c r="T97" s="324"/>
      <c r="U97" s="324"/>
    </row>
    <row r="98" spans="1:21" x14ac:dyDescent="0.3">
      <c r="A98" s="324"/>
      <c r="B98" s="324"/>
      <c r="C98" s="324"/>
      <c r="D98" s="324"/>
      <c r="E98" s="324"/>
      <c r="F98" s="324"/>
      <c r="G98" s="324"/>
      <c r="H98" s="324"/>
      <c r="I98" s="324"/>
      <c r="J98" s="324"/>
      <c r="K98" s="324"/>
      <c r="L98" s="324"/>
      <c r="M98" s="324"/>
      <c r="N98" s="324"/>
      <c r="O98" s="324"/>
      <c r="P98" s="324"/>
      <c r="Q98" s="324"/>
      <c r="R98" s="324"/>
      <c r="S98" s="324"/>
      <c r="T98" s="324"/>
      <c r="U98" s="324"/>
    </row>
    <row r="99" spans="1:21" x14ac:dyDescent="0.3">
      <c r="A99" s="324"/>
      <c r="B99" s="327" t="s">
        <v>15</v>
      </c>
      <c r="C99" s="324"/>
      <c r="D99" s="324"/>
      <c r="E99" s="324"/>
      <c r="F99" s="324"/>
      <c r="G99" s="324"/>
      <c r="H99" s="324"/>
      <c r="I99" s="324"/>
      <c r="J99" s="324"/>
      <c r="K99" s="324"/>
      <c r="L99" s="324"/>
      <c r="M99" s="324"/>
      <c r="N99" s="324"/>
      <c r="O99" s="324"/>
      <c r="P99" s="324"/>
      <c r="Q99" s="324"/>
      <c r="R99" s="324"/>
      <c r="S99" s="324"/>
      <c r="T99" s="324"/>
      <c r="U99" s="324"/>
    </row>
    <row r="100" spans="1:21" x14ac:dyDescent="0.3">
      <c r="A100" s="324"/>
      <c r="B100" s="324"/>
      <c r="C100" s="324"/>
      <c r="D100" s="324"/>
      <c r="E100" s="324"/>
      <c r="F100" s="324"/>
      <c r="G100" s="324"/>
      <c r="H100" s="324"/>
      <c r="I100" s="324"/>
      <c r="J100" s="324"/>
      <c r="K100" s="324"/>
      <c r="L100" s="324"/>
      <c r="M100" s="324"/>
      <c r="N100" s="324"/>
      <c r="O100" s="324"/>
      <c r="P100" s="324"/>
      <c r="Q100" s="324"/>
      <c r="R100" s="324"/>
      <c r="S100" s="324"/>
      <c r="T100" s="324"/>
      <c r="U100" s="324"/>
    </row>
    <row r="101" spans="1:21" x14ac:dyDescent="0.3">
      <c r="A101" s="324"/>
      <c r="B101" s="324"/>
      <c r="C101" s="324"/>
      <c r="D101" s="327" t="s">
        <v>418</v>
      </c>
      <c r="E101" s="331" t="s">
        <v>314</v>
      </c>
      <c r="F101" s="332">
        <v>0</v>
      </c>
      <c r="G101" s="332">
        <v>1</v>
      </c>
      <c r="H101" s="332">
        <v>2</v>
      </c>
      <c r="I101" s="332">
        <v>3</v>
      </c>
      <c r="J101" s="332">
        <v>4</v>
      </c>
      <c r="K101" s="332">
        <v>5</v>
      </c>
      <c r="L101" s="324"/>
      <c r="M101" s="324"/>
      <c r="N101" s="324"/>
      <c r="O101" s="324"/>
      <c r="P101" s="324"/>
      <c r="Q101" s="324"/>
      <c r="R101" s="324"/>
      <c r="S101" s="324"/>
      <c r="T101" s="324"/>
      <c r="U101" s="324"/>
    </row>
    <row r="102" spans="1:21" x14ac:dyDescent="0.3">
      <c r="A102" s="324"/>
      <c r="B102" s="324"/>
      <c r="C102" s="324"/>
      <c r="D102" s="324"/>
      <c r="E102" s="333" t="s">
        <v>17</v>
      </c>
      <c r="F102" s="334"/>
      <c r="G102" s="334">
        <v>90</v>
      </c>
      <c r="H102" s="334">
        <v>90</v>
      </c>
      <c r="I102" s="334">
        <v>90</v>
      </c>
      <c r="J102" s="334">
        <v>90</v>
      </c>
      <c r="K102" s="334">
        <v>90</v>
      </c>
      <c r="L102" s="324"/>
      <c r="M102" s="324"/>
      <c r="N102" s="324"/>
      <c r="O102" s="324"/>
      <c r="P102" s="324"/>
      <c r="Q102" s="324"/>
      <c r="R102" s="324"/>
      <c r="S102" s="324"/>
      <c r="T102" s="324"/>
      <c r="U102" s="324"/>
    </row>
    <row r="103" spans="1:21" x14ac:dyDescent="0.3">
      <c r="A103" s="324"/>
      <c r="B103" s="324"/>
      <c r="C103" s="324"/>
      <c r="D103" s="324"/>
      <c r="E103" s="333" t="s">
        <v>38</v>
      </c>
      <c r="F103" s="335"/>
      <c r="G103" s="335">
        <f>1/(1+$C$94)^G101</f>
        <v>0.90909090909090906</v>
      </c>
      <c r="H103" s="335">
        <f>1/(1+$C$94)^H101</f>
        <v>0.82644628099173545</v>
      </c>
      <c r="I103" s="335">
        <f t="shared" ref="I103:K103" si="4">1/(1+$C$94)^I101</f>
        <v>0.75131480090157754</v>
      </c>
      <c r="J103" s="335">
        <f t="shared" si="4"/>
        <v>0.68301345536507052</v>
      </c>
      <c r="K103" s="335">
        <f t="shared" si="4"/>
        <v>0.62092132305915493</v>
      </c>
      <c r="L103" s="324"/>
      <c r="M103" s="324"/>
      <c r="N103" s="324"/>
      <c r="O103" s="324"/>
      <c r="P103" s="324"/>
      <c r="Q103" s="324"/>
      <c r="R103" s="324"/>
      <c r="S103" s="324"/>
      <c r="T103" s="324"/>
      <c r="U103" s="324"/>
    </row>
    <row r="104" spans="1:21" x14ac:dyDescent="0.3">
      <c r="A104" s="324"/>
      <c r="B104" s="324"/>
      <c r="C104" s="324"/>
      <c r="D104" s="324"/>
      <c r="E104" s="333" t="s">
        <v>39</v>
      </c>
      <c r="F104" s="336"/>
      <c r="G104" s="334">
        <f>G102*G103</f>
        <v>81.818181818181813</v>
      </c>
      <c r="H104" s="334">
        <f t="shared" ref="H104:K104" si="5">H102*H103</f>
        <v>74.380165289256183</v>
      </c>
      <c r="I104" s="334">
        <f t="shared" si="5"/>
        <v>67.618332081141972</v>
      </c>
      <c r="J104" s="334">
        <f t="shared" si="5"/>
        <v>61.471210982856348</v>
      </c>
      <c r="K104" s="334">
        <f t="shared" si="5"/>
        <v>55.88291907532394</v>
      </c>
      <c r="L104" s="324"/>
      <c r="M104" s="324"/>
      <c r="N104" s="324"/>
      <c r="O104" s="324"/>
      <c r="P104" s="324"/>
      <c r="Q104" s="324"/>
      <c r="R104" s="324"/>
      <c r="S104" s="324"/>
      <c r="T104" s="324"/>
      <c r="U104" s="324"/>
    </row>
    <row r="105" spans="1:21" x14ac:dyDescent="0.3">
      <c r="A105" s="324"/>
      <c r="B105" s="324"/>
      <c r="C105" s="324"/>
      <c r="D105" s="324"/>
      <c r="E105" s="324"/>
      <c r="F105" s="324"/>
      <c r="G105" s="324"/>
      <c r="H105" s="324"/>
      <c r="I105" s="324"/>
      <c r="J105" s="324"/>
      <c r="K105" s="324"/>
      <c r="L105" s="324"/>
      <c r="M105" s="324"/>
      <c r="N105" s="324"/>
      <c r="O105" s="324"/>
      <c r="P105" s="324"/>
      <c r="Q105" s="324"/>
      <c r="R105" s="324"/>
      <c r="S105" s="324"/>
      <c r="T105" s="324"/>
      <c r="U105" s="324"/>
    </row>
    <row r="106" spans="1:21" x14ac:dyDescent="0.3">
      <c r="A106" s="324"/>
      <c r="B106" s="324"/>
      <c r="C106" s="324"/>
      <c r="D106" s="324" t="s">
        <v>419</v>
      </c>
      <c r="E106" s="328">
        <f>SUM(G104:K104)</f>
        <v>341.1708092467602</v>
      </c>
      <c r="F106" s="324"/>
      <c r="G106" s="324"/>
      <c r="H106" s="324"/>
      <c r="I106" s="324"/>
      <c r="J106" s="324"/>
      <c r="K106" s="324"/>
      <c r="L106" s="324"/>
      <c r="M106" s="324"/>
      <c r="N106" s="324"/>
      <c r="O106" s="324"/>
      <c r="P106" s="324"/>
      <c r="Q106" s="324"/>
      <c r="R106" s="324"/>
      <c r="S106" s="324"/>
      <c r="T106" s="324"/>
      <c r="U106" s="324"/>
    </row>
    <row r="107" spans="1:21" x14ac:dyDescent="0.3">
      <c r="A107" s="324"/>
      <c r="B107" s="324"/>
      <c r="C107" s="324"/>
      <c r="D107" s="324"/>
      <c r="E107" s="324"/>
      <c r="F107" s="324"/>
      <c r="G107" s="324"/>
      <c r="H107" s="324"/>
      <c r="I107" s="324"/>
      <c r="J107" s="324"/>
      <c r="K107" s="324"/>
      <c r="L107" s="324"/>
      <c r="M107" s="324"/>
      <c r="N107" s="324"/>
      <c r="O107" s="324"/>
      <c r="P107" s="324"/>
      <c r="Q107" s="324"/>
      <c r="R107" s="324"/>
      <c r="S107" s="324"/>
      <c r="T107" s="324"/>
      <c r="U107" s="324"/>
    </row>
    <row r="108" spans="1:21" x14ac:dyDescent="0.3">
      <c r="A108" s="324"/>
      <c r="B108" s="324"/>
      <c r="C108" s="324"/>
      <c r="D108" s="324"/>
      <c r="E108" s="324"/>
      <c r="F108" s="324"/>
      <c r="G108" s="337"/>
      <c r="H108" s="337"/>
      <c r="I108" s="337"/>
      <c r="J108" s="337"/>
      <c r="K108" s="337"/>
      <c r="L108" s="337"/>
      <c r="M108" s="337"/>
      <c r="N108" s="337"/>
      <c r="O108" s="337"/>
      <c r="P108" s="337"/>
      <c r="Q108" s="337"/>
      <c r="R108" s="337"/>
      <c r="S108" s="337"/>
      <c r="T108" s="337"/>
      <c r="U108" s="337"/>
    </row>
    <row r="109" spans="1:21" x14ac:dyDescent="0.3">
      <c r="A109" s="324"/>
      <c r="B109" s="324"/>
      <c r="C109" s="324"/>
      <c r="D109" s="327" t="s">
        <v>420</v>
      </c>
      <c r="E109" s="331" t="s">
        <v>314</v>
      </c>
      <c r="F109" s="332" t="s">
        <v>94</v>
      </c>
      <c r="G109" s="332">
        <v>6</v>
      </c>
      <c r="H109" s="332">
        <v>7</v>
      </c>
      <c r="I109" s="332">
        <v>8</v>
      </c>
      <c r="J109" s="332">
        <v>9</v>
      </c>
      <c r="K109" s="332">
        <v>10</v>
      </c>
      <c r="L109" s="332">
        <v>11</v>
      </c>
      <c r="M109" s="332">
        <v>12</v>
      </c>
      <c r="N109" s="332">
        <v>13</v>
      </c>
      <c r="O109" s="332">
        <v>14</v>
      </c>
      <c r="P109" s="332">
        <v>15</v>
      </c>
      <c r="Q109" s="332">
        <v>16</v>
      </c>
      <c r="R109" s="332">
        <v>17</v>
      </c>
      <c r="S109" s="332">
        <v>18</v>
      </c>
      <c r="T109" s="332">
        <v>19</v>
      </c>
      <c r="U109" s="332">
        <v>20</v>
      </c>
    </row>
    <row r="110" spans="1:21" x14ac:dyDescent="0.3">
      <c r="A110" s="324"/>
      <c r="B110" s="324"/>
      <c r="C110" s="324"/>
      <c r="D110" s="324"/>
      <c r="E110" s="333" t="s">
        <v>17</v>
      </c>
      <c r="F110" s="334"/>
      <c r="G110" s="334">
        <v>90</v>
      </c>
      <c r="H110" s="334">
        <v>90</v>
      </c>
      <c r="I110" s="334">
        <v>90</v>
      </c>
      <c r="J110" s="334">
        <v>90</v>
      </c>
      <c r="K110" s="334">
        <v>90</v>
      </c>
      <c r="L110" s="334">
        <v>90</v>
      </c>
      <c r="M110" s="334">
        <v>90</v>
      </c>
      <c r="N110" s="334">
        <v>90</v>
      </c>
      <c r="O110" s="334">
        <v>90</v>
      </c>
      <c r="P110" s="334">
        <v>90</v>
      </c>
      <c r="Q110" s="334">
        <v>90</v>
      </c>
      <c r="R110" s="334">
        <v>90</v>
      </c>
      <c r="S110" s="334">
        <v>90</v>
      </c>
      <c r="T110" s="334">
        <v>90</v>
      </c>
      <c r="U110" s="334">
        <v>1090</v>
      </c>
    </row>
    <row r="111" spans="1:21" x14ac:dyDescent="0.3">
      <c r="A111" s="324"/>
      <c r="B111" s="324"/>
      <c r="C111" s="324"/>
      <c r="D111" s="324"/>
      <c r="E111" s="333" t="s">
        <v>38</v>
      </c>
      <c r="F111" s="335"/>
      <c r="G111" s="335">
        <f>1/(1+$C$95)^G109</f>
        <v>0.72524583302459655</v>
      </c>
      <c r="H111" s="335">
        <f t="shared" ref="H111:U111" si="6">1/(1+$C$95)^H109</f>
        <v>0.68743680855412004</v>
      </c>
      <c r="I111" s="335">
        <f t="shared" si="6"/>
        <v>0.6515988706674124</v>
      </c>
      <c r="J111" s="335">
        <f t="shared" si="6"/>
        <v>0.6176292612961255</v>
      </c>
      <c r="K111" s="335">
        <f t="shared" si="6"/>
        <v>0.58543057942760712</v>
      </c>
      <c r="L111" s="335">
        <f t="shared" si="6"/>
        <v>0.55491050182711577</v>
      </c>
      <c r="M111" s="335">
        <f t="shared" si="6"/>
        <v>0.5259815183195411</v>
      </c>
      <c r="N111" s="335">
        <f t="shared" si="6"/>
        <v>0.49856068087160293</v>
      </c>
      <c r="O111" s="335">
        <f t="shared" si="6"/>
        <v>0.47256936575507386</v>
      </c>
      <c r="P111" s="335">
        <f t="shared" si="6"/>
        <v>0.44793304810907481</v>
      </c>
      <c r="Q111" s="335">
        <f t="shared" si="6"/>
        <v>0.4245810882550472</v>
      </c>
      <c r="R111" s="335">
        <f t="shared" si="6"/>
        <v>0.40244652915170354</v>
      </c>
      <c r="S111" s="335">
        <f t="shared" si="6"/>
        <v>0.38146590440919764</v>
      </c>
      <c r="T111" s="335">
        <f t="shared" si="6"/>
        <v>0.36157905631203574</v>
      </c>
      <c r="U111" s="335">
        <f t="shared" si="6"/>
        <v>0.34272896332894381</v>
      </c>
    </row>
    <row r="112" spans="1:21" x14ac:dyDescent="0.3">
      <c r="A112" s="324"/>
      <c r="B112" s="324"/>
      <c r="C112" s="324"/>
      <c r="D112" s="324"/>
      <c r="E112" s="333" t="s">
        <v>39</v>
      </c>
      <c r="F112" s="336"/>
      <c r="G112" s="334">
        <f>G110*G111</f>
        <v>65.272124972213689</v>
      </c>
      <c r="H112" s="334">
        <f t="shared" ref="H112:U112" si="7">H110*H111</f>
        <v>61.869312769870803</v>
      </c>
      <c r="I112" s="334">
        <f t="shared" si="7"/>
        <v>58.643898360067119</v>
      </c>
      <c r="J112" s="334">
        <f t="shared" si="7"/>
        <v>55.586633516651297</v>
      </c>
      <c r="K112" s="334">
        <f t="shared" si="7"/>
        <v>52.688752148484639</v>
      </c>
      <c r="L112" s="334">
        <f t="shared" si="7"/>
        <v>49.941945164440419</v>
      </c>
      <c r="M112" s="334">
        <f t="shared" si="7"/>
        <v>47.338336648758698</v>
      </c>
      <c r="N112" s="334">
        <f t="shared" si="7"/>
        <v>44.870461278444267</v>
      </c>
      <c r="O112" s="334">
        <f t="shared" si="7"/>
        <v>42.531242917956646</v>
      </c>
      <c r="P112" s="334">
        <f t="shared" si="7"/>
        <v>40.31397432981673</v>
      </c>
      <c r="Q112" s="334">
        <f t="shared" si="7"/>
        <v>38.212297942954251</v>
      </c>
      <c r="R112" s="334">
        <f t="shared" si="7"/>
        <v>36.220187623653317</v>
      </c>
      <c r="S112" s="334">
        <f t="shared" si="7"/>
        <v>34.331931396827791</v>
      </c>
      <c r="T112" s="334">
        <f t="shared" si="7"/>
        <v>32.54211506808322</v>
      </c>
      <c r="U112" s="334">
        <f t="shared" si="7"/>
        <v>373.57457002854875</v>
      </c>
    </row>
    <row r="113" spans="1:21" x14ac:dyDescent="0.3">
      <c r="A113" s="324"/>
      <c r="B113" s="324"/>
      <c r="C113" s="324"/>
      <c r="D113" s="324"/>
      <c r="E113" s="324"/>
      <c r="F113" s="324"/>
      <c r="G113" s="324"/>
      <c r="H113" s="324"/>
      <c r="I113" s="324"/>
      <c r="J113" s="324"/>
      <c r="K113" s="324"/>
      <c r="L113" s="324"/>
      <c r="M113" s="324"/>
      <c r="N113" s="324"/>
      <c r="O113" s="324"/>
      <c r="P113" s="324"/>
      <c r="Q113" s="324"/>
      <c r="R113" s="324"/>
      <c r="S113" s="324"/>
      <c r="T113" s="324"/>
      <c r="U113" s="324"/>
    </row>
    <row r="114" spans="1:21" x14ac:dyDescent="0.3">
      <c r="A114" s="324"/>
      <c r="B114" s="324"/>
      <c r="C114" s="324"/>
      <c r="D114" s="324" t="s">
        <v>419</v>
      </c>
      <c r="E114" s="328">
        <f>SUM(G112:U112)</f>
        <v>1033.9377841667717</v>
      </c>
      <c r="F114" s="324"/>
      <c r="G114" s="324"/>
      <c r="H114" s="324"/>
      <c r="I114" s="324"/>
      <c r="J114" s="324"/>
      <c r="K114" s="324"/>
      <c r="L114" s="324"/>
      <c r="M114" s="324"/>
      <c r="N114" s="324"/>
      <c r="O114" s="324"/>
      <c r="P114" s="324"/>
      <c r="Q114" s="324"/>
      <c r="R114" s="324"/>
      <c r="S114" s="324"/>
      <c r="T114" s="324"/>
      <c r="U114" s="324"/>
    </row>
    <row r="115" spans="1:21" x14ac:dyDescent="0.3">
      <c r="A115" s="324"/>
      <c r="B115" s="324"/>
      <c r="C115" s="324"/>
      <c r="D115" s="324"/>
      <c r="E115" s="324"/>
      <c r="F115" s="324"/>
      <c r="G115" s="324"/>
      <c r="H115" s="324"/>
      <c r="I115" s="324"/>
      <c r="J115" s="324"/>
      <c r="K115" s="324"/>
      <c r="L115" s="324"/>
      <c r="M115" s="324"/>
      <c r="N115" s="324"/>
      <c r="O115" s="324"/>
      <c r="P115" s="324"/>
      <c r="Q115" s="324"/>
      <c r="R115" s="324"/>
      <c r="S115" s="324"/>
      <c r="T115" s="324"/>
      <c r="U115" s="324"/>
    </row>
    <row r="116" spans="1:21" x14ac:dyDescent="0.3">
      <c r="A116" s="324"/>
      <c r="B116" s="324" t="s">
        <v>419</v>
      </c>
      <c r="C116" s="328">
        <f>E106+E114</f>
        <v>1375.1085934135319</v>
      </c>
      <c r="D116" s="324"/>
      <c r="E116" s="324"/>
      <c r="F116" s="324"/>
      <c r="G116" s="324"/>
      <c r="H116" s="324"/>
      <c r="I116" s="324"/>
      <c r="J116" s="324"/>
      <c r="K116" s="324"/>
      <c r="L116" s="324"/>
      <c r="M116" s="324"/>
      <c r="N116" s="324"/>
      <c r="O116" s="324"/>
      <c r="P116" s="324"/>
      <c r="Q116" s="324"/>
      <c r="R116" s="324"/>
      <c r="S116" s="324"/>
      <c r="T116" s="324"/>
      <c r="U116" s="324"/>
    </row>
    <row r="117" spans="1:21" x14ac:dyDescent="0.3">
      <c r="A117" s="324"/>
      <c r="B117" s="324"/>
      <c r="C117" s="324"/>
      <c r="D117" s="324"/>
      <c r="E117" s="324"/>
      <c r="F117" s="324"/>
      <c r="G117" s="324"/>
      <c r="H117" s="324"/>
      <c r="I117" s="324"/>
      <c r="J117" s="324"/>
      <c r="K117" s="324"/>
      <c r="L117" s="324"/>
      <c r="M117" s="324"/>
      <c r="N117" s="324"/>
      <c r="O117" s="324"/>
      <c r="P117" s="324"/>
      <c r="Q117" s="324"/>
      <c r="R117" s="324"/>
      <c r="S117" s="324"/>
      <c r="T117" s="324"/>
      <c r="U117" s="324"/>
    </row>
    <row r="118" spans="1:21" x14ac:dyDescent="0.3">
      <c r="A118" s="324"/>
      <c r="B118" s="324" t="s">
        <v>23</v>
      </c>
      <c r="C118" s="338">
        <f>C116</f>
        <v>1375.1085934135319</v>
      </c>
      <c r="D118" s="324"/>
      <c r="E118" s="324"/>
      <c r="F118" s="324"/>
      <c r="G118" s="324"/>
      <c r="H118" s="324"/>
      <c r="I118" s="324"/>
      <c r="J118" s="324"/>
      <c r="K118" s="324"/>
      <c r="L118" s="324"/>
      <c r="M118" s="324"/>
      <c r="N118" s="324"/>
      <c r="O118" s="324"/>
      <c r="P118" s="324"/>
      <c r="Q118" s="324"/>
      <c r="R118" s="324"/>
      <c r="S118" s="324"/>
      <c r="T118" s="324"/>
      <c r="U118" s="324"/>
    </row>
    <row r="123" spans="1:21" x14ac:dyDescent="0.3">
      <c r="A123" s="324"/>
      <c r="B123" s="324"/>
      <c r="C123" s="324"/>
      <c r="D123" s="324"/>
      <c r="E123" s="324"/>
      <c r="F123" s="324"/>
      <c r="G123" s="324"/>
      <c r="H123" s="324"/>
      <c r="I123" s="324"/>
      <c r="J123" s="324"/>
      <c r="K123" s="324"/>
      <c r="L123" s="324"/>
      <c r="M123" s="324"/>
      <c r="N123" s="324"/>
      <c r="O123" s="324"/>
      <c r="P123" s="324"/>
      <c r="Q123" s="324"/>
    </row>
    <row r="124" spans="1:21" x14ac:dyDescent="0.3">
      <c r="A124" s="324"/>
      <c r="B124" s="325" t="s">
        <v>518</v>
      </c>
      <c r="C124" s="324"/>
      <c r="D124" s="324"/>
      <c r="E124" s="324"/>
      <c r="F124" s="324"/>
      <c r="G124" s="324"/>
      <c r="H124" s="324"/>
      <c r="I124" s="324"/>
      <c r="J124" s="324"/>
      <c r="K124" s="324"/>
      <c r="L124" s="324"/>
      <c r="M124" s="324"/>
      <c r="N124" s="324"/>
      <c r="O124" s="324"/>
      <c r="P124" s="324"/>
      <c r="Q124" s="324"/>
    </row>
    <row r="125" spans="1:21" x14ac:dyDescent="0.3">
      <c r="A125" s="324"/>
      <c r="B125" s="324" t="s">
        <v>517</v>
      </c>
      <c r="C125" s="324"/>
      <c r="D125" s="324"/>
      <c r="E125" s="324"/>
      <c r="F125" s="324"/>
      <c r="G125" s="324"/>
      <c r="H125" s="324"/>
      <c r="I125" s="324"/>
      <c r="J125" s="324"/>
      <c r="K125" s="324"/>
      <c r="L125" s="324"/>
      <c r="M125" s="324"/>
      <c r="N125" s="324"/>
      <c r="O125" s="324"/>
      <c r="P125" s="324"/>
      <c r="Q125" s="324"/>
    </row>
    <row r="126" spans="1:21" x14ac:dyDescent="0.3">
      <c r="A126" s="324"/>
      <c r="B126" s="324" t="s">
        <v>516</v>
      </c>
      <c r="C126" s="324"/>
      <c r="D126" s="324"/>
      <c r="E126" s="324"/>
      <c r="F126" s="324"/>
      <c r="G126" s="324"/>
      <c r="H126" s="324"/>
      <c r="I126" s="324"/>
      <c r="J126" s="324"/>
      <c r="K126" s="324"/>
      <c r="L126" s="324"/>
      <c r="M126" s="324"/>
      <c r="N126" s="324"/>
      <c r="O126" s="324"/>
      <c r="P126" s="324"/>
      <c r="Q126" s="324"/>
    </row>
    <row r="127" spans="1:21" x14ac:dyDescent="0.3">
      <c r="A127" s="324"/>
      <c r="B127" s="324" t="s">
        <v>515</v>
      </c>
      <c r="C127" s="324"/>
      <c r="D127" s="324"/>
      <c r="E127" s="324"/>
      <c r="F127" s="324"/>
      <c r="G127" s="324"/>
      <c r="H127" s="324"/>
      <c r="I127" s="324"/>
      <c r="J127" s="324"/>
      <c r="K127" s="324"/>
      <c r="L127" s="324"/>
      <c r="M127" s="324"/>
      <c r="N127" s="324"/>
      <c r="O127" s="324"/>
      <c r="P127" s="324"/>
      <c r="Q127" s="324"/>
    </row>
    <row r="128" spans="1:21" x14ac:dyDescent="0.3">
      <c r="A128" s="324"/>
      <c r="B128" s="325" t="s">
        <v>514</v>
      </c>
      <c r="C128" s="324"/>
      <c r="D128" s="324"/>
      <c r="E128" s="324"/>
      <c r="F128" s="324"/>
      <c r="G128" s="324"/>
      <c r="H128" s="324"/>
      <c r="I128" s="324"/>
      <c r="J128" s="324"/>
      <c r="K128" s="324"/>
      <c r="L128" s="324"/>
      <c r="M128" s="324"/>
      <c r="N128" s="324"/>
      <c r="O128" s="324"/>
      <c r="P128" s="324"/>
      <c r="Q128" s="324"/>
    </row>
    <row r="129" spans="1:17" x14ac:dyDescent="0.3">
      <c r="A129" s="324"/>
      <c r="B129" s="325" t="s">
        <v>513</v>
      </c>
      <c r="C129" s="324"/>
      <c r="D129" s="324"/>
      <c r="E129" s="324"/>
      <c r="F129" s="324"/>
      <c r="G129" s="324"/>
      <c r="H129" s="324"/>
      <c r="I129" s="324"/>
      <c r="J129" s="324"/>
      <c r="K129" s="324"/>
      <c r="L129" s="324"/>
      <c r="M129" s="324"/>
      <c r="N129" s="324"/>
      <c r="O129" s="324"/>
      <c r="P129" s="324"/>
      <c r="Q129" s="324"/>
    </row>
    <row r="130" spans="1:17" x14ac:dyDescent="0.3">
      <c r="A130" s="324"/>
      <c r="B130" s="325" t="s">
        <v>512</v>
      </c>
      <c r="C130" s="324"/>
      <c r="D130" s="324"/>
      <c r="E130" s="324"/>
      <c r="F130" s="324"/>
      <c r="G130" s="324"/>
      <c r="H130" s="324"/>
      <c r="I130" s="324"/>
      <c r="J130" s="324"/>
      <c r="K130" s="324"/>
      <c r="L130" s="324"/>
      <c r="M130" s="324"/>
      <c r="N130" s="324"/>
      <c r="O130" s="324"/>
      <c r="P130" s="324"/>
      <c r="Q130" s="324"/>
    </row>
    <row r="131" spans="1:17" x14ac:dyDescent="0.3">
      <c r="A131" s="324"/>
      <c r="B131" s="325" t="s">
        <v>511</v>
      </c>
      <c r="C131" s="324"/>
      <c r="D131" s="324"/>
      <c r="E131" s="324"/>
      <c r="F131" s="324"/>
      <c r="G131" s="324"/>
      <c r="H131" s="324"/>
      <c r="I131" s="324"/>
      <c r="J131" s="324"/>
      <c r="K131" s="324"/>
      <c r="L131" s="324"/>
      <c r="M131" s="324"/>
      <c r="N131" s="324"/>
      <c r="O131" s="324"/>
      <c r="P131" s="324"/>
      <c r="Q131" s="324"/>
    </row>
    <row r="132" spans="1:17" x14ac:dyDescent="0.3">
      <c r="A132" s="324"/>
      <c r="B132" s="324" t="s">
        <v>510</v>
      </c>
      <c r="C132" s="324"/>
      <c r="D132" s="324"/>
      <c r="E132" s="324"/>
      <c r="F132" s="324"/>
      <c r="G132" s="324"/>
      <c r="H132" s="324"/>
      <c r="I132" s="324"/>
      <c r="J132" s="324"/>
      <c r="K132" s="324"/>
      <c r="L132" s="324"/>
      <c r="M132" s="324"/>
      <c r="N132" s="324"/>
      <c r="O132" s="324"/>
      <c r="P132" s="324"/>
      <c r="Q132" s="324"/>
    </row>
    <row r="133" spans="1:17" x14ac:dyDescent="0.3">
      <c r="A133" s="324"/>
      <c r="B133" s="324" t="s">
        <v>509</v>
      </c>
      <c r="C133" s="324"/>
      <c r="D133" s="324"/>
      <c r="E133" s="324"/>
      <c r="F133" s="324"/>
      <c r="G133" s="324"/>
      <c r="H133" s="324"/>
      <c r="I133" s="324"/>
      <c r="J133" s="324"/>
      <c r="K133" s="324"/>
      <c r="L133" s="324"/>
      <c r="M133" s="324"/>
      <c r="N133" s="324"/>
      <c r="O133" s="324"/>
      <c r="P133" s="324"/>
      <c r="Q133" s="324"/>
    </row>
    <row r="134" spans="1:17" x14ac:dyDescent="0.3">
      <c r="A134" s="324"/>
      <c r="B134" s="324" t="s">
        <v>508</v>
      </c>
      <c r="C134" s="324"/>
      <c r="D134" s="324"/>
      <c r="E134" s="324"/>
      <c r="F134" s="324"/>
      <c r="G134" s="324"/>
      <c r="H134" s="324"/>
      <c r="I134" s="324"/>
      <c r="J134" s="324"/>
      <c r="K134" s="324"/>
      <c r="L134" s="324"/>
      <c r="M134" s="324"/>
      <c r="N134" s="324"/>
      <c r="O134" s="324"/>
      <c r="P134" s="324"/>
      <c r="Q134" s="324"/>
    </row>
    <row r="135" spans="1:17" x14ac:dyDescent="0.3">
      <c r="A135" s="324"/>
      <c r="B135" s="324" t="s">
        <v>507</v>
      </c>
      <c r="C135" s="324"/>
      <c r="D135" s="324"/>
      <c r="E135" s="324"/>
      <c r="F135" s="324"/>
      <c r="G135" s="324"/>
      <c r="H135" s="324"/>
      <c r="I135" s="324"/>
      <c r="J135" s="324"/>
      <c r="K135" s="324"/>
      <c r="L135" s="324"/>
      <c r="M135" s="324"/>
      <c r="N135" s="324"/>
      <c r="O135" s="324"/>
      <c r="P135" s="324"/>
      <c r="Q135" s="324"/>
    </row>
    <row r="136" spans="1:17" x14ac:dyDescent="0.3">
      <c r="A136" s="324"/>
      <c r="B136" s="324" t="s">
        <v>506</v>
      </c>
      <c r="C136" s="324"/>
      <c r="D136" s="324"/>
      <c r="E136" s="324"/>
      <c r="F136" s="324"/>
      <c r="G136" s="324"/>
      <c r="H136" s="324"/>
      <c r="I136" s="324"/>
      <c r="J136" s="324"/>
      <c r="K136" s="324"/>
      <c r="L136" s="324"/>
      <c r="M136" s="324"/>
      <c r="N136" s="324"/>
      <c r="O136" s="324"/>
      <c r="P136" s="324"/>
      <c r="Q136" s="324"/>
    </row>
    <row r="137" spans="1:17" x14ac:dyDescent="0.3">
      <c r="A137" s="324"/>
      <c r="B137" s="324" t="s">
        <v>505</v>
      </c>
      <c r="C137" s="324"/>
      <c r="D137" s="324"/>
      <c r="E137" s="324"/>
      <c r="F137" s="324"/>
      <c r="G137" s="324"/>
      <c r="H137" s="324"/>
      <c r="I137" s="324"/>
      <c r="J137" s="324"/>
      <c r="K137" s="324"/>
      <c r="L137" s="324"/>
      <c r="M137" s="324"/>
      <c r="N137" s="324"/>
      <c r="O137" s="324"/>
      <c r="P137" s="324"/>
      <c r="Q137" s="324"/>
    </row>
    <row r="138" spans="1:17" x14ac:dyDescent="0.3">
      <c r="A138" s="324"/>
      <c r="B138" s="324"/>
      <c r="C138" s="324"/>
      <c r="D138" s="324"/>
      <c r="E138" s="324"/>
      <c r="F138" s="324"/>
      <c r="G138" s="324"/>
      <c r="H138" s="324"/>
      <c r="I138" s="324"/>
      <c r="J138" s="324"/>
      <c r="K138" s="324"/>
      <c r="L138" s="324"/>
      <c r="M138" s="324"/>
      <c r="N138" s="324"/>
      <c r="O138" s="324"/>
      <c r="P138" s="324"/>
      <c r="Q138" s="324"/>
    </row>
    <row r="139" spans="1:17" x14ac:dyDescent="0.3">
      <c r="A139" s="324"/>
      <c r="B139" s="327" t="s">
        <v>4</v>
      </c>
      <c r="C139" s="324"/>
      <c r="D139" s="324"/>
      <c r="E139" s="324"/>
      <c r="F139" s="324"/>
      <c r="G139" s="324"/>
      <c r="H139" s="324"/>
      <c r="I139" s="324"/>
      <c r="J139" s="324"/>
      <c r="K139" s="324"/>
      <c r="L139" s="324"/>
      <c r="M139" s="324"/>
      <c r="N139" s="324"/>
      <c r="O139" s="324"/>
      <c r="P139" s="324"/>
      <c r="Q139" s="324"/>
    </row>
    <row r="140" spans="1:17" x14ac:dyDescent="0.3">
      <c r="A140" s="324"/>
      <c r="B140" s="324"/>
      <c r="C140" s="324"/>
      <c r="D140" s="324"/>
      <c r="E140" s="324"/>
      <c r="F140" s="324"/>
      <c r="G140" s="324"/>
      <c r="H140" s="324"/>
      <c r="I140" s="324"/>
      <c r="J140" s="324"/>
      <c r="K140" s="324"/>
      <c r="L140" s="324"/>
      <c r="M140" s="324"/>
      <c r="N140" s="324"/>
      <c r="O140" s="324"/>
      <c r="P140" s="324"/>
      <c r="Q140" s="324"/>
    </row>
    <row r="141" spans="1:17" x14ac:dyDescent="0.3">
      <c r="A141" s="324"/>
      <c r="B141" s="324" t="s">
        <v>324</v>
      </c>
      <c r="C141" s="324">
        <v>10</v>
      </c>
      <c r="D141" s="324" t="s">
        <v>6</v>
      </c>
      <c r="E141" s="324"/>
      <c r="F141" s="324"/>
      <c r="G141" s="324"/>
      <c r="H141" s="324"/>
      <c r="I141" s="324"/>
      <c r="J141" s="324"/>
      <c r="K141" s="324"/>
      <c r="L141" s="324"/>
      <c r="M141" s="324"/>
      <c r="N141" s="324"/>
      <c r="O141" s="324"/>
      <c r="P141" s="324"/>
      <c r="Q141" s="324"/>
    </row>
    <row r="142" spans="1:17" x14ac:dyDescent="0.3">
      <c r="A142" s="324"/>
      <c r="B142" s="324" t="s">
        <v>63</v>
      </c>
      <c r="C142" s="226">
        <v>0.11</v>
      </c>
      <c r="D142" s="324"/>
      <c r="E142" s="324"/>
      <c r="F142" s="324"/>
      <c r="G142" s="324"/>
      <c r="H142" s="324"/>
      <c r="I142" s="324"/>
      <c r="J142" s="324"/>
      <c r="K142" s="324"/>
      <c r="L142" s="324"/>
      <c r="M142" s="324"/>
      <c r="N142" s="324"/>
      <c r="O142" s="324"/>
      <c r="P142" s="324"/>
      <c r="Q142" s="324"/>
    </row>
    <row r="143" spans="1:17" x14ac:dyDescent="0.3">
      <c r="A143" s="324"/>
      <c r="B143" s="324" t="s">
        <v>8</v>
      </c>
      <c r="C143" s="328">
        <v>1000</v>
      </c>
      <c r="D143" s="324"/>
      <c r="E143" s="324"/>
      <c r="F143" s="324"/>
      <c r="G143" s="324"/>
      <c r="H143" s="324"/>
      <c r="I143" s="324"/>
      <c r="J143" s="324"/>
      <c r="K143" s="324"/>
      <c r="L143" s="324"/>
      <c r="M143" s="324"/>
      <c r="N143" s="324"/>
      <c r="O143" s="324"/>
      <c r="P143" s="324"/>
      <c r="Q143" s="324"/>
    </row>
    <row r="144" spans="1:17" x14ac:dyDescent="0.3">
      <c r="A144" s="324"/>
      <c r="B144" s="324" t="s">
        <v>11</v>
      </c>
      <c r="C144" s="328">
        <v>1175</v>
      </c>
      <c r="D144" s="324"/>
      <c r="E144" s="324"/>
      <c r="F144" s="324"/>
      <c r="G144" s="324"/>
      <c r="H144" s="324"/>
      <c r="I144" s="324"/>
      <c r="J144" s="324"/>
      <c r="K144" s="324"/>
      <c r="L144" s="324"/>
      <c r="M144" s="324"/>
      <c r="N144" s="324"/>
      <c r="O144" s="324"/>
      <c r="P144" s="324"/>
      <c r="Q144" s="324"/>
    </row>
    <row r="145" spans="1:17" x14ac:dyDescent="0.3">
      <c r="A145" s="324"/>
      <c r="B145" s="324"/>
      <c r="C145" s="328"/>
      <c r="D145" s="324"/>
      <c r="E145" s="324"/>
      <c r="F145" s="324"/>
      <c r="G145" s="324"/>
      <c r="H145" s="324"/>
      <c r="I145" s="324"/>
      <c r="J145" s="324"/>
      <c r="K145" s="324"/>
      <c r="L145" s="324"/>
      <c r="M145" s="324"/>
      <c r="N145" s="324"/>
      <c r="O145" s="324"/>
      <c r="P145" s="324"/>
      <c r="Q145" s="324"/>
    </row>
    <row r="146" spans="1:17" x14ac:dyDescent="0.3">
      <c r="A146" s="324"/>
      <c r="B146" s="324" t="s">
        <v>501</v>
      </c>
      <c r="C146" s="329">
        <v>1.0900000000000001</v>
      </c>
      <c r="D146" s="324"/>
      <c r="E146" s="324"/>
      <c r="F146" s="324"/>
      <c r="G146" s="324"/>
      <c r="H146" s="324"/>
      <c r="I146" s="324"/>
      <c r="J146" s="324"/>
      <c r="K146" s="324"/>
      <c r="L146" s="324"/>
      <c r="M146" s="324"/>
      <c r="N146" s="324"/>
      <c r="O146" s="324"/>
      <c r="P146" s="324"/>
      <c r="Q146" s="324"/>
    </row>
    <row r="147" spans="1:17" x14ac:dyDescent="0.3">
      <c r="A147" s="324"/>
      <c r="B147" s="324" t="s">
        <v>500</v>
      </c>
      <c r="C147" s="329">
        <v>1.08</v>
      </c>
      <c r="D147" s="324"/>
      <c r="E147" s="324"/>
      <c r="F147" s="324"/>
      <c r="G147" s="324"/>
      <c r="H147" s="324"/>
      <c r="I147" s="324"/>
      <c r="J147" s="324"/>
      <c r="K147" s="324"/>
      <c r="L147" s="324"/>
      <c r="M147" s="324"/>
      <c r="N147" s="324"/>
      <c r="O147" s="324"/>
      <c r="P147" s="324"/>
      <c r="Q147" s="324"/>
    </row>
    <row r="148" spans="1:17" x14ac:dyDescent="0.3">
      <c r="A148" s="324"/>
      <c r="B148" s="324" t="s">
        <v>498</v>
      </c>
      <c r="C148" s="329">
        <v>1.07</v>
      </c>
      <c r="D148" s="324"/>
      <c r="E148" s="324"/>
      <c r="F148" s="324"/>
      <c r="G148" s="324"/>
      <c r="H148" s="324"/>
      <c r="I148" s="324"/>
      <c r="J148" s="324"/>
      <c r="K148" s="324"/>
      <c r="L148" s="324"/>
      <c r="M148" s="324"/>
      <c r="N148" s="324"/>
      <c r="O148" s="324"/>
      <c r="P148" s="324"/>
      <c r="Q148" s="324"/>
    </row>
    <row r="149" spans="1:17" x14ac:dyDescent="0.3">
      <c r="A149" s="324"/>
      <c r="B149" s="324" t="s">
        <v>497</v>
      </c>
      <c r="C149" s="329">
        <v>1.06</v>
      </c>
      <c r="D149" s="324"/>
      <c r="E149" s="324"/>
      <c r="F149" s="324"/>
      <c r="G149" s="324"/>
      <c r="H149" s="324"/>
      <c r="I149" s="324"/>
      <c r="J149" s="324"/>
      <c r="K149" s="324"/>
      <c r="L149" s="324"/>
      <c r="M149" s="324"/>
      <c r="N149" s="324"/>
      <c r="O149" s="324"/>
      <c r="P149" s="324"/>
      <c r="Q149" s="324"/>
    </row>
    <row r="150" spans="1:17" x14ac:dyDescent="0.3">
      <c r="A150" s="324"/>
      <c r="B150" s="324" t="s">
        <v>496</v>
      </c>
      <c r="C150" s="329">
        <v>1.05</v>
      </c>
      <c r="D150" s="324"/>
      <c r="E150" s="324"/>
      <c r="F150" s="324"/>
      <c r="G150" s="324"/>
      <c r="H150" s="324"/>
      <c r="I150" s="324"/>
      <c r="J150" s="324"/>
      <c r="K150" s="324"/>
      <c r="L150" s="324"/>
      <c r="M150" s="324"/>
      <c r="N150" s="324"/>
      <c r="O150" s="324"/>
      <c r="P150" s="324"/>
      <c r="Q150" s="324"/>
    </row>
    <row r="151" spans="1:17" x14ac:dyDescent="0.3">
      <c r="A151" s="324"/>
      <c r="B151" s="324"/>
      <c r="C151" s="324"/>
      <c r="D151" s="324"/>
      <c r="E151" s="324"/>
      <c r="F151" s="324"/>
      <c r="G151" s="324"/>
      <c r="H151" s="324"/>
      <c r="I151" s="324"/>
      <c r="J151" s="324"/>
      <c r="K151" s="324"/>
      <c r="L151" s="324"/>
      <c r="M151" s="324"/>
      <c r="N151" s="324"/>
      <c r="O151" s="324"/>
      <c r="P151" s="324"/>
      <c r="Q151" s="324"/>
    </row>
    <row r="152" spans="1:17" x14ac:dyDescent="0.3">
      <c r="A152" s="324"/>
      <c r="B152" s="327" t="s">
        <v>15</v>
      </c>
      <c r="C152" s="324"/>
      <c r="D152" s="324"/>
      <c r="E152" s="324"/>
      <c r="F152" s="324"/>
      <c r="G152" s="324"/>
      <c r="H152" s="324"/>
      <c r="I152" s="324"/>
      <c r="J152" s="324"/>
      <c r="K152" s="324"/>
      <c r="L152" s="324"/>
      <c r="M152" s="324"/>
      <c r="N152" s="324"/>
      <c r="O152" s="324"/>
      <c r="P152" s="324"/>
      <c r="Q152" s="324"/>
    </row>
    <row r="153" spans="1:17" x14ac:dyDescent="0.3">
      <c r="A153" s="324"/>
      <c r="B153" s="324"/>
      <c r="C153" s="324"/>
      <c r="D153" s="324"/>
      <c r="E153" s="324"/>
      <c r="F153" s="324"/>
      <c r="G153" s="324"/>
      <c r="H153" s="324"/>
      <c r="I153" s="324"/>
      <c r="J153" s="324"/>
      <c r="K153" s="324"/>
      <c r="L153" s="324"/>
      <c r="M153" s="324"/>
      <c r="N153" s="324"/>
      <c r="O153" s="324"/>
      <c r="P153" s="324"/>
      <c r="Q153" s="324"/>
    </row>
    <row r="154" spans="1:17" x14ac:dyDescent="0.3">
      <c r="A154" s="324"/>
      <c r="B154" s="324"/>
      <c r="C154" s="324"/>
      <c r="D154" s="327"/>
      <c r="E154" s="331" t="s">
        <v>314</v>
      </c>
      <c r="F154" s="332">
        <v>0</v>
      </c>
      <c r="G154" s="332">
        <v>1</v>
      </c>
      <c r="H154" s="332">
        <v>2</v>
      </c>
      <c r="I154" s="332">
        <v>3</v>
      </c>
      <c r="J154" s="332">
        <v>4</v>
      </c>
      <c r="K154" s="332">
        <v>5</v>
      </c>
      <c r="L154" s="332">
        <v>6</v>
      </c>
      <c r="M154" s="332">
        <v>7</v>
      </c>
      <c r="N154" s="332">
        <v>8</v>
      </c>
      <c r="O154" s="332">
        <v>9</v>
      </c>
      <c r="P154" s="332">
        <v>10</v>
      </c>
      <c r="Q154" s="324"/>
    </row>
    <row r="155" spans="1:17" x14ac:dyDescent="0.3">
      <c r="A155" s="324"/>
      <c r="B155" s="324"/>
      <c r="C155" s="324"/>
      <c r="D155" s="324"/>
      <c r="E155" s="333" t="s">
        <v>17</v>
      </c>
      <c r="F155" s="334">
        <v>-1175</v>
      </c>
      <c r="G155" s="334">
        <v>110</v>
      </c>
      <c r="H155" s="334">
        <v>110</v>
      </c>
      <c r="I155" s="334">
        <v>110</v>
      </c>
      <c r="J155" s="334">
        <v>110</v>
      </c>
      <c r="K155" s="334">
        <v>110</v>
      </c>
      <c r="L155" s="334">
        <v>110</v>
      </c>
      <c r="M155" s="334">
        <v>110</v>
      </c>
      <c r="N155" s="334">
        <v>110</v>
      </c>
      <c r="O155" s="334">
        <v>110</v>
      </c>
      <c r="P155" s="334">
        <v>1110</v>
      </c>
      <c r="Q155" s="324"/>
    </row>
    <row r="156" spans="1:17" x14ac:dyDescent="0.3">
      <c r="A156" s="324"/>
      <c r="B156" s="324"/>
      <c r="C156" s="324"/>
      <c r="D156" s="324"/>
      <c r="E156" s="324"/>
      <c r="F156" s="339"/>
      <c r="G156" s="339"/>
      <c r="H156" s="339"/>
      <c r="I156" s="339"/>
      <c r="J156" s="339"/>
      <c r="K156" s="339"/>
      <c r="L156" s="339"/>
      <c r="M156" s="339"/>
      <c r="N156" s="339"/>
      <c r="O156" s="339"/>
      <c r="P156" s="339"/>
      <c r="Q156" s="324"/>
    </row>
    <row r="157" spans="1:17" x14ac:dyDescent="0.3">
      <c r="A157" s="324"/>
      <c r="B157" s="324" t="s">
        <v>504</v>
      </c>
      <c r="C157" s="324"/>
      <c r="D157" s="324"/>
      <c r="E157" s="324"/>
      <c r="F157" s="328"/>
      <c r="G157" s="340"/>
      <c r="H157" s="340"/>
      <c r="I157" s="340"/>
      <c r="J157" s="340"/>
      <c r="K157" s="340"/>
      <c r="L157" s="340"/>
      <c r="M157" s="340"/>
      <c r="N157" s="340"/>
      <c r="O157" s="340"/>
      <c r="P157" s="340"/>
      <c r="Q157" s="324"/>
    </row>
    <row r="158" spans="1:17" x14ac:dyDescent="0.3">
      <c r="A158" s="324"/>
      <c r="B158" s="324"/>
      <c r="C158" s="324"/>
      <c r="D158" s="324"/>
      <c r="E158" s="324"/>
      <c r="F158" s="324"/>
      <c r="G158" s="324"/>
      <c r="H158" s="324"/>
      <c r="I158" s="324"/>
      <c r="J158" s="324"/>
      <c r="K158" s="324"/>
      <c r="L158" s="324"/>
      <c r="M158" s="324"/>
      <c r="N158" s="324"/>
      <c r="O158" s="324"/>
      <c r="P158" s="324"/>
      <c r="Q158" s="324"/>
    </row>
    <row r="159" spans="1:17" x14ac:dyDescent="0.3">
      <c r="A159" s="324"/>
      <c r="B159" s="324" t="s">
        <v>503</v>
      </c>
      <c r="C159" s="330">
        <v>8.3505936366305544E-2</v>
      </c>
      <c r="D159" s="324"/>
      <c r="E159" s="324"/>
      <c r="F159" s="324"/>
      <c r="G159" s="324"/>
      <c r="H159" s="324"/>
      <c r="I159" s="324"/>
      <c r="J159" s="324"/>
      <c r="K159" s="324"/>
      <c r="L159" s="324"/>
      <c r="M159" s="324"/>
      <c r="N159" s="324"/>
      <c r="O159" s="324"/>
      <c r="P159" s="324"/>
      <c r="Q159" s="324"/>
    </row>
    <row r="160" spans="1:17" x14ac:dyDescent="0.3">
      <c r="A160" s="324"/>
      <c r="B160" s="324"/>
      <c r="C160" s="324"/>
      <c r="D160" s="324"/>
      <c r="E160" s="324"/>
      <c r="F160" s="324"/>
      <c r="G160" s="324"/>
      <c r="H160" s="324"/>
      <c r="I160" s="324"/>
      <c r="J160" s="324"/>
      <c r="K160" s="324"/>
      <c r="L160" s="324"/>
      <c r="M160" s="324"/>
      <c r="N160" s="324"/>
      <c r="O160" s="324"/>
      <c r="P160" s="324"/>
      <c r="Q160" s="324"/>
    </row>
    <row r="161" spans="1:17" x14ac:dyDescent="0.3">
      <c r="A161" s="324"/>
      <c r="B161" s="324"/>
      <c r="C161" s="324"/>
      <c r="D161" s="324"/>
      <c r="E161" s="324"/>
      <c r="F161" s="324"/>
      <c r="G161" s="324"/>
      <c r="H161" s="324"/>
      <c r="I161" s="324"/>
      <c r="J161" s="324"/>
      <c r="K161" s="324"/>
      <c r="L161" s="324"/>
      <c r="M161" s="324"/>
      <c r="N161" s="324"/>
      <c r="O161" s="324"/>
      <c r="P161" s="324"/>
      <c r="Q161" s="324"/>
    </row>
    <row r="162" spans="1:17" x14ac:dyDescent="0.3">
      <c r="A162" s="324"/>
      <c r="B162" s="324" t="s">
        <v>502</v>
      </c>
      <c r="C162" s="324"/>
      <c r="D162" s="324"/>
      <c r="E162" s="324"/>
      <c r="F162" s="324"/>
      <c r="G162" s="324"/>
      <c r="H162" s="324"/>
      <c r="I162" s="324"/>
      <c r="J162" s="324"/>
      <c r="K162" s="324"/>
      <c r="L162" s="324"/>
      <c r="M162" s="324"/>
      <c r="N162" s="324"/>
      <c r="O162" s="324"/>
      <c r="P162" s="324"/>
      <c r="Q162" s="324"/>
    </row>
    <row r="163" spans="1:17" x14ac:dyDescent="0.3">
      <c r="A163" s="324"/>
      <c r="B163" s="324"/>
      <c r="C163" s="324"/>
      <c r="D163" s="324"/>
      <c r="E163" s="331" t="s">
        <v>314</v>
      </c>
      <c r="F163" s="332">
        <v>0</v>
      </c>
      <c r="G163" s="332">
        <v>6</v>
      </c>
      <c r="H163" s="332">
        <v>7</v>
      </c>
      <c r="I163" s="332">
        <v>8</v>
      </c>
      <c r="J163" s="332">
        <v>9</v>
      </c>
      <c r="K163" s="332">
        <v>10</v>
      </c>
      <c r="L163" s="324"/>
      <c r="M163" s="324"/>
      <c r="N163" s="324"/>
      <c r="O163" s="324"/>
      <c r="P163" s="324"/>
      <c r="Q163" s="324"/>
    </row>
    <row r="164" spans="1:17" x14ac:dyDescent="0.3">
      <c r="A164" s="324"/>
      <c r="B164" s="324"/>
      <c r="C164" s="324"/>
      <c r="D164" s="324"/>
      <c r="E164" s="333" t="s">
        <v>17</v>
      </c>
      <c r="F164" s="334"/>
      <c r="G164" s="334">
        <v>110</v>
      </c>
      <c r="H164" s="334">
        <v>110</v>
      </c>
      <c r="I164" s="334">
        <v>110</v>
      </c>
      <c r="J164" s="334">
        <v>110</v>
      </c>
      <c r="K164" s="334">
        <v>1090</v>
      </c>
      <c r="L164" s="324"/>
      <c r="M164" s="337"/>
      <c r="N164" s="337"/>
      <c r="O164" s="337"/>
      <c r="P164" s="337"/>
      <c r="Q164" s="324"/>
    </row>
    <row r="165" spans="1:17" x14ac:dyDescent="0.3">
      <c r="A165" s="324"/>
      <c r="B165" s="324" t="s">
        <v>501</v>
      </c>
      <c r="C165" s="328">
        <v>1090</v>
      </c>
      <c r="D165" s="341" t="s">
        <v>499</v>
      </c>
      <c r="E165" s="333" t="s">
        <v>38</v>
      </c>
      <c r="F165" s="332">
        <v>1</v>
      </c>
      <c r="G165" s="342">
        <v>0.61803380328099033</v>
      </c>
      <c r="H165" s="342">
        <v>0.57040186171351903</v>
      </c>
      <c r="I165" s="342">
        <v>0.52644091976684915</v>
      </c>
      <c r="J165" s="342">
        <v>0.48586805304670977</v>
      </c>
      <c r="K165" s="342">
        <v>0.44842214217684762</v>
      </c>
      <c r="L165" s="324"/>
      <c r="M165" s="340"/>
      <c r="N165" s="340"/>
      <c r="O165" s="340"/>
      <c r="P165" s="340"/>
      <c r="Q165" s="324"/>
    </row>
    <row r="166" spans="1:17" x14ac:dyDescent="0.3">
      <c r="A166" s="324"/>
      <c r="B166" s="324" t="s">
        <v>500</v>
      </c>
      <c r="C166" s="328">
        <v>1080</v>
      </c>
      <c r="D166" s="341" t="s">
        <v>499</v>
      </c>
      <c r="E166" s="333" t="s">
        <v>489</v>
      </c>
      <c r="F166" s="333"/>
      <c r="G166" s="343">
        <v>67.983718360908938</v>
      </c>
      <c r="H166" s="343">
        <v>62.744204788487096</v>
      </c>
      <c r="I166" s="343">
        <v>57.908501174353404</v>
      </c>
      <c r="J166" s="343">
        <v>53.445485835138072</v>
      </c>
      <c r="K166" s="343">
        <v>488.7801349727639</v>
      </c>
      <c r="L166" s="324"/>
      <c r="M166" s="324"/>
      <c r="N166" s="324"/>
      <c r="O166" s="324"/>
      <c r="P166" s="324"/>
      <c r="Q166" s="324"/>
    </row>
    <row r="167" spans="1:17" x14ac:dyDescent="0.3">
      <c r="A167" s="324"/>
      <c r="B167" s="324" t="s">
        <v>498</v>
      </c>
      <c r="C167" s="328">
        <v>1070</v>
      </c>
      <c r="D167" s="344" t="s">
        <v>495</v>
      </c>
      <c r="E167" s="324"/>
      <c r="F167" s="324"/>
      <c r="G167" s="324"/>
      <c r="H167" s="324"/>
      <c r="I167" s="324"/>
      <c r="J167" s="324"/>
      <c r="K167" s="324"/>
      <c r="L167" s="324"/>
      <c r="M167" s="324"/>
      <c r="N167" s="324"/>
      <c r="O167" s="324"/>
      <c r="P167" s="324"/>
      <c r="Q167" s="324"/>
    </row>
    <row r="168" spans="1:17" x14ac:dyDescent="0.3">
      <c r="A168" s="324"/>
      <c r="B168" s="324" t="s">
        <v>497</v>
      </c>
      <c r="C168" s="328">
        <v>1060</v>
      </c>
      <c r="D168" s="344" t="s">
        <v>495</v>
      </c>
      <c r="E168" s="324"/>
      <c r="F168" s="324"/>
      <c r="G168" s="324"/>
      <c r="H168" s="324"/>
      <c r="I168" s="324"/>
      <c r="J168" s="324"/>
      <c r="K168" s="324"/>
      <c r="L168" s="324"/>
      <c r="M168" s="324"/>
      <c r="N168" s="324"/>
      <c r="O168" s="324"/>
      <c r="P168" s="324"/>
      <c r="Q168" s="324"/>
    </row>
    <row r="169" spans="1:17" x14ac:dyDescent="0.3">
      <c r="A169" s="324"/>
      <c r="B169" s="324" t="s">
        <v>496</v>
      </c>
      <c r="C169" s="328">
        <v>1050</v>
      </c>
      <c r="D169" s="344" t="s">
        <v>495</v>
      </c>
      <c r="E169" s="324"/>
      <c r="F169" s="324"/>
      <c r="G169" s="324"/>
      <c r="H169" s="324"/>
      <c r="I169" s="324"/>
      <c r="J169" s="324"/>
      <c r="K169" s="324"/>
      <c r="L169" s="324"/>
      <c r="M169" s="324"/>
      <c r="N169" s="324"/>
      <c r="O169" s="324"/>
      <c r="P169" s="324"/>
      <c r="Q169" s="324"/>
    </row>
    <row r="170" spans="1:17" x14ac:dyDescent="0.3">
      <c r="A170" s="324"/>
      <c r="B170" s="324"/>
      <c r="C170" s="324"/>
      <c r="D170" s="324"/>
      <c r="E170" s="331" t="s">
        <v>314</v>
      </c>
      <c r="F170" s="332">
        <v>0</v>
      </c>
      <c r="G170" s="332">
        <v>1</v>
      </c>
      <c r="H170" s="332">
        <v>2</v>
      </c>
      <c r="I170" s="332">
        <v>3</v>
      </c>
      <c r="J170" s="332">
        <v>4</v>
      </c>
      <c r="K170" s="332">
        <v>5</v>
      </c>
      <c r="L170" s="324"/>
      <c r="M170" s="324"/>
      <c r="N170" s="324"/>
      <c r="O170" s="324"/>
      <c r="P170" s="324"/>
      <c r="Q170" s="324"/>
    </row>
    <row r="171" spans="1:17" x14ac:dyDescent="0.3">
      <c r="A171" s="324"/>
      <c r="B171" s="324" t="s">
        <v>494</v>
      </c>
      <c r="C171" s="345">
        <v>1104.8128067548105</v>
      </c>
      <c r="D171" s="324"/>
      <c r="E171" s="333" t="s">
        <v>17</v>
      </c>
      <c r="F171" s="334"/>
      <c r="G171" s="334">
        <v>110</v>
      </c>
      <c r="H171" s="334">
        <v>110</v>
      </c>
      <c r="I171" s="334">
        <v>110</v>
      </c>
      <c r="J171" s="334">
        <v>110</v>
      </c>
      <c r="K171" s="334">
        <v>1110</v>
      </c>
      <c r="L171" s="324"/>
      <c r="M171" s="324"/>
      <c r="N171" s="324"/>
      <c r="O171" s="324"/>
      <c r="P171" s="324"/>
      <c r="Q171" s="324"/>
    </row>
    <row r="172" spans="1:17" x14ac:dyDescent="0.3">
      <c r="A172" s="324"/>
      <c r="B172" s="324" t="s">
        <v>493</v>
      </c>
      <c r="C172" s="345">
        <v>1087.0712346923569</v>
      </c>
      <c r="D172" s="324"/>
      <c r="E172" s="333" t="s">
        <v>38</v>
      </c>
      <c r="F172" s="332">
        <v>1</v>
      </c>
      <c r="G172" s="342">
        <v>0.92292987646532443</v>
      </c>
      <c r="H172" s="342">
        <v>0.85179955687229902</v>
      </c>
      <c r="I172" s="342">
        <v>0.786151259797369</v>
      </c>
      <c r="J172" s="342">
        <v>0.72556248508784493</v>
      </c>
      <c r="K172" s="342">
        <v>0.66964329472999851</v>
      </c>
      <c r="L172" s="324"/>
      <c r="M172" s="324"/>
      <c r="N172" s="324"/>
      <c r="O172" s="324"/>
      <c r="P172" s="324"/>
      <c r="Q172" s="324"/>
    </row>
    <row r="173" spans="1:17" x14ac:dyDescent="0.3">
      <c r="A173" s="324"/>
      <c r="B173" s="324" t="s">
        <v>492</v>
      </c>
      <c r="C173" s="345">
        <v>1067.8481360422181</v>
      </c>
      <c r="D173" s="324"/>
      <c r="E173" s="333" t="s">
        <v>489</v>
      </c>
      <c r="F173" s="333"/>
      <c r="G173" s="343">
        <v>101.52228641118569</v>
      </c>
      <c r="H173" s="343">
        <v>93.697951255952887</v>
      </c>
      <c r="I173" s="343">
        <v>86.476638577710588</v>
      </c>
      <c r="J173" s="343">
        <v>79.81187335966294</v>
      </c>
      <c r="K173" s="343">
        <v>743.30405715029838</v>
      </c>
      <c r="L173" s="324"/>
      <c r="M173" s="324"/>
      <c r="N173" s="324"/>
      <c r="O173" s="324"/>
      <c r="P173" s="324"/>
      <c r="Q173" s="324"/>
    </row>
    <row r="174" spans="1:17" x14ac:dyDescent="0.3">
      <c r="A174" s="324"/>
      <c r="B174" s="324" t="s">
        <v>491</v>
      </c>
      <c r="C174" s="345">
        <v>1047.0197945394375</v>
      </c>
      <c r="D174" s="324"/>
      <c r="E174" s="324"/>
      <c r="F174" s="324"/>
      <c r="G174" s="324"/>
      <c r="H174" s="324"/>
      <c r="I174" s="324"/>
      <c r="J174" s="324"/>
      <c r="K174" s="324"/>
      <c r="L174" s="324"/>
      <c r="M174" s="324"/>
      <c r="N174" s="324"/>
      <c r="O174" s="324"/>
      <c r="P174" s="324"/>
      <c r="Q174" s="324"/>
    </row>
    <row r="175" spans="1:17" x14ac:dyDescent="0.3">
      <c r="A175" s="324"/>
      <c r="B175" s="324" t="s">
        <v>490</v>
      </c>
      <c r="C175" s="345">
        <v>1024.4521628765101</v>
      </c>
      <c r="D175" s="324"/>
      <c r="E175" s="331" t="s">
        <v>314</v>
      </c>
      <c r="F175" s="332">
        <v>0</v>
      </c>
      <c r="G175" s="332"/>
      <c r="H175" s="332">
        <v>1</v>
      </c>
      <c r="I175" s="332">
        <v>2</v>
      </c>
      <c r="J175" s="332">
        <v>3</v>
      </c>
      <c r="K175" s="332">
        <v>4</v>
      </c>
      <c r="L175" s="324"/>
      <c r="M175" s="324"/>
      <c r="N175" s="324"/>
      <c r="O175" s="324"/>
      <c r="P175" s="324"/>
      <c r="Q175" s="324"/>
    </row>
    <row r="176" spans="1:17" x14ac:dyDescent="0.3">
      <c r="A176" s="324"/>
      <c r="B176" s="324"/>
      <c r="C176" s="324"/>
      <c r="D176" s="324"/>
      <c r="E176" s="333" t="s">
        <v>17</v>
      </c>
      <c r="F176" s="334"/>
      <c r="G176" s="334"/>
      <c r="H176" s="334">
        <v>110</v>
      </c>
      <c r="I176" s="334">
        <v>110</v>
      </c>
      <c r="J176" s="334">
        <v>110</v>
      </c>
      <c r="K176" s="334">
        <v>1110</v>
      </c>
      <c r="L176" s="324"/>
      <c r="M176" s="324"/>
      <c r="N176" s="324"/>
      <c r="O176" s="324"/>
      <c r="P176" s="324"/>
      <c r="Q176" s="324"/>
    </row>
    <row r="177" spans="1:17" x14ac:dyDescent="0.3">
      <c r="A177" s="324"/>
      <c r="B177" s="324"/>
      <c r="C177" s="324"/>
      <c r="D177" s="324"/>
      <c r="E177" s="333" t="s">
        <v>38</v>
      </c>
      <c r="F177" s="332">
        <v>1</v>
      </c>
      <c r="G177" s="342"/>
      <c r="H177" s="342">
        <v>0.92292987646532443</v>
      </c>
      <c r="I177" s="342">
        <v>0.85179955687229902</v>
      </c>
      <c r="J177" s="342">
        <v>0.786151259797369</v>
      </c>
      <c r="K177" s="342">
        <v>0.72556248508784493</v>
      </c>
      <c r="L177" s="324"/>
      <c r="M177" s="324"/>
      <c r="N177" s="324"/>
      <c r="O177" s="324"/>
      <c r="P177" s="324"/>
      <c r="Q177" s="324"/>
    </row>
    <row r="178" spans="1:17" x14ac:dyDescent="0.3">
      <c r="A178" s="324"/>
      <c r="B178" s="324"/>
      <c r="C178" s="324"/>
      <c r="D178" s="324"/>
      <c r="E178" s="333" t="s">
        <v>489</v>
      </c>
      <c r="F178" s="333"/>
      <c r="G178" s="343"/>
      <c r="H178" s="343">
        <v>101.52228641118569</v>
      </c>
      <c r="I178" s="343">
        <v>93.697951255952887</v>
      </c>
      <c r="J178" s="343">
        <v>86.476638577710588</v>
      </c>
      <c r="K178" s="343">
        <v>805.37435844750792</v>
      </c>
      <c r="L178" s="324"/>
      <c r="M178" s="324"/>
      <c r="N178" s="324"/>
      <c r="O178" s="324"/>
      <c r="P178" s="324"/>
      <c r="Q178" s="324"/>
    </row>
    <row r="179" spans="1:17" x14ac:dyDescent="0.3">
      <c r="A179" s="324"/>
      <c r="B179" s="324"/>
      <c r="C179" s="324"/>
      <c r="D179" s="324"/>
      <c r="E179" s="324"/>
      <c r="F179" s="324"/>
      <c r="G179" s="324"/>
      <c r="H179" s="346"/>
      <c r="I179" s="346"/>
      <c r="J179" s="346"/>
      <c r="K179" s="346"/>
      <c r="L179" s="324"/>
      <c r="M179" s="324"/>
      <c r="N179" s="324"/>
      <c r="O179" s="324"/>
      <c r="P179" s="324"/>
      <c r="Q179" s="324"/>
    </row>
    <row r="180" spans="1:17" x14ac:dyDescent="0.3">
      <c r="A180" s="324"/>
      <c r="B180" s="324"/>
      <c r="C180" s="324"/>
      <c r="D180" s="324"/>
      <c r="E180" s="331" t="s">
        <v>314</v>
      </c>
      <c r="F180" s="332">
        <v>0</v>
      </c>
      <c r="G180" s="332"/>
      <c r="H180" s="332"/>
      <c r="I180" s="332">
        <v>1</v>
      </c>
      <c r="J180" s="332">
        <v>2</v>
      </c>
      <c r="K180" s="332">
        <v>3</v>
      </c>
      <c r="L180" s="324"/>
      <c r="M180" s="324"/>
      <c r="N180" s="324"/>
      <c r="O180" s="324"/>
      <c r="P180" s="324"/>
      <c r="Q180" s="324"/>
    </row>
    <row r="181" spans="1:17" x14ac:dyDescent="0.3">
      <c r="A181" s="324"/>
      <c r="B181" s="324"/>
      <c r="C181" s="324"/>
      <c r="D181" s="324"/>
      <c r="E181" s="333" t="s">
        <v>17</v>
      </c>
      <c r="F181" s="334"/>
      <c r="G181" s="334"/>
      <c r="H181" s="334"/>
      <c r="I181" s="334">
        <v>110</v>
      </c>
      <c r="J181" s="334">
        <v>110</v>
      </c>
      <c r="K181" s="334">
        <v>1110</v>
      </c>
      <c r="L181" s="324"/>
      <c r="M181" s="324"/>
      <c r="N181" s="324"/>
      <c r="O181" s="324"/>
      <c r="P181" s="324"/>
      <c r="Q181" s="324"/>
    </row>
    <row r="182" spans="1:17" x14ac:dyDescent="0.3">
      <c r="A182" s="324"/>
      <c r="B182" s="324"/>
      <c r="C182" s="324"/>
      <c r="D182" s="324"/>
      <c r="E182" s="333" t="s">
        <v>38</v>
      </c>
      <c r="F182" s="332">
        <v>1</v>
      </c>
      <c r="G182" s="342"/>
      <c r="H182" s="342"/>
      <c r="I182" s="342">
        <v>0.92292987646532443</v>
      </c>
      <c r="J182" s="342">
        <v>0.85179955687229902</v>
      </c>
      <c r="K182" s="342">
        <v>0.786151259797369</v>
      </c>
      <c r="L182" s="324"/>
      <c r="M182" s="324"/>
      <c r="N182" s="324"/>
      <c r="O182" s="324"/>
      <c r="P182" s="324"/>
      <c r="Q182" s="324"/>
    </row>
    <row r="183" spans="1:17" x14ac:dyDescent="0.3">
      <c r="A183" s="324"/>
      <c r="B183" s="324"/>
      <c r="C183" s="324"/>
      <c r="D183" s="324"/>
      <c r="E183" s="333" t="s">
        <v>489</v>
      </c>
      <c r="F183" s="333"/>
      <c r="G183" s="343"/>
      <c r="H183" s="343"/>
      <c r="I183" s="343">
        <v>101.52228641118569</v>
      </c>
      <c r="J183" s="343">
        <v>93.697951255952887</v>
      </c>
      <c r="K183" s="343">
        <v>872.62789837507955</v>
      </c>
      <c r="L183" s="324"/>
      <c r="M183" s="324"/>
      <c r="N183" s="324"/>
      <c r="O183" s="324"/>
      <c r="P183" s="324"/>
      <c r="Q183" s="324"/>
    </row>
    <row r="184" spans="1:17" x14ac:dyDescent="0.3">
      <c r="A184" s="324"/>
      <c r="B184" s="324"/>
      <c r="C184" s="324"/>
      <c r="D184" s="324"/>
      <c r="E184" s="324"/>
      <c r="F184" s="324"/>
      <c r="G184" s="324"/>
      <c r="H184" s="324"/>
      <c r="I184" s="324"/>
      <c r="J184" s="324"/>
      <c r="K184" s="324"/>
      <c r="L184" s="324"/>
      <c r="M184" s="324"/>
      <c r="N184" s="324"/>
      <c r="O184" s="324"/>
      <c r="P184" s="324"/>
      <c r="Q184" s="324"/>
    </row>
    <row r="185" spans="1:17" x14ac:dyDescent="0.3">
      <c r="A185" s="324"/>
      <c r="B185" s="324"/>
      <c r="C185" s="324"/>
      <c r="D185" s="324"/>
      <c r="E185" s="331" t="s">
        <v>314</v>
      </c>
      <c r="F185" s="332">
        <v>0</v>
      </c>
      <c r="G185" s="332"/>
      <c r="H185" s="332"/>
      <c r="I185" s="332"/>
      <c r="J185" s="332">
        <v>1</v>
      </c>
      <c r="K185" s="332">
        <v>2</v>
      </c>
      <c r="L185" s="324"/>
      <c r="M185" s="324"/>
      <c r="N185" s="324"/>
      <c r="O185" s="324"/>
      <c r="P185" s="324"/>
      <c r="Q185" s="324"/>
    </row>
    <row r="186" spans="1:17" x14ac:dyDescent="0.3">
      <c r="A186" s="324"/>
      <c r="B186" s="324"/>
      <c r="C186" s="324"/>
      <c r="D186" s="324"/>
      <c r="E186" s="333" t="s">
        <v>17</v>
      </c>
      <c r="F186" s="334"/>
      <c r="G186" s="334"/>
      <c r="H186" s="334"/>
      <c r="I186" s="334"/>
      <c r="J186" s="334">
        <v>110</v>
      </c>
      <c r="K186" s="334">
        <v>1110</v>
      </c>
      <c r="L186" s="324"/>
      <c r="M186" s="324"/>
      <c r="N186" s="324"/>
      <c r="O186" s="324"/>
      <c r="P186" s="324"/>
      <c r="Q186" s="324"/>
    </row>
    <row r="187" spans="1:17" x14ac:dyDescent="0.3">
      <c r="A187" s="324"/>
      <c r="B187" s="324"/>
      <c r="C187" s="324"/>
      <c r="D187" s="324"/>
      <c r="E187" s="333" t="s">
        <v>38</v>
      </c>
      <c r="F187" s="332">
        <v>1</v>
      </c>
      <c r="G187" s="342"/>
      <c r="H187" s="342"/>
      <c r="I187" s="342"/>
      <c r="J187" s="342">
        <v>0.92292987646532443</v>
      </c>
      <c r="K187" s="342">
        <v>0.85179955687229902</v>
      </c>
      <c r="L187" s="324"/>
      <c r="M187" s="324"/>
      <c r="N187" s="324"/>
      <c r="O187" s="324"/>
      <c r="P187" s="324"/>
      <c r="Q187" s="324"/>
    </row>
    <row r="188" spans="1:17" x14ac:dyDescent="0.3">
      <c r="A188" s="324"/>
      <c r="B188" s="324"/>
      <c r="C188" s="324"/>
      <c r="D188" s="324"/>
      <c r="E188" s="333" t="s">
        <v>489</v>
      </c>
      <c r="F188" s="333"/>
      <c r="G188" s="343"/>
      <c r="H188" s="343"/>
      <c r="I188" s="343"/>
      <c r="J188" s="343">
        <v>101.52228641118569</v>
      </c>
      <c r="K188" s="343">
        <v>945.49750812825187</v>
      </c>
      <c r="L188" s="324"/>
      <c r="M188" s="324"/>
      <c r="N188" s="324"/>
      <c r="O188" s="324"/>
      <c r="P188" s="324"/>
      <c r="Q188" s="324"/>
    </row>
    <row r="189" spans="1:17" x14ac:dyDescent="0.3">
      <c r="A189" s="324"/>
      <c r="B189" s="324"/>
      <c r="C189" s="324"/>
      <c r="D189" s="324"/>
      <c r="E189" s="324"/>
      <c r="F189" s="324"/>
      <c r="G189" s="324"/>
      <c r="H189" s="324"/>
      <c r="I189" s="324"/>
      <c r="J189" s="324"/>
      <c r="K189" s="324"/>
      <c r="L189" s="324"/>
      <c r="M189" s="324"/>
      <c r="N189" s="324"/>
      <c r="O189" s="324"/>
      <c r="P189" s="324"/>
      <c r="Q189" s="324"/>
    </row>
    <row r="190" spans="1:17" x14ac:dyDescent="0.3">
      <c r="A190" s="324"/>
      <c r="B190" s="324"/>
      <c r="C190" s="324"/>
      <c r="D190" s="324"/>
      <c r="E190" s="331" t="s">
        <v>314</v>
      </c>
      <c r="F190" s="332">
        <v>0</v>
      </c>
      <c r="G190" s="332"/>
      <c r="H190" s="332"/>
      <c r="I190" s="332"/>
      <c r="J190" s="332"/>
      <c r="K190" s="332">
        <v>1</v>
      </c>
      <c r="L190" s="324"/>
      <c r="M190" s="324"/>
      <c r="N190" s="324"/>
      <c r="O190" s="324"/>
      <c r="P190" s="324"/>
      <c r="Q190" s="324"/>
    </row>
    <row r="191" spans="1:17" x14ac:dyDescent="0.3">
      <c r="A191" s="324"/>
      <c r="B191" s="324"/>
      <c r="C191" s="324"/>
      <c r="D191" s="324"/>
      <c r="E191" s="333" t="s">
        <v>17</v>
      </c>
      <c r="F191" s="334"/>
      <c r="G191" s="334"/>
      <c r="H191" s="334"/>
      <c r="I191" s="334"/>
      <c r="J191" s="334"/>
      <c r="K191" s="334">
        <v>1110</v>
      </c>
      <c r="L191" s="324"/>
      <c r="M191" s="324"/>
      <c r="N191" s="324"/>
      <c r="O191" s="324"/>
      <c r="P191" s="324"/>
      <c r="Q191" s="324"/>
    </row>
    <row r="192" spans="1:17" x14ac:dyDescent="0.3">
      <c r="A192" s="324"/>
      <c r="B192" s="324"/>
      <c r="C192" s="324"/>
      <c r="D192" s="324"/>
      <c r="E192" s="333" t="s">
        <v>38</v>
      </c>
      <c r="F192" s="332">
        <v>1</v>
      </c>
      <c r="G192" s="342"/>
      <c r="H192" s="342"/>
      <c r="I192" s="342"/>
      <c r="J192" s="342"/>
      <c r="K192" s="342">
        <v>0.92292987646532443</v>
      </c>
      <c r="L192" s="324"/>
      <c r="M192" s="324"/>
      <c r="N192" s="324"/>
      <c r="O192" s="324"/>
      <c r="P192" s="324"/>
      <c r="Q192" s="324"/>
    </row>
    <row r="193" spans="1:17" x14ac:dyDescent="0.3">
      <c r="A193" s="324"/>
      <c r="B193" s="324"/>
      <c r="C193" s="324"/>
      <c r="D193" s="324"/>
      <c r="E193" s="333" t="s">
        <v>489</v>
      </c>
      <c r="F193" s="333"/>
      <c r="G193" s="343"/>
      <c r="H193" s="343"/>
      <c r="I193" s="343"/>
      <c r="J193" s="343"/>
      <c r="K193" s="343">
        <v>1024.4521628765101</v>
      </c>
      <c r="L193" s="324"/>
      <c r="M193" s="324"/>
      <c r="N193" s="324"/>
      <c r="O193" s="324"/>
      <c r="P193" s="324"/>
      <c r="Q193" s="324"/>
    </row>
    <row r="194" spans="1:17" x14ac:dyDescent="0.3">
      <c r="A194" s="324"/>
      <c r="B194" s="324"/>
      <c r="C194" s="324"/>
      <c r="D194" s="324"/>
      <c r="E194" s="324"/>
      <c r="F194" s="324"/>
      <c r="G194" s="324"/>
      <c r="H194" s="324"/>
      <c r="I194" s="324"/>
      <c r="J194" s="324"/>
      <c r="K194" s="324"/>
      <c r="L194" s="324"/>
      <c r="M194" s="324"/>
      <c r="N194" s="324"/>
      <c r="O194" s="324"/>
      <c r="P194" s="324"/>
      <c r="Q194" s="324"/>
    </row>
    <row r="195" spans="1:17" x14ac:dyDescent="0.3">
      <c r="A195" s="324"/>
      <c r="B195" s="324"/>
      <c r="C195" s="324"/>
      <c r="D195" s="324"/>
      <c r="E195" s="324"/>
      <c r="F195" s="324"/>
      <c r="G195" s="324"/>
      <c r="H195" s="324"/>
      <c r="I195" s="324"/>
      <c r="J195" s="324"/>
      <c r="K195" s="324"/>
      <c r="L195" s="324"/>
      <c r="M195" s="324"/>
      <c r="N195" s="324"/>
      <c r="O195" s="324"/>
      <c r="P195" s="324"/>
      <c r="Q195" s="324"/>
    </row>
    <row r="196" spans="1:17" x14ac:dyDescent="0.3">
      <c r="A196" s="324"/>
      <c r="B196" s="324" t="s">
        <v>488</v>
      </c>
      <c r="C196" s="324"/>
      <c r="D196" s="324"/>
      <c r="E196" s="324"/>
      <c r="F196" s="324"/>
      <c r="G196" s="324"/>
      <c r="H196" s="324"/>
      <c r="I196" s="324"/>
      <c r="J196" s="324"/>
      <c r="K196" s="324"/>
      <c r="L196" s="324"/>
      <c r="M196" s="324"/>
      <c r="N196" s="324"/>
      <c r="O196" s="324"/>
      <c r="P196" s="324"/>
      <c r="Q196" s="324"/>
    </row>
    <row r="197" spans="1:17" x14ac:dyDescent="0.3">
      <c r="A197" s="324"/>
      <c r="B197" s="324" t="s">
        <v>487</v>
      </c>
      <c r="C197" s="324"/>
      <c r="D197" s="324"/>
      <c r="E197" s="324"/>
      <c r="F197" s="324"/>
      <c r="G197" s="324"/>
      <c r="H197" s="324"/>
      <c r="I197" s="324"/>
      <c r="J197" s="324"/>
      <c r="K197" s="324"/>
      <c r="L197" s="324"/>
      <c r="M197" s="324"/>
      <c r="N197" s="324"/>
      <c r="O197" s="324"/>
      <c r="P197" s="324"/>
      <c r="Q197" s="324"/>
    </row>
    <row r="198" spans="1:17" x14ac:dyDescent="0.3">
      <c r="A198" s="324"/>
      <c r="B198" s="324" t="s">
        <v>852</v>
      </c>
      <c r="C198" s="324"/>
      <c r="D198" s="324"/>
      <c r="E198" s="324"/>
      <c r="F198" s="324"/>
      <c r="G198" s="324"/>
      <c r="H198" s="324"/>
      <c r="I198" s="324"/>
      <c r="J198" s="324"/>
      <c r="K198" s="324"/>
      <c r="L198" s="324"/>
      <c r="M198" s="324"/>
      <c r="N198" s="324"/>
      <c r="O198" s="324"/>
      <c r="P198" s="324"/>
      <c r="Q198" s="324"/>
    </row>
    <row r="202" spans="1:17" x14ac:dyDescent="0.3">
      <c r="A202" s="1">
        <v>9</v>
      </c>
    </row>
    <row r="203" spans="1:17" x14ac:dyDescent="0.3">
      <c r="B203" s="1" t="s">
        <v>486</v>
      </c>
    </row>
    <row r="204" spans="1:17" x14ac:dyDescent="0.3">
      <c r="B204" s="1" t="s">
        <v>44</v>
      </c>
    </row>
    <row r="205" spans="1:17" x14ac:dyDescent="0.3">
      <c r="B205" s="1" t="s">
        <v>45</v>
      </c>
    </row>
    <row r="206" spans="1:17" x14ac:dyDescent="0.3">
      <c r="B206" s="1" t="s">
        <v>46</v>
      </c>
    </row>
    <row r="208" spans="1:17" x14ac:dyDescent="0.3">
      <c r="B208" s="1" t="s">
        <v>47</v>
      </c>
    </row>
    <row r="209" spans="2:2" x14ac:dyDescent="0.3">
      <c r="B209" s="1" t="s">
        <v>485</v>
      </c>
    </row>
    <row r="210" spans="2:2" x14ac:dyDescent="0.3">
      <c r="B210" s="1" t="s">
        <v>50</v>
      </c>
    </row>
    <row r="211" spans="2:2" x14ac:dyDescent="0.3">
      <c r="B211" s="1" t="s">
        <v>484</v>
      </c>
    </row>
    <row r="212" spans="2:2" x14ac:dyDescent="0.3">
      <c r="B212" s="1" t="s">
        <v>483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345"/>
  <sheetViews>
    <sheetView topLeftCell="A328" zoomScale="55" zoomScaleNormal="55" workbookViewId="0">
      <selection activeCell="B24" sqref="B24"/>
    </sheetView>
  </sheetViews>
  <sheetFormatPr defaultRowHeight="18.75" x14ac:dyDescent="0.3"/>
  <cols>
    <col min="1" max="1" width="8.140625" style="130" customWidth="1"/>
    <col min="2" max="2" width="40.28515625" style="130" customWidth="1"/>
    <col min="3" max="3" width="29" style="130" customWidth="1"/>
    <col min="4" max="4" width="13.28515625" style="130" customWidth="1"/>
    <col min="5" max="5" width="17.140625" style="130" bestFit="1" customWidth="1"/>
    <col min="6" max="6" width="13.28515625" style="130" customWidth="1"/>
    <col min="7" max="7" width="13.140625" style="130" customWidth="1"/>
    <col min="8" max="8" width="13.5703125" style="130" bestFit="1" customWidth="1"/>
    <col min="9" max="9" width="12.7109375" style="130" customWidth="1"/>
    <col min="10" max="10" width="33" style="130" customWidth="1"/>
    <col min="11" max="11" width="11.42578125" style="130" customWidth="1"/>
    <col min="12" max="14" width="9.140625" style="130"/>
    <col min="15" max="15" width="10.5703125" style="130" bestFit="1" customWidth="1"/>
    <col min="16" max="41" width="9.140625" style="130"/>
    <col min="42" max="42" width="11.140625" style="130" bestFit="1" customWidth="1"/>
    <col min="43" max="16384" width="9.140625" style="130"/>
  </cols>
  <sheetData>
    <row r="2" spans="1:7" x14ac:dyDescent="0.3">
      <c r="A2" s="136">
        <v>1</v>
      </c>
      <c r="B2" s="168" t="s">
        <v>348</v>
      </c>
    </row>
    <row r="3" spans="1:7" x14ac:dyDescent="0.3">
      <c r="B3" s="168" t="s">
        <v>347</v>
      </c>
    </row>
    <row r="4" spans="1:7" x14ac:dyDescent="0.3">
      <c r="B4" s="168" t="s">
        <v>346</v>
      </c>
    </row>
    <row r="5" spans="1:7" x14ac:dyDescent="0.3">
      <c r="B5" s="130" t="s">
        <v>345</v>
      </c>
    </row>
    <row r="6" spans="1:7" x14ac:dyDescent="0.3">
      <c r="B6" s="130" t="s">
        <v>344</v>
      </c>
      <c r="C6" s="153"/>
      <c r="D6" s="153"/>
      <c r="E6" s="153"/>
      <c r="F6" s="153"/>
      <c r="G6" s="153"/>
    </row>
    <row r="7" spans="1:7" x14ac:dyDescent="0.3">
      <c r="B7" s="130" t="s">
        <v>343</v>
      </c>
      <c r="C7" s="167"/>
      <c r="D7" s="153"/>
      <c r="E7" s="153"/>
      <c r="G7" s="153"/>
    </row>
    <row r="8" spans="1:7" x14ac:dyDescent="0.3">
      <c r="B8" s="130" t="s">
        <v>342</v>
      </c>
      <c r="C8" s="167"/>
    </row>
    <row r="9" spans="1:7" x14ac:dyDescent="0.3">
      <c r="C9" s="156"/>
    </row>
    <row r="10" spans="1:7" x14ac:dyDescent="0.3">
      <c r="B10" s="153" t="s">
        <v>377</v>
      </c>
      <c r="C10" s="156"/>
    </row>
    <row r="11" spans="1:7" x14ac:dyDescent="0.3">
      <c r="B11" s="153"/>
      <c r="C11" s="153"/>
    </row>
    <row r="12" spans="1:7" x14ac:dyDescent="0.3">
      <c r="B12" s="155" t="s">
        <v>4</v>
      </c>
      <c r="C12" s="153"/>
    </row>
    <row r="13" spans="1:7" x14ac:dyDescent="0.3">
      <c r="B13" s="130" t="s">
        <v>340</v>
      </c>
      <c r="C13" s="196">
        <v>-1000</v>
      </c>
    </row>
    <row r="14" spans="1:7" x14ac:dyDescent="0.3">
      <c r="B14" s="130" t="s">
        <v>339</v>
      </c>
      <c r="C14" s="196">
        <v>-1000</v>
      </c>
    </row>
    <row r="15" spans="1:7" x14ac:dyDescent="0.3">
      <c r="B15" s="130" t="s">
        <v>103</v>
      </c>
      <c r="C15" s="151">
        <v>0.1</v>
      </c>
    </row>
    <row r="16" spans="1:7" x14ac:dyDescent="0.3">
      <c r="B16" s="153"/>
      <c r="C16" s="153"/>
    </row>
    <row r="17" spans="1:14" x14ac:dyDescent="0.3">
      <c r="B17" s="130" t="s">
        <v>376</v>
      </c>
      <c r="C17" s="195"/>
    </row>
    <row r="18" spans="1:14" x14ac:dyDescent="0.3">
      <c r="B18" s="130" t="s">
        <v>375</v>
      </c>
      <c r="C18" s="135"/>
    </row>
    <row r="20" spans="1:14" x14ac:dyDescent="0.3">
      <c r="A20" s="136"/>
      <c r="B20" s="155" t="s">
        <v>15</v>
      </c>
      <c r="C20" s="153"/>
      <c r="D20" s="153"/>
      <c r="E20" s="153"/>
      <c r="F20" s="153"/>
      <c r="G20" s="153"/>
    </row>
    <row r="21" spans="1:14" x14ac:dyDescent="0.3">
      <c r="B21" s="166"/>
      <c r="C21" s="153"/>
      <c r="D21" s="153"/>
      <c r="E21" s="153"/>
      <c r="F21" s="153"/>
      <c r="G21" s="153"/>
    </row>
    <row r="22" spans="1:14" x14ac:dyDescent="0.3">
      <c r="B22" s="166"/>
      <c r="D22" s="194"/>
      <c r="E22" s="193" t="s">
        <v>118</v>
      </c>
      <c r="F22" s="416" t="s">
        <v>117</v>
      </c>
      <c r="G22" s="416"/>
      <c r="H22" s="416"/>
      <c r="I22" s="416"/>
      <c r="J22" s="418" t="s">
        <v>128</v>
      </c>
      <c r="K22" s="164"/>
      <c r="L22" s="164"/>
      <c r="M22" s="164"/>
    </row>
    <row r="23" spans="1:14" x14ac:dyDescent="0.3">
      <c r="D23" s="193" t="s">
        <v>116</v>
      </c>
      <c r="E23" s="191">
        <v>0</v>
      </c>
      <c r="F23" s="192">
        <v>1</v>
      </c>
      <c r="G23" s="191">
        <v>2</v>
      </c>
      <c r="H23" s="192">
        <v>3</v>
      </c>
      <c r="I23" s="191">
        <v>4</v>
      </c>
      <c r="J23" s="419"/>
      <c r="K23" s="161"/>
      <c r="L23" s="161"/>
      <c r="M23" s="161"/>
    </row>
    <row r="24" spans="1:14" x14ac:dyDescent="0.3">
      <c r="B24" s="165"/>
      <c r="D24" s="200" t="s">
        <v>328</v>
      </c>
      <c r="E24" s="190">
        <v>-1000</v>
      </c>
      <c r="F24" s="190">
        <v>500</v>
      </c>
      <c r="G24" s="190">
        <v>400</v>
      </c>
      <c r="H24" s="190">
        <v>300</v>
      </c>
      <c r="I24" s="190">
        <v>100</v>
      </c>
      <c r="J24" s="189">
        <f>SUM(F24:I24)</f>
        <v>1300</v>
      </c>
      <c r="K24" s="163"/>
      <c r="L24" s="163"/>
      <c r="M24" s="163"/>
      <c r="N24" s="164"/>
    </row>
    <row r="25" spans="1:14" x14ac:dyDescent="0.3">
      <c r="B25" s="162"/>
      <c r="D25" s="200" t="s">
        <v>327</v>
      </c>
      <c r="E25" s="190">
        <v>-1000</v>
      </c>
      <c r="F25" s="190">
        <v>100</v>
      </c>
      <c r="G25" s="190">
        <v>300</v>
      </c>
      <c r="H25" s="190">
        <v>400</v>
      </c>
      <c r="I25" s="190">
        <v>675</v>
      </c>
      <c r="J25" s="189">
        <f>SUM(F25:I25)</f>
        <v>1475</v>
      </c>
      <c r="K25" s="161"/>
      <c r="L25" s="161"/>
      <c r="M25" s="161"/>
      <c r="N25" s="161"/>
    </row>
    <row r="26" spans="1:14" x14ac:dyDescent="0.3">
      <c r="B26" s="162"/>
      <c r="F26" s="153"/>
      <c r="G26" s="153"/>
      <c r="N26" s="163"/>
    </row>
    <row r="27" spans="1:14" x14ac:dyDescent="0.3">
      <c r="B27" s="162"/>
      <c r="D27" s="153" t="s">
        <v>103</v>
      </c>
      <c r="E27" s="209">
        <v>0.1</v>
      </c>
      <c r="F27" s="153"/>
      <c r="G27" s="153"/>
      <c r="N27" s="161"/>
    </row>
    <row r="28" spans="1:14" x14ac:dyDescent="0.3">
      <c r="E28" s="153"/>
      <c r="F28" s="153"/>
      <c r="G28" s="153"/>
    </row>
    <row r="29" spans="1:14" x14ac:dyDescent="0.3">
      <c r="B29" s="155"/>
      <c r="C29" s="153"/>
      <c r="D29" s="153"/>
      <c r="E29" s="153"/>
      <c r="F29" s="153"/>
      <c r="G29" s="153"/>
    </row>
    <row r="30" spans="1:14" x14ac:dyDescent="0.3">
      <c r="C30" s="160"/>
      <c r="D30" s="153"/>
      <c r="E30" s="153"/>
      <c r="F30" s="159"/>
      <c r="G30" s="159"/>
    </row>
    <row r="31" spans="1:14" x14ac:dyDescent="0.3">
      <c r="C31" s="208"/>
      <c r="D31" s="153"/>
      <c r="E31" s="153"/>
    </row>
    <row r="32" spans="1:14" x14ac:dyDescent="0.3">
      <c r="C32" s="207"/>
      <c r="D32" s="153"/>
      <c r="E32" s="153"/>
    </row>
    <row r="33" spans="1:10" x14ac:dyDescent="0.3">
      <c r="D33" s="153"/>
      <c r="E33" s="153"/>
    </row>
    <row r="34" spans="1:10" x14ac:dyDescent="0.3">
      <c r="B34" s="153"/>
      <c r="C34" s="156"/>
      <c r="D34" s="153"/>
      <c r="E34" s="153"/>
    </row>
    <row r="35" spans="1:10" x14ac:dyDescent="0.3">
      <c r="B35" s="153"/>
      <c r="C35" s="153"/>
      <c r="D35" s="153"/>
    </row>
    <row r="36" spans="1:10" x14ac:dyDescent="0.3">
      <c r="B36" s="155"/>
      <c r="C36" s="153"/>
      <c r="D36" s="194"/>
      <c r="E36" s="193" t="s">
        <v>118</v>
      </c>
      <c r="F36" s="416" t="s">
        <v>117</v>
      </c>
      <c r="G36" s="416"/>
      <c r="H36" s="416"/>
      <c r="I36" s="416"/>
      <c r="J36" s="148"/>
    </row>
    <row r="37" spans="1:10" x14ac:dyDescent="0.3">
      <c r="B37" s="153"/>
      <c r="C37" s="153"/>
      <c r="D37" s="193" t="s">
        <v>116</v>
      </c>
      <c r="E37" s="191">
        <v>0</v>
      </c>
      <c r="F37" s="192">
        <v>1</v>
      </c>
      <c r="G37" s="191">
        <v>2</v>
      </c>
      <c r="H37" s="192">
        <v>3</v>
      </c>
      <c r="I37" s="191">
        <v>4</v>
      </c>
      <c r="J37" s="148"/>
    </row>
    <row r="38" spans="1:10" x14ac:dyDescent="0.3">
      <c r="B38" s="153"/>
      <c r="C38" s="206"/>
      <c r="D38" s="200" t="s">
        <v>328</v>
      </c>
      <c r="E38" s="190">
        <v>-1000</v>
      </c>
      <c r="F38" s="190">
        <v>500</v>
      </c>
      <c r="G38" s="190">
        <v>400</v>
      </c>
      <c r="H38" s="190">
        <v>300</v>
      </c>
      <c r="I38" s="190">
        <v>100</v>
      </c>
      <c r="J38" s="205"/>
    </row>
    <row r="39" spans="1:10" x14ac:dyDescent="0.3">
      <c r="B39" s="153"/>
      <c r="C39" s="153"/>
      <c r="D39" s="200" t="s">
        <v>327</v>
      </c>
      <c r="E39" s="190">
        <v>-1000</v>
      </c>
      <c r="F39" s="190">
        <v>100</v>
      </c>
      <c r="G39" s="190">
        <v>300</v>
      </c>
      <c r="H39" s="190">
        <v>400</v>
      </c>
      <c r="I39" s="190">
        <v>675</v>
      </c>
      <c r="J39" s="205"/>
    </row>
    <row r="40" spans="1:10" x14ac:dyDescent="0.3">
      <c r="B40" s="153"/>
      <c r="C40" s="153"/>
      <c r="D40" s="173" t="s">
        <v>374</v>
      </c>
      <c r="E40" s="172">
        <f>1/(1+$C$15)^E37</f>
        <v>1</v>
      </c>
      <c r="F40" s="172">
        <f>1/(1+$C$15)^F37</f>
        <v>0.90909090909090906</v>
      </c>
      <c r="G40" s="172">
        <f>1/(1+$C$15)^G37</f>
        <v>0.82644628099173545</v>
      </c>
      <c r="H40" s="172">
        <f>1/(1+$C$15)^H37</f>
        <v>0.75131480090157754</v>
      </c>
      <c r="I40" s="172">
        <f>1/(1+$C$15)^I37</f>
        <v>0.68301345536507052</v>
      </c>
    </row>
    <row r="41" spans="1:10" x14ac:dyDescent="0.3">
      <c r="D41" s="173" t="s">
        <v>373</v>
      </c>
      <c r="E41" s="189">
        <f>E40*E38</f>
        <v>-1000</v>
      </c>
      <c r="F41" s="189">
        <f>F40*F38</f>
        <v>454.5454545454545</v>
      </c>
      <c r="G41" s="189">
        <f>G40*G38</f>
        <v>330.57851239669418</v>
      </c>
      <c r="H41" s="189">
        <f>H40*H38</f>
        <v>225.39444027047327</v>
      </c>
      <c r="I41" s="189">
        <f>I40*I38</f>
        <v>68.301345536507057</v>
      </c>
    </row>
    <row r="42" spans="1:10" x14ac:dyDescent="0.3">
      <c r="D42" s="173" t="s">
        <v>372</v>
      </c>
      <c r="E42" s="189">
        <f>E40*E39</f>
        <v>-1000</v>
      </c>
      <c r="F42" s="189">
        <f>F40*F39</f>
        <v>90.909090909090907</v>
      </c>
      <c r="G42" s="189">
        <f>G40*G39</f>
        <v>247.93388429752065</v>
      </c>
      <c r="H42" s="189">
        <f>H40*H39</f>
        <v>300.52592036063101</v>
      </c>
      <c r="I42" s="189">
        <f>I40*I39</f>
        <v>461.03408237142258</v>
      </c>
    </row>
    <row r="43" spans="1:10" x14ac:dyDescent="0.3">
      <c r="B43" s="140"/>
      <c r="C43" s="195"/>
    </row>
    <row r="44" spans="1:10" x14ac:dyDescent="0.3">
      <c r="C44" s="131"/>
      <c r="D44" s="130" t="s">
        <v>371</v>
      </c>
      <c r="E44" s="135">
        <f>SUM(F41:I41)</f>
        <v>1078.8197527491291</v>
      </c>
    </row>
    <row r="45" spans="1:10" x14ac:dyDescent="0.3">
      <c r="D45" s="130" t="s">
        <v>370</v>
      </c>
      <c r="E45" s="135">
        <f>SUM(F42:I42)</f>
        <v>1100.4029779386651</v>
      </c>
    </row>
    <row r="47" spans="1:10" x14ac:dyDescent="0.3">
      <c r="D47" s="130" t="s">
        <v>369</v>
      </c>
      <c r="E47" s="135">
        <f>SUM(E41:I41)</f>
        <v>78.819752749129009</v>
      </c>
    </row>
    <row r="48" spans="1:10" x14ac:dyDescent="0.3">
      <c r="A48" s="136"/>
      <c r="B48" s="148"/>
      <c r="D48" s="130" t="s">
        <v>368</v>
      </c>
      <c r="E48" s="135">
        <f>SUM(E42:I42)</f>
        <v>100.40297793866512</v>
      </c>
    </row>
    <row r="50" spans="1:12" x14ac:dyDescent="0.3">
      <c r="B50" s="130" t="s">
        <v>23</v>
      </c>
    </row>
    <row r="51" spans="1:12" x14ac:dyDescent="0.3">
      <c r="B51" s="130" t="s">
        <v>369</v>
      </c>
      <c r="C51" s="204">
        <f>E47</f>
        <v>78.819752749129009</v>
      </c>
    </row>
    <row r="52" spans="1:12" x14ac:dyDescent="0.3">
      <c r="B52" s="130" t="s">
        <v>368</v>
      </c>
      <c r="C52" s="204">
        <f>E48</f>
        <v>100.40297793866512</v>
      </c>
    </row>
    <row r="53" spans="1:12" x14ac:dyDescent="0.3">
      <c r="C53" s="151"/>
    </row>
    <row r="54" spans="1:12" x14ac:dyDescent="0.3">
      <c r="C54" s="135"/>
    </row>
    <row r="56" spans="1:12" x14ac:dyDescent="0.3">
      <c r="A56" s="136">
        <v>2</v>
      </c>
      <c r="B56" s="168" t="s">
        <v>348</v>
      </c>
    </row>
    <row r="57" spans="1:12" x14ac:dyDescent="0.3">
      <c r="B57" s="168" t="s">
        <v>347</v>
      </c>
    </row>
    <row r="58" spans="1:12" x14ac:dyDescent="0.3">
      <c r="B58" s="168" t="s">
        <v>346</v>
      </c>
    </row>
    <row r="59" spans="1:12" x14ac:dyDescent="0.3">
      <c r="B59" s="130" t="s">
        <v>345</v>
      </c>
    </row>
    <row r="60" spans="1:12" x14ac:dyDescent="0.3">
      <c r="B60" s="130" t="s">
        <v>344</v>
      </c>
      <c r="C60" s="153"/>
      <c r="D60" s="153"/>
      <c r="E60" s="153"/>
    </row>
    <row r="61" spans="1:12" x14ac:dyDescent="0.3">
      <c r="B61" s="130" t="s">
        <v>343</v>
      </c>
      <c r="C61" s="167"/>
      <c r="D61" s="153"/>
      <c r="E61" s="153"/>
    </row>
    <row r="62" spans="1:12" x14ac:dyDescent="0.3">
      <c r="B62" s="130" t="s">
        <v>342</v>
      </c>
      <c r="C62" s="167"/>
    </row>
    <row r="63" spans="1:12" x14ac:dyDescent="0.3">
      <c r="C63" s="156"/>
      <c r="G63" s="136"/>
      <c r="H63" s="136"/>
      <c r="I63" s="136"/>
      <c r="J63" s="136"/>
      <c r="K63" s="136"/>
      <c r="L63" s="136"/>
    </row>
    <row r="64" spans="1:12" x14ac:dyDescent="0.3">
      <c r="B64" s="153" t="s">
        <v>367</v>
      </c>
      <c r="C64" s="156"/>
      <c r="G64" s="136"/>
      <c r="H64" s="150"/>
      <c r="I64" s="136"/>
      <c r="J64" s="136"/>
      <c r="K64" s="136"/>
      <c r="L64" s="136"/>
    </row>
    <row r="65" spans="1:9" x14ac:dyDescent="0.3">
      <c r="B65" s="153"/>
      <c r="C65" s="153"/>
    </row>
    <row r="66" spans="1:9" x14ac:dyDescent="0.3">
      <c r="B66" s="155" t="s">
        <v>4</v>
      </c>
      <c r="C66" s="153"/>
    </row>
    <row r="67" spans="1:9" x14ac:dyDescent="0.3">
      <c r="B67" s="130" t="s">
        <v>340</v>
      </c>
      <c r="C67" s="196">
        <v>-1000</v>
      </c>
    </row>
    <row r="68" spans="1:9" x14ac:dyDescent="0.3">
      <c r="B68" s="130" t="s">
        <v>339</v>
      </c>
      <c r="C68" s="196">
        <v>-1000</v>
      </c>
    </row>
    <row r="69" spans="1:9" x14ac:dyDescent="0.3">
      <c r="B69" s="130" t="s">
        <v>103</v>
      </c>
      <c r="C69" s="151">
        <v>0.1</v>
      </c>
    </row>
    <row r="70" spans="1:9" x14ac:dyDescent="0.3">
      <c r="B70" s="153"/>
      <c r="C70" s="153"/>
    </row>
    <row r="71" spans="1:9" x14ac:dyDescent="0.3">
      <c r="B71" s="130" t="s">
        <v>366</v>
      </c>
      <c r="C71" s="195"/>
    </row>
    <row r="72" spans="1:9" x14ac:dyDescent="0.3">
      <c r="B72" s="130" t="s">
        <v>365</v>
      </c>
      <c r="C72" s="135"/>
    </row>
    <row r="74" spans="1:9" x14ac:dyDescent="0.3">
      <c r="A74" s="136"/>
      <c r="B74" s="155" t="s">
        <v>15</v>
      </c>
      <c r="C74" s="153"/>
      <c r="D74" s="153"/>
      <c r="E74" s="153"/>
    </row>
    <row r="75" spans="1:9" x14ac:dyDescent="0.3">
      <c r="D75" s="194"/>
      <c r="E75" s="193" t="s">
        <v>118</v>
      </c>
      <c r="F75" s="416" t="s">
        <v>117</v>
      </c>
      <c r="G75" s="416"/>
      <c r="H75" s="416"/>
      <c r="I75" s="416"/>
    </row>
    <row r="76" spans="1:9" x14ac:dyDescent="0.3">
      <c r="D76" s="193" t="s">
        <v>116</v>
      </c>
      <c r="E76" s="191">
        <v>0</v>
      </c>
      <c r="F76" s="192">
        <v>1</v>
      </c>
      <c r="G76" s="191">
        <v>2</v>
      </c>
      <c r="H76" s="192">
        <v>3</v>
      </c>
      <c r="I76" s="191">
        <v>4</v>
      </c>
    </row>
    <row r="77" spans="1:9" x14ac:dyDescent="0.3">
      <c r="C77" s="135"/>
      <c r="D77" s="200" t="s">
        <v>328</v>
      </c>
      <c r="E77" s="190">
        <v>-1000</v>
      </c>
      <c r="F77" s="190">
        <v>500</v>
      </c>
      <c r="G77" s="190">
        <v>400</v>
      </c>
      <c r="H77" s="190">
        <v>300</v>
      </c>
      <c r="I77" s="190">
        <v>100</v>
      </c>
    </row>
    <row r="78" spans="1:9" x14ac:dyDescent="0.3">
      <c r="C78" s="135"/>
      <c r="D78" s="200" t="s">
        <v>327</v>
      </c>
      <c r="E78" s="190">
        <v>-1000</v>
      </c>
      <c r="F78" s="190">
        <v>100</v>
      </c>
      <c r="G78" s="190">
        <v>300</v>
      </c>
      <c r="H78" s="190">
        <v>400</v>
      </c>
      <c r="I78" s="190">
        <v>675</v>
      </c>
    </row>
    <row r="79" spans="1:9" x14ac:dyDescent="0.3">
      <c r="C79" s="135"/>
    </row>
    <row r="80" spans="1:9" x14ac:dyDescent="0.3">
      <c r="B80" s="130" t="s">
        <v>364</v>
      </c>
      <c r="C80" s="197">
        <f>IRR(E77:I77)</f>
        <v>0.14488844278532143</v>
      </c>
    </row>
    <row r="81" spans="1:12" x14ac:dyDescent="0.3">
      <c r="B81" s="130" t="s">
        <v>363</v>
      </c>
      <c r="C81" s="197">
        <f>IRR(E78:I78)</f>
        <v>0.1354920414684333</v>
      </c>
    </row>
    <row r="82" spans="1:12" x14ac:dyDescent="0.3">
      <c r="C82" s="136"/>
    </row>
    <row r="86" spans="1:12" x14ac:dyDescent="0.3">
      <c r="B86" s="134"/>
    </row>
    <row r="89" spans="1:12" x14ac:dyDescent="0.3">
      <c r="E89" s="133"/>
      <c r="F89" s="146"/>
      <c r="G89" s="146"/>
      <c r="H89" s="146"/>
      <c r="I89" s="146"/>
      <c r="J89" s="146"/>
      <c r="K89" s="146"/>
      <c r="L89" s="146"/>
    </row>
    <row r="90" spans="1:12" x14ac:dyDescent="0.3">
      <c r="A90" s="136">
        <v>3</v>
      </c>
      <c r="B90" s="168" t="s">
        <v>348</v>
      </c>
      <c r="K90" s="149"/>
    </row>
    <row r="91" spans="1:12" x14ac:dyDescent="0.3">
      <c r="B91" s="168" t="s">
        <v>347</v>
      </c>
      <c r="K91" s="141"/>
    </row>
    <row r="92" spans="1:12" x14ac:dyDescent="0.3">
      <c r="B92" s="168" t="s">
        <v>346</v>
      </c>
    </row>
    <row r="93" spans="1:12" x14ac:dyDescent="0.3">
      <c r="B93" s="130" t="s">
        <v>345</v>
      </c>
    </row>
    <row r="94" spans="1:12" x14ac:dyDescent="0.3">
      <c r="B94" s="130" t="s">
        <v>344</v>
      </c>
      <c r="C94" s="153"/>
      <c r="D94" s="153"/>
      <c r="E94" s="153"/>
    </row>
    <row r="95" spans="1:12" x14ac:dyDescent="0.3">
      <c r="B95" s="130" t="s">
        <v>343</v>
      </c>
      <c r="C95" s="167"/>
      <c r="D95" s="153"/>
      <c r="E95" s="153"/>
    </row>
    <row r="96" spans="1:12" x14ac:dyDescent="0.3">
      <c r="B96" s="130" t="s">
        <v>342</v>
      </c>
      <c r="C96" s="167"/>
    </row>
    <row r="97" spans="2:14" x14ac:dyDescent="0.3">
      <c r="C97" s="156"/>
      <c r="G97" s="136"/>
      <c r="H97" s="136"/>
      <c r="I97" s="136"/>
      <c r="J97" s="136"/>
    </row>
    <row r="98" spans="2:14" x14ac:dyDescent="0.3">
      <c r="B98" s="153" t="s">
        <v>362</v>
      </c>
      <c r="C98" s="156"/>
      <c r="G98" s="136"/>
      <c r="H98" s="150"/>
      <c r="I98" s="136"/>
      <c r="J98" s="136"/>
    </row>
    <row r="99" spans="2:14" x14ac:dyDescent="0.3">
      <c r="B99" s="153"/>
      <c r="C99" s="153"/>
    </row>
    <row r="100" spans="2:14" x14ac:dyDescent="0.3">
      <c r="B100" s="155" t="s">
        <v>4</v>
      </c>
      <c r="C100" s="153"/>
    </row>
    <row r="101" spans="2:14" x14ac:dyDescent="0.3">
      <c r="B101" s="130" t="s">
        <v>340</v>
      </c>
      <c r="C101" s="196">
        <v>-1000</v>
      </c>
    </row>
    <row r="102" spans="2:14" x14ac:dyDescent="0.3">
      <c r="B102" s="130" t="s">
        <v>339</v>
      </c>
      <c r="C102" s="196">
        <v>-1000</v>
      </c>
    </row>
    <row r="103" spans="2:14" x14ac:dyDescent="0.3">
      <c r="B103" s="130" t="s">
        <v>103</v>
      </c>
      <c r="C103" s="151">
        <v>0.1</v>
      </c>
    </row>
    <row r="104" spans="2:14" x14ac:dyDescent="0.3">
      <c r="B104" s="153"/>
      <c r="C104" s="153"/>
    </row>
    <row r="105" spans="2:14" x14ac:dyDescent="0.3">
      <c r="B105" s="130" t="s">
        <v>361</v>
      </c>
      <c r="C105" s="195"/>
    </row>
    <row r="106" spans="2:14" x14ac:dyDescent="0.3">
      <c r="B106" s="130" t="s">
        <v>360</v>
      </c>
      <c r="C106" s="135"/>
    </row>
    <row r="107" spans="2:14" x14ac:dyDescent="0.3">
      <c r="C107" s="135"/>
    </row>
    <row r="109" spans="2:14" x14ac:dyDescent="0.3">
      <c r="B109" s="155" t="s">
        <v>15</v>
      </c>
    </row>
    <row r="110" spans="2:14" x14ac:dyDescent="0.3">
      <c r="C110" s="136"/>
      <c r="D110" s="153"/>
      <c r="E110" s="153"/>
    </row>
    <row r="111" spans="2:14" x14ac:dyDescent="0.3">
      <c r="C111" s="136"/>
      <c r="D111" s="194"/>
      <c r="E111" s="193" t="s">
        <v>118</v>
      </c>
      <c r="F111" s="416" t="s">
        <v>117</v>
      </c>
      <c r="G111" s="416"/>
      <c r="H111" s="416"/>
      <c r="I111" s="416"/>
    </row>
    <row r="112" spans="2:14" x14ac:dyDescent="0.3">
      <c r="D112" s="193" t="s">
        <v>116</v>
      </c>
      <c r="E112" s="191">
        <v>0</v>
      </c>
      <c r="F112" s="192">
        <v>1</v>
      </c>
      <c r="G112" s="191">
        <v>2</v>
      </c>
      <c r="H112" s="192">
        <v>3</v>
      </c>
      <c r="I112" s="191">
        <v>4</v>
      </c>
      <c r="N112" s="203"/>
    </row>
    <row r="113" spans="1:42" x14ac:dyDescent="0.3">
      <c r="D113" s="200" t="s">
        <v>328</v>
      </c>
      <c r="E113" s="190">
        <v>-1000</v>
      </c>
      <c r="F113" s="190">
        <v>500</v>
      </c>
      <c r="G113" s="190">
        <v>400</v>
      </c>
      <c r="H113" s="190">
        <v>300</v>
      </c>
      <c r="I113" s="190">
        <v>100</v>
      </c>
    </row>
    <row r="114" spans="1:42" x14ac:dyDescent="0.3">
      <c r="D114" s="200" t="s">
        <v>327</v>
      </c>
      <c r="E114" s="190">
        <v>-1000</v>
      </c>
      <c r="F114" s="190">
        <v>100</v>
      </c>
      <c r="G114" s="190">
        <v>300</v>
      </c>
      <c r="H114" s="190">
        <v>400</v>
      </c>
      <c r="I114" s="190">
        <v>675</v>
      </c>
    </row>
    <row r="115" spans="1:42" x14ac:dyDescent="0.3">
      <c r="C115" s="135"/>
    </row>
    <row r="116" spans="1:42" x14ac:dyDescent="0.3">
      <c r="C116" s="135"/>
    </row>
    <row r="117" spans="1:42" x14ac:dyDescent="0.3">
      <c r="B117" s="134"/>
      <c r="D117" s="194"/>
      <c r="E117" s="193" t="s">
        <v>118</v>
      </c>
      <c r="F117" s="416" t="s">
        <v>117</v>
      </c>
      <c r="G117" s="416"/>
      <c r="H117" s="416"/>
      <c r="I117" s="416"/>
      <c r="J117" s="146"/>
      <c r="K117" s="146"/>
      <c r="L117" s="146"/>
      <c r="M117" s="146"/>
      <c r="N117" s="146"/>
      <c r="O117" s="146"/>
      <c r="P117" s="146"/>
      <c r="Q117" s="146"/>
      <c r="R117" s="146"/>
      <c r="S117" s="146"/>
      <c r="T117" s="146"/>
      <c r="U117" s="146"/>
      <c r="V117" s="146"/>
      <c r="W117" s="146"/>
      <c r="X117" s="146"/>
      <c r="Y117" s="146"/>
      <c r="Z117" s="146"/>
      <c r="AA117" s="146"/>
      <c r="AB117" s="146"/>
      <c r="AC117" s="146"/>
      <c r="AD117" s="146"/>
      <c r="AE117" s="146"/>
      <c r="AF117" s="146"/>
      <c r="AG117" s="146"/>
      <c r="AH117" s="146"/>
      <c r="AI117" s="146"/>
      <c r="AJ117" s="146"/>
      <c r="AK117" s="146"/>
      <c r="AL117" s="146"/>
      <c r="AM117" s="146"/>
      <c r="AN117" s="146"/>
      <c r="AO117" s="146"/>
      <c r="AP117" s="146"/>
    </row>
    <row r="118" spans="1:42" x14ac:dyDescent="0.3">
      <c r="D118" s="193" t="s">
        <v>116</v>
      </c>
      <c r="E118" s="191">
        <v>0</v>
      </c>
      <c r="F118" s="192">
        <v>1</v>
      </c>
      <c r="G118" s="191">
        <v>2</v>
      </c>
      <c r="H118" s="192">
        <v>3</v>
      </c>
      <c r="I118" s="191">
        <v>4</v>
      </c>
      <c r="J118" s="144"/>
      <c r="K118" s="144"/>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c r="AH118" s="144"/>
      <c r="AI118" s="144"/>
      <c r="AJ118" s="144"/>
      <c r="AK118" s="144"/>
      <c r="AL118" s="144"/>
      <c r="AM118" s="144"/>
      <c r="AN118" s="144"/>
      <c r="AO118" s="144"/>
      <c r="AP118" s="144"/>
    </row>
    <row r="119" spans="1:42" x14ac:dyDescent="0.3">
      <c r="D119" s="200" t="s">
        <v>328</v>
      </c>
      <c r="E119" s="190">
        <v>-1000</v>
      </c>
      <c r="F119" s="190">
        <v>500</v>
      </c>
      <c r="G119" s="190">
        <v>400</v>
      </c>
      <c r="H119" s="190">
        <v>300</v>
      </c>
      <c r="I119" s="190">
        <v>100</v>
      </c>
      <c r="J119" s="141"/>
      <c r="K119" s="141"/>
    </row>
    <row r="120" spans="1:42" x14ac:dyDescent="0.3">
      <c r="I120" s="171">
        <f>H119*(1+$C$103)^(I118-H118)</f>
        <v>330</v>
      </c>
    </row>
    <row r="121" spans="1:42" x14ac:dyDescent="0.3">
      <c r="B121" s="140"/>
      <c r="C121" s="131"/>
      <c r="I121" s="171">
        <f>G119*(1+$C$103)^(I118-G118)</f>
        <v>484.00000000000006</v>
      </c>
    </row>
    <row r="122" spans="1:42" x14ac:dyDescent="0.3">
      <c r="I122" s="171">
        <f>F119*(1+$C$103)^(I118-F118)</f>
        <v>665.50000000000023</v>
      </c>
    </row>
    <row r="123" spans="1:42" x14ac:dyDescent="0.3">
      <c r="C123" s="131"/>
      <c r="G123" s="130" t="s">
        <v>124</v>
      </c>
      <c r="I123" s="199">
        <f>SUM(I118:I122)</f>
        <v>1583.5000000000002</v>
      </c>
    </row>
    <row r="124" spans="1:42" x14ac:dyDescent="0.3">
      <c r="B124" s="130" t="s">
        <v>359</v>
      </c>
      <c r="C124" s="198">
        <f>MIRR(E119:I119,C103,C103)</f>
        <v>0.12106271186727313</v>
      </c>
    </row>
    <row r="125" spans="1:42" x14ac:dyDescent="0.3">
      <c r="C125" s="131">
        <f>RATE(I118,0,E119,I123)</f>
        <v>0.12177179679655377</v>
      </c>
      <c r="D125" s="139"/>
    </row>
    <row r="126" spans="1:42" x14ac:dyDescent="0.3">
      <c r="C126" s="202"/>
    </row>
    <row r="127" spans="1:42" x14ac:dyDescent="0.3">
      <c r="A127" s="136"/>
      <c r="B127" s="130" t="s">
        <v>127</v>
      </c>
      <c r="C127" s="130">
        <f>I123/ABS(E119)</f>
        <v>1.5835000000000001</v>
      </c>
    </row>
    <row r="128" spans="1:42" x14ac:dyDescent="0.3">
      <c r="B128" s="130" t="s">
        <v>126</v>
      </c>
      <c r="C128" s="201">
        <f>C127^(1/4)</f>
        <v>1.1217717967960021</v>
      </c>
    </row>
    <row r="129" spans="2:9" x14ac:dyDescent="0.3">
      <c r="B129" s="130" t="s">
        <v>125</v>
      </c>
      <c r="C129" s="179">
        <f>C128-1</f>
        <v>0.12177179679600214</v>
      </c>
    </row>
    <row r="132" spans="2:9" x14ac:dyDescent="0.3">
      <c r="C132" s="135"/>
    </row>
    <row r="133" spans="2:9" x14ac:dyDescent="0.3">
      <c r="G133" s="137"/>
    </row>
    <row r="134" spans="2:9" x14ac:dyDescent="0.3">
      <c r="D134" s="194"/>
      <c r="E134" s="193" t="s">
        <v>118</v>
      </c>
      <c r="F134" s="416" t="s">
        <v>117</v>
      </c>
      <c r="G134" s="416"/>
      <c r="H134" s="416"/>
      <c r="I134" s="416"/>
    </row>
    <row r="135" spans="2:9" x14ac:dyDescent="0.3">
      <c r="D135" s="193" t="s">
        <v>116</v>
      </c>
      <c r="E135" s="191">
        <v>0</v>
      </c>
      <c r="F135" s="192">
        <v>1</v>
      </c>
      <c r="G135" s="191">
        <v>2</v>
      </c>
      <c r="H135" s="192">
        <v>3</v>
      </c>
      <c r="I135" s="191">
        <v>4</v>
      </c>
    </row>
    <row r="136" spans="2:9" x14ac:dyDescent="0.3">
      <c r="D136" s="200" t="s">
        <v>327</v>
      </c>
      <c r="E136" s="190">
        <v>-1000</v>
      </c>
      <c r="F136" s="190">
        <v>100</v>
      </c>
      <c r="G136" s="190">
        <v>300</v>
      </c>
      <c r="H136" s="190">
        <v>400</v>
      </c>
      <c r="I136" s="190">
        <v>675</v>
      </c>
    </row>
    <row r="137" spans="2:9" x14ac:dyDescent="0.3">
      <c r="C137" s="136"/>
      <c r="I137" s="171">
        <f>H136*(1+$C$103)^($I$135-H135)</f>
        <v>440.00000000000006</v>
      </c>
    </row>
    <row r="138" spans="2:9" x14ac:dyDescent="0.3">
      <c r="I138" s="171">
        <f>G136*(1+$C$103)^($I$135-G135)</f>
        <v>363.00000000000006</v>
      </c>
    </row>
    <row r="139" spans="2:9" x14ac:dyDescent="0.3">
      <c r="I139" s="171">
        <f>F136*(1+$C$103)^($I$135-F135)</f>
        <v>133.10000000000005</v>
      </c>
    </row>
    <row r="140" spans="2:9" x14ac:dyDescent="0.3">
      <c r="G140" s="130" t="s">
        <v>124</v>
      </c>
      <c r="I140" s="199">
        <f>SUM(I135:I139)</f>
        <v>1615.1000000000001</v>
      </c>
    </row>
    <row r="141" spans="2:9" x14ac:dyDescent="0.3">
      <c r="C141" s="135"/>
    </row>
    <row r="142" spans="2:9" x14ac:dyDescent="0.3">
      <c r="B142" s="130" t="s">
        <v>358</v>
      </c>
      <c r="C142" s="198">
        <f>MIRR(E136:I136,C103,C103)</f>
        <v>0.12662821762786636</v>
      </c>
    </row>
    <row r="143" spans="2:9" x14ac:dyDescent="0.3">
      <c r="C143" s="131">
        <f>RATE(I135,0,E136,I140)</f>
        <v>0.12732685880623434</v>
      </c>
      <c r="E143" s="133"/>
    </row>
    <row r="144" spans="2:9" x14ac:dyDescent="0.3">
      <c r="E144" s="133"/>
    </row>
    <row r="145" spans="1:10" x14ac:dyDescent="0.3">
      <c r="E145" s="133"/>
    </row>
    <row r="146" spans="1:10" x14ac:dyDescent="0.3">
      <c r="A146" s="136">
        <v>4</v>
      </c>
      <c r="B146" s="168" t="s">
        <v>348</v>
      </c>
    </row>
    <row r="147" spans="1:10" x14ac:dyDescent="0.3">
      <c r="B147" s="168" t="s">
        <v>347</v>
      </c>
    </row>
    <row r="148" spans="1:10" x14ac:dyDescent="0.3">
      <c r="B148" s="168" t="s">
        <v>346</v>
      </c>
    </row>
    <row r="149" spans="1:10" x14ac:dyDescent="0.3">
      <c r="B149" s="130" t="s">
        <v>345</v>
      </c>
    </row>
    <row r="150" spans="1:10" x14ac:dyDescent="0.3">
      <c r="B150" s="130" t="s">
        <v>344</v>
      </c>
      <c r="C150" s="153"/>
      <c r="D150" s="153"/>
      <c r="E150" s="153"/>
    </row>
    <row r="151" spans="1:10" x14ac:dyDescent="0.3">
      <c r="B151" s="130" t="s">
        <v>343</v>
      </c>
      <c r="C151" s="167"/>
      <c r="D151" s="153"/>
      <c r="E151" s="153"/>
    </row>
    <row r="152" spans="1:10" x14ac:dyDescent="0.3">
      <c r="B152" s="130" t="s">
        <v>342</v>
      </c>
      <c r="C152" s="167"/>
    </row>
    <row r="153" spans="1:10" x14ac:dyDescent="0.3">
      <c r="C153" s="156"/>
      <c r="G153" s="136"/>
      <c r="H153" s="136"/>
      <c r="I153" s="136"/>
      <c r="J153" s="136"/>
    </row>
    <row r="154" spans="1:10" x14ac:dyDescent="0.3">
      <c r="B154" s="153" t="s">
        <v>357</v>
      </c>
      <c r="C154" s="156"/>
      <c r="G154" s="136"/>
      <c r="H154" s="150"/>
      <c r="I154" s="136"/>
      <c r="J154" s="136"/>
    </row>
    <row r="155" spans="1:10" x14ac:dyDescent="0.3">
      <c r="B155" s="153"/>
      <c r="C155" s="153"/>
    </row>
    <row r="156" spans="1:10" x14ac:dyDescent="0.3">
      <c r="B156" s="155" t="s">
        <v>4</v>
      </c>
      <c r="C156" s="153"/>
    </row>
    <row r="157" spans="1:10" x14ac:dyDescent="0.3">
      <c r="B157" s="130" t="s">
        <v>340</v>
      </c>
      <c r="C157" s="196">
        <v>-1000</v>
      </c>
    </row>
    <row r="158" spans="1:10" x14ac:dyDescent="0.3">
      <c r="B158" s="130" t="s">
        <v>339</v>
      </c>
      <c r="C158" s="196">
        <v>-1000</v>
      </c>
    </row>
    <row r="159" spans="1:10" x14ac:dyDescent="0.3">
      <c r="B159" s="130" t="s">
        <v>103</v>
      </c>
      <c r="C159" s="151">
        <v>0.1</v>
      </c>
    </row>
    <row r="160" spans="1:10" x14ac:dyDescent="0.3">
      <c r="B160" s="153"/>
      <c r="C160" s="153"/>
    </row>
    <row r="161" spans="2:9" x14ac:dyDescent="0.3">
      <c r="B161" s="130" t="s">
        <v>356</v>
      </c>
      <c r="C161" s="195"/>
    </row>
    <row r="162" spans="2:9" x14ac:dyDescent="0.3">
      <c r="C162" s="135"/>
    </row>
    <row r="163" spans="2:9" x14ac:dyDescent="0.3">
      <c r="C163" s="135"/>
    </row>
    <row r="165" spans="2:9" x14ac:dyDescent="0.3">
      <c r="B165" s="155" t="s">
        <v>15</v>
      </c>
    </row>
    <row r="167" spans="2:9" x14ac:dyDescent="0.3">
      <c r="C167" s="416"/>
      <c r="D167" s="416"/>
      <c r="E167" s="193" t="s">
        <v>118</v>
      </c>
      <c r="F167" s="416" t="s">
        <v>117</v>
      </c>
      <c r="G167" s="416"/>
      <c r="H167" s="416"/>
      <c r="I167" s="416"/>
    </row>
    <row r="168" spans="2:9" x14ac:dyDescent="0.3">
      <c r="C168" s="421" t="s">
        <v>116</v>
      </c>
      <c r="D168" s="421"/>
      <c r="E168" s="191">
        <v>0</v>
      </c>
      <c r="F168" s="192">
        <v>1</v>
      </c>
      <c r="G168" s="191">
        <v>2</v>
      </c>
      <c r="H168" s="192">
        <v>3</v>
      </c>
      <c r="I168" s="191">
        <v>4</v>
      </c>
    </row>
    <row r="169" spans="2:9" x14ac:dyDescent="0.3">
      <c r="C169" s="415" t="s">
        <v>328</v>
      </c>
      <c r="D169" s="415"/>
      <c r="E169" s="190">
        <v>-1000</v>
      </c>
      <c r="F169" s="190">
        <v>500</v>
      </c>
      <c r="G169" s="190">
        <v>400</v>
      </c>
      <c r="H169" s="190">
        <v>300</v>
      </c>
      <c r="I169" s="190">
        <v>100</v>
      </c>
    </row>
    <row r="170" spans="2:9" x14ac:dyDescent="0.3">
      <c r="C170" s="415" t="s">
        <v>327</v>
      </c>
      <c r="D170" s="415"/>
      <c r="E170" s="190">
        <v>-1000</v>
      </c>
      <c r="F170" s="190">
        <v>100</v>
      </c>
      <c r="G170" s="190">
        <v>300</v>
      </c>
      <c r="H170" s="190">
        <v>400</v>
      </c>
      <c r="I170" s="190">
        <v>675</v>
      </c>
    </row>
    <row r="171" spans="2:9" x14ac:dyDescent="0.3">
      <c r="C171" s="420" t="s">
        <v>355</v>
      </c>
      <c r="D171" s="420"/>
      <c r="E171" s="189">
        <f>E169-E170</f>
        <v>0</v>
      </c>
      <c r="F171" s="189">
        <f>F169-F170</f>
        <v>400</v>
      </c>
      <c r="G171" s="189">
        <f>G169-G170</f>
        <v>100</v>
      </c>
      <c r="H171" s="189">
        <f>H169-H170</f>
        <v>-100</v>
      </c>
      <c r="I171" s="189">
        <f>I169-I170</f>
        <v>-575</v>
      </c>
    </row>
    <row r="173" spans="2:9" x14ac:dyDescent="0.3">
      <c r="B173" s="422" t="s">
        <v>521</v>
      </c>
      <c r="C173" s="424">
        <f>IRR(E171:I171)</f>
        <v>0.11974756210576398</v>
      </c>
    </row>
    <row r="174" spans="2:9" x14ac:dyDescent="0.3">
      <c r="B174" s="423"/>
      <c r="C174" s="424"/>
    </row>
    <row r="177" spans="1:5" x14ac:dyDescent="0.3">
      <c r="A177" s="136">
        <v>5</v>
      </c>
      <c r="B177" s="168" t="s">
        <v>348</v>
      </c>
    </row>
    <row r="178" spans="1:5" x14ac:dyDescent="0.3">
      <c r="B178" s="168" t="s">
        <v>347</v>
      </c>
    </row>
    <row r="179" spans="1:5" x14ac:dyDescent="0.3">
      <c r="B179" s="168" t="s">
        <v>346</v>
      </c>
    </row>
    <row r="180" spans="1:5" x14ac:dyDescent="0.3">
      <c r="B180" s="130" t="s">
        <v>345</v>
      </c>
    </row>
    <row r="181" spans="1:5" x14ac:dyDescent="0.3">
      <c r="B181" s="130" t="s">
        <v>344</v>
      </c>
      <c r="C181" s="153"/>
      <c r="D181" s="153"/>
      <c r="E181" s="153"/>
    </row>
    <row r="182" spans="1:5" x14ac:dyDescent="0.3">
      <c r="B182" s="130" t="s">
        <v>343</v>
      </c>
      <c r="C182" s="167"/>
      <c r="D182" s="153"/>
      <c r="E182" s="153"/>
    </row>
    <row r="183" spans="1:5" x14ac:dyDescent="0.3">
      <c r="B183" s="130" t="s">
        <v>342</v>
      </c>
      <c r="C183" s="167"/>
    </row>
    <row r="184" spans="1:5" x14ac:dyDescent="0.3">
      <c r="C184" s="156"/>
    </row>
    <row r="185" spans="1:5" x14ac:dyDescent="0.3">
      <c r="B185" s="153" t="s">
        <v>354</v>
      </c>
      <c r="C185" s="156"/>
    </row>
    <row r="186" spans="1:5" x14ac:dyDescent="0.3">
      <c r="B186" s="153"/>
      <c r="C186" s="153"/>
    </row>
    <row r="187" spans="1:5" x14ac:dyDescent="0.3">
      <c r="B187" s="155" t="s">
        <v>4</v>
      </c>
      <c r="C187" s="153"/>
    </row>
    <row r="188" spans="1:5" x14ac:dyDescent="0.3">
      <c r="B188" s="130" t="s">
        <v>340</v>
      </c>
      <c r="C188" s="196">
        <v>-1000</v>
      </c>
    </row>
    <row r="189" spans="1:5" x14ac:dyDescent="0.3">
      <c r="B189" s="130" t="s">
        <v>339</v>
      </c>
      <c r="C189" s="196">
        <v>-1000</v>
      </c>
    </row>
    <row r="190" spans="1:5" x14ac:dyDescent="0.3">
      <c r="B190" s="130" t="s">
        <v>103</v>
      </c>
      <c r="C190" s="151">
        <v>0.1</v>
      </c>
    </row>
    <row r="191" spans="1:5" x14ac:dyDescent="0.3">
      <c r="B191" s="153"/>
      <c r="C191" s="153"/>
    </row>
    <row r="192" spans="1:5" x14ac:dyDescent="0.3">
      <c r="B192" s="130" t="s">
        <v>353</v>
      </c>
      <c r="C192" s="195"/>
    </row>
    <row r="195" spans="2:10" x14ac:dyDescent="0.3">
      <c r="D195" s="194"/>
      <c r="E195" s="193" t="s">
        <v>118</v>
      </c>
      <c r="F195" s="416" t="s">
        <v>117</v>
      </c>
      <c r="G195" s="416"/>
      <c r="H195" s="416"/>
      <c r="I195" s="416"/>
    </row>
    <row r="196" spans="2:10" x14ac:dyDescent="0.3">
      <c r="D196" s="193" t="s">
        <v>116</v>
      </c>
      <c r="E196" s="191">
        <v>0</v>
      </c>
      <c r="F196" s="192">
        <v>1</v>
      </c>
      <c r="G196" s="191">
        <v>2</v>
      </c>
      <c r="H196" s="192">
        <v>3</v>
      </c>
      <c r="I196" s="191">
        <v>4</v>
      </c>
    </row>
    <row r="197" spans="2:10" x14ac:dyDescent="0.3">
      <c r="C197" s="415" t="s">
        <v>328</v>
      </c>
      <c r="D197" s="415"/>
      <c r="E197" s="190">
        <v>-1000</v>
      </c>
      <c r="F197" s="190">
        <v>500</v>
      </c>
      <c r="G197" s="190">
        <v>400</v>
      </c>
      <c r="H197" s="190">
        <v>300</v>
      </c>
      <c r="I197" s="190">
        <v>100</v>
      </c>
    </row>
    <row r="198" spans="2:10" x14ac:dyDescent="0.3">
      <c r="C198" s="415" t="s">
        <v>327</v>
      </c>
      <c r="D198" s="415"/>
      <c r="E198" s="190">
        <v>-1000</v>
      </c>
      <c r="F198" s="190">
        <v>100</v>
      </c>
      <c r="G198" s="190">
        <v>300</v>
      </c>
      <c r="H198" s="190">
        <v>400</v>
      </c>
      <c r="I198" s="190">
        <v>675</v>
      </c>
    </row>
    <row r="199" spans="2:10" x14ac:dyDescent="0.3">
      <c r="C199" s="416" t="s">
        <v>335</v>
      </c>
      <c r="D199" s="416"/>
      <c r="E199" s="173"/>
      <c r="F199" s="189">
        <f>F197+E197</f>
        <v>-500</v>
      </c>
      <c r="G199" s="189">
        <f>F199+G197</f>
        <v>-100</v>
      </c>
      <c r="H199" s="189">
        <f>G199+H197</f>
        <v>200</v>
      </c>
      <c r="I199" s="189">
        <f>H199+I197</f>
        <v>300</v>
      </c>
    </row>
    <row r="200" spans="2:10" x14ac:dyDescent="0.3">
      <c r="C200" s="416" t="s">
        <v>334</v>
      </c>
      <c r="D200" s="416"/>
      <c r="E200" s="173"/>
      <c r="F200" s="189">
        <f>F198+E198</f>
        <v>-900</v>
      </c>
      <c r="G200" s="189">
        <f>G198+F200</f>
        <v>-600</v>
      </c>
      <c r="H200" s="189">
        <f>H198+G200</f>
        <v>-200</v>
      </c>
      <c r="I200" s="189">
        <f>I198+H200</f>
        <v>475</v>
      </c>
    </row>
    <row r="202" spans="2:10" x14ac:dyDescent="0.3">
      <c r="B202" s="130" t="s">
        <v>23</v>
      </c>
      <c r="C202" s="130" t="s">
        <v>352</v>
      </c>
      <c r="D202" s="188">
        <v>2</v>
      </c>
      <c r="E202" s="130">
        <f>ABS(G199/H197)</f>
        <v>0.33333333333333331</v>
      </c>
      <c r="F202" s="187">
        <f>D202+E202</f>
        <v>2.3333333333333335</v>
      </c>
      <c r="G202" s="130" t="s">
        <v>6</v>
      </c>
      <c r="I202" s="130">
        <f>E202*365</f>
        <v>121.66666666666666</v>
      </c>
      <c r="J202" s="140" t="s">
        <v>351</v>
      </c>
    </row>
    <row r="203" spans="2:10" x14ac:dyDescent="0.3">
      <c r="C203" s="130" t="s">
        <v>350</v>
      </c>
      <c r="D203" s="130">
        <v>3</v>
      </c>
      <c r="E203" s="130">
        <f>ABS(H200/I198)</f>
        <v>0.29629629629629628</v>
      </c>
      <c r="F203" s="187">
        <f>D203+E203</f>
        <v>3.2962962962962963</v>
      </c>
      <c r="G203" s="130" t="s">
        <v>6</v>
      </c>
      <c r="I203" s="130">
        <f>E203*365</f>
        <v>108.14814814814814</v>
      </c>
      <c r="J203" s="140" t="s">
        <v>349</v>
      </c>
    </row>
    <row r="217" spans="1:5" x14ac:dyDescent="0.3">
      <c r="A217" s="136">
        <v>6</v>
      </c>
      <c r="B217" s="168" t="s">
        <v>348</v>
      </c>
    </row>
    <row r="218" spans="1:5" x14ac:dyDescent="0.3">
      <c r="B218" s="168" t="s">
        <v>347</v>
      </c>
    </row>
    <row r="219" spans="1:5" x14ac:dyDescent="0.3">
      <c r="B219" s="168" t="s">
        <v>346</v>
      </c>
    </row>
    <row r="220" spans="1:5" x14ac:dyDescent="0.3">
      <c r="B220" s="130" t="s">
        <v>345</v>
      </c>
    </row>
    <row r="221" spans="1:5" x14ac:dyDescent="0.3">
      <c r="B221" s="130" t="s">
        <v>344</v>
      </c>
      <c r="C221" s="153"/>
      <c r="D221" s="153"/>
      <c r="E221" s="153"/>
    </row>
    <row r="222" spans="1:5" x14ac:dyDescent="0.3">
      <c r="B222" s="130" t="s">
        <v>343</v>
      </c>
      <c r="C222" s="167"/>
      <c r="D222" s="153"/>
      <c r="E222" s="153"/>
    </row>
    <row r="223" spans="1:5" x14ac:dyDescent="0.3">
      <c r="B223" s="130" t="s">
        <v>342</v>
      </c>
      <c r="C223" s="167"/>
    </row>
    <row r="224" spans="1:5" x14ac:dyDescent="0.3">
      <c r="C224" s="156"/>
    </row>
    <row r="225" spans="2:9" x14ac:dyDescent="0.3">
      <c r="B225" s="153" t="s">
        <v>341</v>
      </c>
      <c r="C225" s="156"/>
    </row>
    <row r="226" spans="2:9" x14ac:dyDescent="0.3">
      <c r="B226" s="153"/>
      <c r="C226" s="153"/>
    </row>
    <row r="227" spans="2:9" x14ac:dyDescent="0.3">
      <c r="B227" s="155" t="s">
        <v>4</v>
      </c>
      <c r="C227" s="153"/>
    </row>
    <row r="228" spans="2:9" x14ac:dyDescent="0.3">
      <c r="B228" s="130" t="s">
        <v>340</v>
      </c>
      <c r="C228" s="196">
        <v>-1000</v>
      </c>
    </row>
    <row r="229" spans="2:9" x14ac:dyDescent="0.3">
      <c r="B229" s="130" t="s">
        <v>339</v>
      </c>
      <c r="C229" s="196">
        <v>-1000</v>
      </c>
    </row>
    <row r="230" spans="2:9" x14ac:dyDescent="0.3">
      <c r="B230" s="130" t="s">
        <v>103</v>
      </c>
      <c r="C230" s="151">
        <v>0.1</v>
      </c>
    </row>
    <row r="231" spans="2:9" x14ac:dyDescent="0.3">
      <c r="B231" s="153"/>
      <c r="C231" s="153"/>
    </row>
    <row r="232" spans="2:9" x14ac:dyDescent="0.3">
      <c r="B232" s="130" t="s">
        <v>338</v>
      </c>
      <c r="C232" s="195"/>
    </row>
    <row r="236" spans="2:9" x14ac:dyDescent="0.3">
      <c r="D236" s="194"/>
      <c r="E236" s="193" t="s">
        <v>118</v>
      </c>
      <c r="F236" s="416" t="s">
        <v>117</v>
      </c>
      <c r="G236" s="416"/>
      <c r="H236" s="416"/>
      <c r="I236" s="416"/>
    </row>
    <row r="237" spans="2:9" x14ac:dyDescent="0.3">
      <c r="D237" s="193" t="s">
        <v>116</v>
      </c>
      <c r="E237" s="191">
        <v>0</v>
      </c>
      <c r="F237" s="192">
        <v>1</v>
      </c>
      <c r="G237" s="191">
        <v>2</v>
      </c>
      <c r="H237" s="192">
        <v>3</v>
      </c>
      <c r="I237" s="191">
        <v>4</v>
      </c>
    </row>
    <row r="238" spans="2:9" x14ac:dyDescent="0.3">
      <c r="C238" s="415" t="s">
        <v>328</v>
      </c>
      <c r="D238" s="415"/>
      <c r="E238" s="190">
        <v>-1000</v>
      </c>
      <c r="F238" s="190">
        <v>500</v>
      </c>
      <c r="G238" s="190">
        <v>400</v>
      </c>
      <c r="H238" s="190">
        <v>300</v>
      </c>
      <c r="I238" s="190">
        <v>100</v>
      </c>
    </row>
    <row r="239" spans="2:9" x14ac:dyDescent="0.3">
      <c r="C239" s="415" t="s">
        <v>327</v>
      </c>
      <c r="D239" s="415"/>
      <c r="E239" s="190">
        <v>-1000</v>
      </c>
      <c r="F239" s="190">
        <v>100</v>
      </c>
      <c r="G239" s="190">
        <v>300</v>
      </c>
      <c r="H239" s="190">
        <v>400</v>
      </c>
      <c r="I239" s="190">
        <v>675</v>
      </c>
    </row>
    <row r="240" spans="2:9" x14ac:dyDescent="0.3">
      <c r="C240" s="417" t="s">
        <v>190</v>
      </c>
      <c r="D240" s="417"/>
      <c r="E240" s="172">
        <f>1/(1+$C$230)^E237</f>
        <v>1</v>
      </c>
      <c r="F240" s="172">
        <f>1/(1+$C$230)^F237</f>
        <v>0.90909090909090906</v>
      </c>
      <c r="G240" s="172">
        <f>1/(1+$C$230)^G237</f>
        <v>0.82644628099173545</v>
      </c>
      <c r="H240" s="172">
        <f>1/(1+$C$230)^H237</f>
        <v>0.75131480090157754</v>
      </c>
      <c r="I240" s="172">
        <f>1/(1+$C$230)^I237</f>
        <v>0.68301345536507052</v>
      </c>
    </row>
    <row r="241" spans="2:10" x14ac:dyDescent="0.3">
      <c r="C241" s="415" t="s">
        <v>337</v>
      </c>
      <c r="D241" s="415"/>
      <c r="E241" s="189">
        <f>E238*E240</f>
        <v>-1000</v>
      </c>
      <c r="F241" s="189">
        <f>F238*F240</f>
        <v>454.5454545454545</v>
      </c>
      <c r="G241" s="189">
        <f>G238*G240</f>
        <v>330.57851239669418</v>
      </c>
      <c r="H241" s="189">
        <f>H238*H240</f>
        <v>225.39444027047327</v>
      </c>
      <c r="I241" s="189">
        <f>I238*I240</f>
        <v>68.301345536507057</v>
      </c>
    </row>
    <row r="242" spans="2:10" x14ac:dyDescent="0.3">
      <c r="C242" s="415" t="s">
        <v>336</v>
      </c>
      <c r="D242" s="415"/>
      <c r="E242" s="189">
        <f>E239*E240</f>
        <v>-1000</v>
      </c>
      <c r="F242" s="189">
        <f>F239*F240</f>
        <v>90.909090909090907</v>
      </c>
      <c r="G242" s="189">
        <f>G239*G240</f>
        <v>247.93388429752065</v>
      </c>
      <c r="H242" s="189">
        <f>H239*H240</f>
        <v>300.52592036063101</v>
      </c>
      <c r="I242" s="189">
        <f>I239*I240</f>
        <v>461.03408237142258</v>
      </c>
    </row>
    <row r="243" spans="2:10" x14ac:dyDescent="0.3">
      <c r="B243" s="130" t="s">
        <v>23</v>
      </c>
      <c r="C243" s="416" t="s">
        <v>335</v>
      </c>
      <c r="D243" s="416"/>
      <c r="E243" s="173"/>
      <c r="F243" s="189">
        <f>F241+E241</f>
        <v>-545.4545454545455</v>
      </c>
      <c r="G243" s="189">
        <f t="shared" ref="G243:I244" si="0">G241+F243</f>
        <v>-214.87603305785132</v>
      </c>
      <c r="H243" s="189">
        <f t="shared" si="0"/>
        <v>10.518407212621952</v>
      </c>
      <c r="I243" s="189">
        <f t="shared" si="0"/>
        <v>78.819752749129009</v>
      </c>
    </row>
    <row r="244" spans="2:10" x14ac:dyDescent="0.3">
      <c r="C244" s="416" t="s">
        <v>334</v>
      </c>
      <c r="D244" s="416"/>
      <c r="E244" s="173"/>
      <c r="F244" s="189">
        <f>F242+E242</f>
        <v>-909.09090909090912</v>
      </c>
      <c r="G244" s="189">
        <f t="shared" si="0"/>
        <v>-661.15702479338847</v>
      </c>
      <c r="H244" s="189">
        <f t="shared" si="0"/>
        <v>-360.63110443275747</v>
      </c>
      <c r="I244" s="189">
        <f t="shared" si="0"/>
        <v>100.40297793866512</v>
      </c>
    </row>
    <row r="247" spans="2:10" x14ac:dyDescent="0.3">
      <c r="C247" s="130" t="s">
        <v>333</v>
      </c>
      <c r="D247" s="188">
        <v>2</v>
      </c>
      <c r="E247" s="130">
        <f>ABS(G243/H241)</f>
        <v>0.95333333333333392</v>
      </c>
      <c r="F247" s="187">
        <f>D247+E247</f>
        <v>2.953333333333334</v>
      </c>
      <c r="G247" s="130" t="s">
        <v>6</v>
      </c>
      <c r="I247" s="130">
        <f>E247*365</f>
        <v>347.96666666666687</v>
      </c>
      <c r="J247" s="140" t="s">
        <v>332</v>
      </c>
    </row>
    <row r="248" spans="2:10" x14ac:dyDescent="0.3">
      <c r="C248" s="130" t="s">
        <v>331</v>
      </c>
      <c r="D248" s="130">
        <v>3</v>
      </c>
      <c r="E248" s="130">
        <f>ABS(H244/I242)</f>
        <v>0.78222222222222271</v>
      </c>
      <c r="F248" s="187">
        <f>D248+E248</f>
        <v>3.7822222222222228</v>
      </c>
      <c r="G248" s="130" t="s">
        <v>6</v>
      </c>
      <c r="I248" s="130">
        <f>E248*365</f>
        <v>285.51111111111129</v>
      </c>
      <c r="J248" s="140" t="s">
        <v>330</v>
      </c>
    </row>
    <row r="256" spans="2:10" x14ac:dyDescent="0.3">
      <c r="D256" s="186" t="s">
        <v>329</v>
      </c>
    </row>
    <row r="257" spans="1:13" x14ac:dyDescent="0.3">
      <c r="D257" s="173"/>
      <c r="E257" s="172" t="s">
        <v>123</v>
      </c>
      <c r="F257" s="172" t="s">
        <v>122</v>
      </c>
      <c r="G257" s="172" t="s">
        <v>121</v>
      </c>
      <c r="H257" s="172" t="s">
        <v>120</v>
      </c>
      <c r="I257" s="172" t="s">
        <v>119</v>
      </c>
    </row>
    <row r="258" spans="1:13" x14ac:dyDescent="0.3">
      <c r="D258" s="173" t="s">
        <v>328</v>
      </c>
      <c r="E258" s="171">
        <f>E47</f>
        <v>78.819752749129009</v>
      </c>
      <c r="F258" s="182">
        <f>C80</f>
        <v>0.14488844278532143</v>
      </c>
      <c r="G258" s="183">
        <f>C124</f>
        <v>0.12106271186727313</v>
      </c>
      <c r="H258" s="185">
        <f>F202</f>
        <v>2.3333333333333335</v>
      </c>
      <c r="I258" s="185">
        <f>F247</f>
        <v>2.953333333333334</v>
      </c>
    </row>
    <row r="259" spans="1:13" x14ac:dyDescent="0.3">
      <c r="D259" s="173" t="s">
        <v>327</v>
      </c>
      <c r="E259" s="184">
        <f>E48</f>
        <v>100.40297793866512</v>
      </c>
      <c r="F259" s="183">
        <f>C81</f>
        <v>0.1354920414684333</v>
      </c>
      <c r="G259" s="182">
        <f>C142</f>
        <v>0.12662821762786636</v>
      </c>
      <c r="H259" s="174">
        <f>F203</f>
        <v>3.2962962962962963</v>
      </c>
      <c r="I259" s="174">
        <f>F248</f>
        <v>3.7822222222222228</v>
      </c>
    </row>
    <row r="262" spans="1:13" x14ac:dyDescent="0.3">
      <c r="A262" s="1"/>
      <c r="B262" s="1"/>
      <c r="C262" s="1"/>
      <c r="D262" s="1"/>
      <c r="E262" s="1"/>
      <c r="F262" s="1"/>
      <c r="G262" s="1"/>
      <c r="H262" s="1"/>
      <c r="I262" s="1"/>
      <c r="J262" s="1"/>
      <c r="K262" s="1"/>
      <c r="L262" s="1"/>
      <c r="M262" s="1"/>
    </row>
    <row r="263" spans="1:13" x14ac:dyDescent="0.3">
      <c r="A263" s="1"/>
      <c r="B263" s="2" t="s">
        <v>98</v>
      </c>
      <c r="C263" s="1"/>
      <c r="D263" s="1"/>
      <c r="E263" s="1"/>
      <c r="F263" s="1"/>
      <c r="G263" s="1"/>
      <c r="H263" s="1"/>
      <c r="I263" s="1"/>
      <c r="J263" s="1"/>
      <c r="K263" s="1"/>
      <c r="L263" s="1"/>
      <c r="M263" s="1"/>
    </row>
    <row r="264" spans="1:13" x14ac:dyDescent="0.3">
      <c r="A264" s="1"/>
      <c r="B264" s="1"/>
      <c r="C264" s="1"/>
      <c r="D264" s="1"/>
      <c r="E264" s="1"/>
      <c r="F264" s="1"/>
      <c r="G264" s="1"/>
      <c r="H264" s="1"/>
      <c r="I264" s="1"/>
      <c r="J264" s="1"/>
      <c r="K264" s="1"/>
      <c r="L264" s="1"/>
      <c r="M264" s="1"/>
    </row>
    <row r="265" spans="1:13" x14ac:dyDescent="0.3">
      <c r="A265" s="1"/>
      <c r="B265" s="1"/>
      <c r="C265" s="1"/>
      <c r="D265" s="1"/>
      <c r="E265" s="1"/>
      <c r="F265" s="1"/>
      <c r="G265" s="1"/>
      <c r="H265" s="1"/>
      <c r="I265" s="1"/>
      <c r="J265" s="1"/>
      <c r="K265" s="1"/>
      <c r="L265" s="1"/>
      <c r="M265" s="1"/>
    </row>
    <row r="266" spans="1:13" x14ac:dyDescent="0.3">
      <c r="A266" s="1"/>
      <c r="B266" s="1"/>
      <c r="C266" s="1"/>
      <c r="D266" s="1"/>
      <c r="E266" s="1"/>
      <c r="F266" s="1"/>
      <c r="G266" s="1"/>
      <c r="H266" s="1"/>
      <c r="I266" s="1"/>
      <c r="J266" s="1"/>
      <c r="K266" s="1"/>
      <c r="L266" s="1"/>
      <c r="M266" s="1"/>
    </row>
    <row r="267" spans="1:13" x14ac:dyDescent="0.3">
      <c r="A267" s="1"/>
      <c r="B267" s="1"/>
      <c r="C267" s="1"/>
      <c r="D267" s="1"/>
      <c r="E267" s="1"/>
      <c r="F267" s="1"/>
      <c r="G267" s="1"/>
      <c r="H267" s="1"/>
      <c r="I267" s="1"/>
      <c r="J267" s="1"/>
      <c r="K267" s="1"/>
      <c r="L267" s="1"/>
      <c r="M267" s="1"/>
    </row>
    <row r="268" spans="1:13" x14ac:dyDescent="0.3">
      <c r="A268" s="1"/>
      <c r="B268" s="2" t="s">
        <v>99</v>
      </c>
      <c r="C268" s="1"/>
      <c r="D268" s="1"/>
      <c r="E268" s="1"/>
      <c r="F268" s="1"/>
      <c r="G268" s="1"/>
      <c r="H268" s="1"/>
      <c r="I268" s="1"/>
      <c r="J268" s="1"/>
      <c r="K268" s="1"/>
      <c r="L268" s="1"/>
      <c r="M268" s="1"/>
    </row>
    <row r="269" spans="1:13" x14ac:dyDescent="0.3">
      <c r="A269" s="1"/>
      <c r="B269" s="2" t="s">
        <v>100</v>
      </c>
      <c r="C269" s="1"/>
      <c r="D269" s="1"/>
      <c r="E269" s="1"/>
      <c r="F269" s="1"/>
      <c r="G269" s="1"/>
      <c r="H269" s="1"/>
      <c r="I269" s="1"/>
      <c r="J269" s="1"/>
      <c r="K269" s="1"/>
      <c r="L269" s="1"/>
      <c r="M269" s="1"/>
    </row>
    <row r="270" spans="1:13" x14ac:dyDescent="0.3">
      <c r="A270" s="1"/>
      <c r="B270" s="2" t="s">
        <v>101</v>
      </c>
      <c r="C270" s="1"/>
      <c r="D270" s="1"/>
      <c r="E270" s="1"/>
      <c r="F270" s="1"/>
      <c r="G270" s="1"/>
      <c r="H270" s="1"/>
      <c r="I270" s="1"/>
      <c r="J270" s="1"/>
      <c r="K270" s="1"/>
      <c r="L270" s="1"/>
      <c r="M270" s="1"/>
    </row>
    <row r="271" spans="1:13" x14ac:dyDescent="0.3">
      <c r="A271" s="1"/>
      <c r="B271" s="2" t="s">
        <v>102</v>
      </c>
      <c r="C271" s="1"/>
      <c r="D271" s="1"/>
      <c r="E271" s="1"/>
      <c r="F271" s="1"/>
      <c r="G271" s="1"/>
      <c r="H271" s="1"/>
      <c r="I271" s="1"/>
      <c r="J271" s="1"/>
      <c r="K271" s="1"/>
      <c r="L271" s="1"/>
      <c r="M271" s="1"/>
    </row>
    <row r="272" spans="1:13" x14ac:dyDescent="0.3">
      <c r="A272" s="1"/>
      <c r="B272" s="1"/>
      <c r="C272" s="1"/>
      <c r="D272" s="1"/>
      <c r="E272" s="1"/>
      <c r="F272" s="1"/>
      <c r="G272" s="1"/>
      <c r="H272" s="1"/>
      <c r="I272" s="1"/>
      <c r="J272" s="1"/>
      <c r="K272" s="1"/>
      <c r="L272" s="1"/>
      <c r="M272" s="1"/>
    </row>
    <row r="273" spans="1:13" x14ac:dyDescent="0.3">
      <c r="A273" s="1"/>
      <c r="B273" s="3" t="s">
        <v>4</v>
      </c>
      <c r="C273" s="1"/>
      <c r="D273" s="1"/>
      <c r="E273" s="1"/>
      <c r="F273" s="1"/>
      <c r="G273" s="1"/>
      <c r="H273" s="1"/>
      <c r="I273" s="1"/>
      <c r="J273" s="1"/>
      <c r="K273" s="1"/>
      <c r="L273" s="1"/>
      <c r="M273" s="1"/>
    </row>
    <row r="274" spans="1:13" x14ac:dyDescent="0.3">
      <c r="A274" s="1"/>
      <c r="B274" s="1" t="s">
        <v>29</v>
      </c>
      <c r="C274" s="1">
        <v>5</v>
      </c>
      <c r="D274" s="1" t="s">
        <v>6</v>
      </c>
      <c r="E274" s="1"/>
      <c r="F274" s="1"/>
      <c r="G274" s="1"/>
      <c r="H274" s="1"/>
      <c r="I274" s="1"/>
      <c r="J274" s="1"/>
      <c r="K274" s="1"/>
      <c r="L274" s="1"/>
      <c r="M274" s="1"/>
    </row>
    <row r="275" spans="1:13" x14ac:dyDescent="0.3">
      <c r="A275" s="1"/>
      <c r="B275" s="1" t="s">
        <v>103</v>
      </c>
      <c r="C275" s="4">
        <v>0.14000000000000001</v>
      </c>
      <c r="D275" s="1"/>
      <c r="E275" s="1"/>
      <c r="F275" s="1"/>
      <c r="G275" s="1"/>
      <c r="H275" s="1"/>
      <c r="I275" s="1"/>
      <c r="J275" s="1"/>
      <c r="K275" s="1"/>
      <c r="L275" s="1"/>
      <c r="M275" s="1"/>
    </row>
    <row r="276" spans="1:13" x14ac:dyDescent="0.3">
      <c r="A276" s="1"/>
      <c r="B276" s="1"/>
      <c r="C276" s="5"/>
      <c r="D276" s="1"/>
      <c r="E276" s="1"/>
      <c r="F276" s="1"/>
      <c r="G276" s="1"/>
      <c r="H276" s="1"/>
      <c r="I276" s="1"/>
      <c r="J276" s="1"/>
      <c r="K276" s="1"/>
      <c r="L276" s="1"/>
      <c r="M276" s="1"/>
    </row>
    <row r="277" spans="1:13" x14ac:dyDescent="0.3">
      <c r="A277" s="1"/>
      <c r="B277" s="3" t="s">
        <v>15</v>
      </c>
      <c r="C277" s="9"/>
      <c r="D277" s="1"/>
      <c r="E277" s="1"/>
      <c r="F277" s="1"/>
      <c r="G277" s="1"/>
      <c r="H277" s="1"/>
      <c r="I277" s="1"/>
      <c r="J277" s="1"/>
      <c r="K277" s="1"/>
      <c r="L277" s="1"/>
      <c r="M277" s="1"/>
    </row>
    <row r="278" spans="1:13" x14ac:dyDescent="0.3">
      <c r="A278" s="1"/>
      <c r="B278" s="1"/>
      <c r="C278" s="1"/>
      <c r="D278" s="1"/>
      <c r="E278" s="1"/>
      <c r="F278" s="1"/>
      <c r="G278" s="1"/>
      <c r="H278" s="1"/>
      <c r="I278" s="1"/>
      <c r="J278" s="1"/>
      <c r="K278" s="1"/>
      <c r="L278" s="1"/>
      <c r="M278" s="1"/>
    </row>
    <row r="279" spans="1:13" x14ac:dyDescent="0.3">
      <c r="A279" s="1"/>
      <c r="B279" s="1"/>
      <c r="C279" s="1"/>
      <c r="D279" s="3" t="s">
        <v>104</v>
      </c>
      <c r="E279" s="1"/>
      <c r="F279" s="1"/>
      <c r="G279" s="1"/>
      <c r="H279" s="1"/>
      <c r="I279" s="1"/>
      <c r="J279" s="1"/>
      <c r="K279" s="1"/>
      <c r="L279" s="1"/>
      <c r="M279" s="1"/>
    </row>
    <row r="280" spans="1:13" x14ac:dyDescent="0.3">
      <c r="A280" s="1"/>
      <c r="B280" s="1"/>
      <c r="C280" s="5"/>
      <c r="D280" s="6" t="s">
        <v>6</v>
      </c>
      <c r="E280" s="65">
        <v>0</v>
      </c>
      <c r="F280" s="65">
        <v>1</v>
      </c>
      <c r="G280" s="65">
        <v>2</v>
      </c>
      <c r="H280" s="65">
        <v>3</v>
      </c>
      <c r="I280" s="65">
        <v>4</v>
      </c>
      <c r="J280" s="65">
        <v>5</v>
      </c>
      <c r="K280" s="1"/>
      <c r="L280" s="1"/>
      <c r="M280" s="1"/>
    </row>
    <row r="281" spans="1:13" x14ac:dyDescent="0.3">
      <c r="A281" s="1"/>
      <c r="B281" s="1"/>
      <c r="C281" s="1"/>
      <c r="D281" s="6" t="s">
        <v>17</v>
      </c>
      <c r="E281" s="17">
        <v>-6000</v>
      </c>
      <c r="F281" s="11">
        <v>2000</v>
      </c>
      <c r="G281" s="11">
        <v>2000</v>
      </c>
      <c r="H281" s="11">
        <v>2000</v>
      </c>
      <c r="I281" s="11">
        <v>2000</v>
      </c>
      <c r="J281" s="11">
        <v>2000</v>
      </c>
      <c r="K281" s="1"/>
      <c r="L281" s="1"/>
      <c r="M281" s="1"/>
    </row>
    <row r="282" spans="1:13" x14ac:dyDescent="0.3">
      <c r="A282" s="1"/>
      <c r="B282" s="1"/>
      <c r="C282" s="1"/>
      <c r="D282" s="6" t="s">
        <v>38</v>
      </c>
      <c r="E282" s="65">
        <v>1</v>
      </c>
      <c r="F282" s="13">
        <v>0.8771929824561403</v>
      </c>
      <c r="G282" s="13">
        <v>0.76946752847029842</v>
      </c>
      <c r="H282" s="13">
        <v>0.67497151620201612</v>
      </c>
      <c r="I282" s="13">
        <v>0.59208027737018942</v>
      </c>
      <c r="J282" s="13">
        <v>0.51936866435981521</v>
      </c>
      <c r="K282" s="1"/>
      <c r="L282" s="1"/>
      <c r="M282" s="1"/>
    </row>
    <row r="283" spans="1:13" x14ac:dyDescent="0.3">
      <c r="A283" s="1"/>
      <c r="B283" s="1"/>
      <c r="C283" s="1"/>
      <c r="D283" s="6" t="s">
        <v>39</v>
      </c>
      <c r="E283" s="11">
        <v>-6000</v>
      </c>
      <c r="F283" s="11">
        <v>1754.3859649122805</v>
      </c>
      <c r="G283" s="11">
        <v>1538.935056940597</v>
      </c>
      <c r="H283" s="11">
        <v>1349.9430324040322</v>
      </c>
      <c r="I283" s="11">
        <v>1184.1605547403788</v>
      </c>
      <c r="J283" s="11">
        <v>1038.7373287196303</v>
      </c>
      <c r="K283" s="1"/>
      <c r="L283" s="1"/>
      <c r="M283" s="1"/>
    </row>
    <row r="284" spans="1:13" x14ac:dyDescent="0.3">
      <c r="A284" s="1"/>
      <c r="B284" s="1"/>
      <c r="C284" s="1"/>
      <c r="D284" s="1"/>
      <c r="E284" s="1"/>
      <c r="F284" s="1"/>
      <c r="G284" s="1"/>
      <c r="H284" s="1"/>
      <c r="I284" s="1"/>
      <c r="J284" s="1"/>
      <c r="K284" s="1"/>
      <c r="L284" s="1"/>
      <c r="M284" s="1"/>
    </row>
    <row r="285" spans="1:13" x14ac:dyDescent="0.3">
      <c r="A285" s="1"/>
      <c r="B285" s="1"/>
      <c r="C285" s="1"/>
      <c r="D285" s="3" t="s">
        <v>105</v>
      </c>
      <c r="E285" s="1"/>
      <c r="F285" s="1"/>
      <c r="G285" s="1"/>
      <c r="H285" s="1"/>
      <c r="I285" s="1"/>
      <c r="J285" s="1"/>
      <c r="K285" s="1"/>
      <c r="L285" s="1"/>
      <c r="M285" s="1"/>
    </row>
    <row r="286" spans="1:13" x14ac:dyDescent="0.3">
      <c r="A286" s="1"/>
      <c r="B286" s="1"/>
      <c r="C286" s="1"/>
      <c r="D286" s="6" t="s">
        <v>6</v>
      </c>
      <c r="E286" s="65">
        <v>0</v>
      </c>
      <c r="F286" s="65">
        <v>1</v>
      </c>
      <c r="G286" s="65">
        <v>2</v>
      </c>
      <c r="H286" s="65">
        <v>3</v>
      </c>
      <c r="I286" s="65">
        <v>4</v>
      </c>
      <c r="J286" s="65">
        <v>5</v>
      </c>
      <c r="K286" s="1"/>
      <c r="L286" s="1"/>
      <c r="M286" s="1"/>
    </row>
    <row r="287" spans="1:13" x14ac:dyDescent="0.3">
      <c r="A287" s="1"/>
      <c r="B287" s="1"/>
      <c r="C287" s="1"/>
      <c r="D287" s="6" t="s">
        <v>17</v>
      </c>
      <c r="E287" s="17">
        <v>-18000</v>
      </c>
      <c r="F287" s="11">
        <v>5600</v>
      </c>
      <c r="G287" s="11">
        <v>5600</v>
      </c>
      <c r="H287" s="11">
        <v>5600</v>
      </c>
      <c r="I287" s="11">
        <v>5600</v>
      </c>
      <c r="J287" s="11">
        <v>5600</v>
      </c>
      <c r="K287" s="1"/>
      <c r="L287" s="1"/>
      <c r="M287" s="1"/>
    </row>
    <row r="288" spans="1:13" x14ac:dyDescent="0.3">
      <c r="A288" s="1"/>
      <c r="B288" s="1"/>
      <c r="C288" s="1"/>
      <c r="D288" s="6" t="s">
        <v>38</v>
      </c>
      <c r="E288" s="65">
        <v>1</v>
      </c>
      <c r="F288" s="13">
        <v>0.8771929824561403</v>
      </c>
      <c r="G288" s="13">
        <v>0.76946752847029842</v>
      </c>
      <c r="H288" s="13">
        <v>0.67497151620201612</v>
      </c>
      <c r="I288" s="13">
        <v>0.59208027737018942</v>
      </c>
      <c r="J288" s="13">
        <v>0.51936866435981521</v>
      </c>
      <c r="K288" s="1"/>
      <c r="L288" s="1"/>
      <c r="M288" s="1"/>
    </row>
    <row r="289" spans="1:13" x14ac:dyDescent="0.3">
      <c r="A289" s="1"/>
      <c r="B289" s="1"/>
      <c r="C289" s="1"/>
      <c r="D289" s="6" t="s">
        <v>39</v>
      </c>
      <c r="E289" s="11">
        <v>-18000</v>
      </c>
      <c r="F289" s="11">
        <v>4912.2807017543855</v>
      </c>
      <c r="G289" s="11">
        <v>4309.0181594336709</v>
      </c>
      <c r="H289" s="11">
        <v>3779.8404907312902</v>
      </c>
      <c r="I289" s="11">
        <v>3315.649553273061</v>
      </c>
      <c r="J289" s="11">
        <v>2908.4645204149651</v>
      </c>
      <c r="K289" s="1"/>
      <c r="L289" s="1"/>
      <c r="M289" s="1"/>
    </row>
    <row r="290" spans="1:13" x14ac:dyDescent="0.3">
      <c r="A290" s="1"/>
      <c r="B290" s="1"/>
      <c r="C290" s="1"/>
      <c r="D290" s="1"/>
      <c r="E290" s="1"/>
      <c r="F290" s="1"/>
      <c r="G290" s="1"/>
      <c r="H290" s="1"/>
      <c r="I290" s="1"/>
      <c r="J290" s="1"/>
      <c r="K290" s="1"/>
      <c r="L290" s="1"/>
      <c r="M290" s="1"/>
    </row>
    <row r="291" spans="1:13" x14ac:dyDescent="0.3">
      <c r="A291" s="1"/>
      <c r="B291" s="1"/>
      <c r="C291" s="1"/>
      <c r="D291" s="1"/>
      <c r="E291" s="1"/>
      <c r="F291" s="1"/>
      <c r="G291" s="1"/>
      <c r="H291" s="1"/>
      <c r="I291" s="1"/>
      <c r="J291" s="1"/>
      <c r="K291" s="1"/>
      <c r="L291" s="1"/>
      <c r="M291" s="1"/>
    </row>
    <row r="292" spans="1:13" x14ac:dyDescent="0.3">
      <c r="A292" s="1"/>
      <c r="B292" s="1" t="s">
        <v>106</v>
      </c>
      <c r="C292" s="5">
        <v>866.16193771691883</v>
      </c>
      <c r="D292" s="1"/>
      <c r="E292" s="1" t="s">
        <v>108</v>
      </c>
      <c r="F292" s="9">
        <v>0.1985770978730661</v>
      </c>
      <c r="G292" s="1"/>
      <c r="H292" s="1" t="s">
        <v>110</v>
      </c>
      <c r="I292" s="9">
        <v>0.17116317849337781</v>
      </c>
      <c r="J292" s="1"/>
      <c r="K292" s="1"/>
      <c r="L292" s="1"/>
      <c r="M292" s="1"/>
    </row>
    <row r="293" spans="1:13" x14ac:dyDescent="0.3">
      <c r="A293" s="1"/>
      <c r="B293" s="1" t="s">
        <v>107</v>
      </c>
      <c r="C293" s="5">
        <v>1225.2534256073741</v>
      </c>
      <c r="D293" s="1"/>
      <c r="E293" s="1" t="s">
        <v>109</v>
      </c>
      <c r="F293" s="9">
        <v>0.16797621421259801</v>
      </c>
      <c r="G293" s="1"/>
      <c r="H293" s="1" t="s">
        <v>111</v>
      </c>
      <c r="I293" s="9">
        <v>0.15511378041697621</v>
      </c>
      <c r="J293" s="1"/>
      <c r="K293" s="1"/>
      <c r="L293" s="1"/>
      <c r="M293" s="1"/>
    </row>
    <row r="294" spans="1:13" x14ac:dyDescent="0.3">
      <c r="A294" s="1"/>
      <c r="B294" s="1"/>
      <c r="C294" s="1"/>
      <c r="D294" s="1"/>
      <c r="E294" s="1"/>
      <c r="F294" s="1"/>
      <c r="G294" s="1"/>
      <c r="H294" s="1"/>
      <c r="I294" s="1"/>
      <c r="J294" s="1"/>
      <c r="K294" s="1"/>
      <c r="L294" s="1"/>
      <c r="M294" s="1"/>
    </row>
    <row r="295" spans="1:13" x14ac:dyDescent="0.3">
      <c r="A295" s="1"/>
      <c r="B295" s="1"/>
      <c r="C295" s="1"/>
      <c r="D295" s="1"/>
      <c r="E295" s="1"/>
      <c r="F295" s="1"/>
      <c r="G295" s="1"/>
      <c r="H295" s="1"/>
      <c r="I295" s="1"/>
      <c r="J295" s="1"/>
      <c r="K295" s="1"/>
      <c r="L295" s="1"/>
      <c r="M295" s="1"/>
    </row>
    <row r="296" spans="1:13" x14ac:dyDescent="0.3">
      <c r="A296" s="1"/>
      <c r="B296" s="1" t="s">
        <v>112</v>
      </c>
      <c r="C296" s="1"/>
      <c r="D296" s="3" t="s">
        <v>104</v>
      </c>
      <c r="E296" s="1"/>
      <c r="F296" s="1"/>
      <c r="G296" s="1"/>
      <c r="H296" s="1"/>
      <c r="I296" s="1"/>
      <c r="J296" s="1"/>
      <c r="K296" s="1"/>
      <c r="L296" s="1"/>
      <c r="M296" s="1"/>
    </row>
    <row r="297" spans="1:13" x14ac:dyDescent="0.3">
      <c r="A297" s="1"/>
      <c r="B297" s="1"/>
      <c r="C297" s="1"/>
      <c r="D297" s="6" t="s">
        <v>6</v>
      </c>
      <c r="E297" s="65">
        <v>0</v>
      </c>
      <c r="F297" s="65">
        <v>1</v>
      </c>
      <c r="G297" s="65">
        <v>2</v>
      </c>
      <c r="H297" s="65">
        <v>3</v>
      </c>
      <c r="I297" s="65">
        <v>4</v>
      </c>
      <c r="J297" s="65">
        <v>5</v>
      </c>
      <c r="K297" s="1"/>
      <c r="L297" s="1"/>
      <c r="M297" s="1"/>
    </row>
    <row r="298" spans="1:13" x14ac:dyDescent="0.3">
      <c r="A298" s="1"/>
      <c r="B298" s="1"/>
      <c r="C298" s="1"/>
      <c r="D298" s="6" t="s">
        <v>17</v>
      </c>
      <c r="E298" s="17">
        <v>-6000</v>
      </c>
      <c r="F298" s="11">
        <v>2000</v>
      </c>
      <c r="G298" s="11">
        <v>2000</v>
      </c>
      <c r="H298" s="11">
        <v>2000</v>
      </c>
      <c r="I298" s="11">
        <v>2000</v>
      </c>
      <c r="J298" s="11">
        <v>2000</v>
      </c>
      <c r="K298" s="1"/>
      <c r="L298" s="1"/>
      <c r="M298" s="1"/>
    </row>
    <row r="299" spans="1:13" x14ac:dyDescent="0.3">
      <c r="A299" s="1"/>
      <c r="B299" s="1"/>
      <c r="C299" s="1"/>
      <c r="D299" s="6" t="s">
        <v>113</v>
      </c>
      <c r="E299" s="7">
        <v>-6000</v>
      </c>
      <c r="F299" s="7">
        <v>-4000</v>
      </c>
      <c r="G299" s="7">
        <v>-2000</v>
      </c>
      <c r="H299" s="11">
        <v>0</v>
      </c>
      <c r="I299" s="7">
        <v>2000</v>
      </c>
      <c r="J299" s="7">
        <v>4000</v>
      </c>
      <c r="K299" s="5"/>
      <c r="L299" s="1"/>
      <c r="M299" s="1"/>
    </row>
    <row r="300" spans="1:13" x14ac:dyDescent="0.3">
      <c r="A300" s="1"/>
      <c r="B300" s="1"/>
      <c r="C300" s="1"/>
      <c r="D300" s="1"/>
      <c r="E300" s="1"/>
      <c r="F300" s="1"/>
      <c r="G300" s="1"/>
      <c r="H300" s="1"/>
      <c r="I300" s="1"/>
      <c r="J300" s="1"/>
      <c r="K300" s="1"/>
      <c r="L300" s="1"/>
      <c r="M300" s="1"/>
    </row>
    <row r="301" spans="1:13" x14ac:dyDescent="0.3">
      <c r="A301" s="1"/>
      <c r="B301" s="1"/>
      <c r="C301" s="1"/>
      <c r="D301" s="1" t="s">
        <v>112</v>
      </c>
      <c r="E301" s="1">
        <v>2</v>
      </c>
      <c r="F301" s="1" t="s">
        <v>6</v>
      </c>
      <c r="G301" s="1"/>
      <c r="H301" s="1"/>
      <c r="I301" s="1"/>
      <c r="J301" s="1"/>
      <c r="K301" s="1"/>
      <c r="L301" s="1"/>
      <c r="M301" s="1"/>
    </row>
    <row r="302" spans="1:13" x14ac:dyDescent="0.3">
      <c r="A302" s="1"/>
      <c r="B302" s="1"/>
      <c r="C302" s="1"/>
      <c r="D302" s="1"/>
      <c r="E302" s="1"/>
      <c r="F302" s="1"/>
      <c r="G302" s="1"/>
      <c r="H302" s="1"/>
      <c r="I302" s="1"/>
      <c r="J302" s="1"/>
      <c r="K302" s="1"/>
      <c r="L302" s="1"/>
      <c r="M302" s="1"/>
    </row>
    <row r="303" spans="1:13" x14ac:dyDescent="0.3">
      <c r="A303" s="1"/>
      <c r="B303" s="1"/>
      <c r="C303" s="1"/>
      <c r="D303" s="3" t="s">
        <v>105</v>
      </c>
      <c r="E303" s="1"/>
      <c r="F303" s="1"/>
      <c r="G303" s="1"/>
      <c r="H303" s="1"/>
      <c r="I303" s="1"/>
      <c r="J303" s="1"/>
      <c r="K303" s="1"/>
      <c r="L303" s="1"/>
      <c r="M303" s="1"/>
    </row>
    <row r="304" spans="1:13" x14ac:dyDescent="0.3">
      <c r="A304" s="1"/>
      <c r="B304" s="1"/>
      <c r="C304" s="1"/>
      <c r="D304" s="6" t="s">
        <v>6</v>
      </c>
      <c r="E304" s="65">
        <v>0</v>
      </c>
      <c r="F304" s="65">
        <v>1</v>
      </c>
      <c r="G304" s="65">
        <v>2</v>
      </c>
      <c r="H304" s="65">
        <v>3</v>
      </c>
      <c r="I304" s="65">
        <v>4</v>
      </c>
      <c r="J304" s="65">
        <v>5</v>
      </c>
      <c r="K304" s="1"/>
      <c r="L304" s="1"/>
      <c r="M304" s="1"/>
    </row>
    <row r="305" spans="1:13" x14ac:dyDescent="0.3">
      <c r="A305" s="1"/>
      <c r="B305" s="1"/>
      <c r="C305" s="1"/>
      <c r="D305" s="6" t="s">
        <v>17</v>
      </c>
      <c r="E305" s="17">
        <v>-18000</v>
      </c>
      <c r="F305" s="11">
        <v>5600</v>
      </c>
      <c r="G305" s="11">
        <v>5600</v>
      </c>
      <c r="H305" s="11">
        <v>5600</v>
      </c>
      <c r="I305" s="11">
        <v>5600</v>
      </c>
      <c r="J305" s="11">
        <v>5600</v>
      </c>
      <c r="K305" s="1"/>
      <c r="L305" s="1"/>
      <c r="M305" s="1"/>
    </row>
    <row r="306" spans="1:13" x14ac:dyDescent="0.3">
      <c r="A306" s="1"/>
      <c r="B306" s="1"/>
      <c r="C306" s="1"/>
      <c r="D306" s="6" t="s">
        <v>113</v>
      </c>
      <c r="E306" s="7">
        <v>-18000</v>
      </c>
      <c r="F306" s="7">
        <v>-12400</v>
      </c>
      <c r="G306" s="7">
        <v>-6800</v>
      </c>
      <c r="H306" s="11">
        <v>-1200</v>
      </c>
      <c r="I306" s="7">
        <v>4400</v>
      </c>
      <c r="J306" s="7">
        <v>10000</v>
      </c>
      <c r="K306" s="1"/>
      <c r="L306" s="1"/>
      <c r="M306" s="1"/>
    </row>
    <row r="307" spans="1:13" x14ac:dyDescent="0.3">
      <c r="A307" s="1"/>
      <c r="B307" s="1"/>
      <c r="C307" s="1"/>
      <c r="D307" s="1"/>
      <c r="E307" s="1"/>
      <c r="F307" s="1"/>
      <c r="G307" s="1"/>
      <c r="H307" s="1"/>
      <c r="I307" s="1"/>
      <c r="J307" s="1"/>
      <c r="K307" s="1"/>
      <c r="L307" s="1"/>
      <c r="M307" s="1"/>
    </row>
    <row r="308" spans="1:13" x14ac:dyDescent="0.3">
      <c r="A308" s="1"/>
      <c r="B308" s="1"/>
      <c r="C308" s="1"/>
      <c r="D308" s="1" t="s">
        <v>112</v>
      </c>
      <c r="E308" s="1">
        <v>3</v>
      </c>
      <c r="F308" s="1" t="s">
        <v>6</v>
      </c>
      <c r="G308" s="1">
        <v>0.21428571428571427</v>
      </c>
      <c r="H308" s="1">
        <v>3.2142857142857144</v>
      </c>
      <c r="I308" s="1" t="s">
        <v>6</v>
      </c>
      <c r="J308" s="1"/>
      <c r="K308" s="1"/>
      <c r="L308" s="1"/>
      <c r="M308" s="1"/>
    </row>
    <row r="309" spans="1:13" x14ac:dyDescent="0.3">
      <c r="A309" s="1"/>
      <c r="B309" s="1"/>
      <c r="C309" s="1"/>
      <c r="D309" s="1"/>
      <c r="E309" s="1"/>
      <c r="F309" s="1"/>
      <c r="G309" s="1"/>
      <c r="H309" s="1"/>
      <c r="I309" s="1"/>
      <c r="J309" s="1"/>
      <c r="K309" s="1"/>
      <c r="L309" s="1"/>
      <c r="M309" s="1"/>
    </row>
    <row r="310" spans="1:13" x14ac:dyDescent="0.3">
      <c r="A310" s="1"/>
      <c r="B310" s="1"/>
      <c r="C310" s="1"/>
      <c r="D310" s="1" t="s">
        <v>112</v>
      </c>
      <c r="E310" s="1">
        <v>3</v>
      </c>
      <c r="F310" s="1" t="s">
        <v>6</v>
      </c>
      <c r="G310" s="1">
        <v>79</v>
      </c>
      <c r="H310" s="1" t="s">
        <v>114</v>
      </c>
      <c r="I310" s="1"/>
      <c r="J310" s="1"/>
      <c r="K310" s="1"/>
      <c r="L310" s="1"/>
      <c r="M310" s="1"/>
    </row>
    <row r="311" spans="1:13" x14ac:dyDescent="0.3">
      <c r="A311" s="1"/>
      <c r="B311" s="1"/>
      <c r="C311" s="1"/>
      <c r="D311" s="1"/>
      <c r="E311" s="1"/>
      <c r="F311" s="1"/>
      <c r="G311" s="1"/>
      <c r="H311" s="1"/>
      <c r="I311" s="1"/>
      <c r="J311" s="1"/>
      <c r="K311" s="1"/>
      <c r="L311" s="1"/>
      <c r="M311" s="1"/>
    </row>
    <row r="312" spans="1:13" x14ac:dyDescent="0.3">
      <c r="A312" s="1"/>
      <c r="B312" s="1"/>
      <c r="C312" s="1"/>
      <c r="D312" s="1"/>
      <c r="E312" s="1"/>
      <c r="F312" s="1"/>
      <c r="G312" s="1"/>
      <c r="H312" s="1"/>
      <c r="I312" s="1"/>
      <c r="J312" s="1"/>
      <c r="K312" s="1"/>
      <c r="L312" s="1"/>
      <c r="M312" s="1"/>
    </row>
    <row r="313" spans="1:13" x14ac:dyDescent="0.3">
      <c r="A313" s="1"/>
      <c r="B313" s="1"/>
      <c r="C313" s="1"/>
      <c r="D313" s="1"/>
      <c r="E313" s="1"/>
      <c r="F313" s="1"/>
      <c r="G313" s="1"/>
      <c r="H313" s="1"/>
      <c r="I313" s="1"/>
      <c r="J313" s="1"/>
      <c r="K313" s="1"/>
      <c r="L313" s="1"/>
      <c r="M313" s="1"/>
    </row>
    <row r="314" spans="1:13" x14ac:dyDescent="0.3">
      <c r="A314" s="1"/>
      <c r="B314" s="1" t="s">
        <v>115</v>
      </c>
      <c r="C314" s="1"/>
      <c r="D314" s="3" t="s">
        <v>104</v>
      </c>
      <c r="E314" s="1"/>
      <c r="F314" s="1"/>
      <c r="G314" s="1"/>
      <c r="H314" s="1"/>
      <c r="I314" s="1"/>
      <c r="J314" s="1"/>
      <c r="K314" s="1"/>
      <c r="L314" s="1"/>
      <c r="M314" s="1"/>
    </row>
    <row r="315" spans="1:13" x14ac:dyDescent="0.3">
      <c r="A315" s="1"/>
      <c r="B315" s="1"/>
      <c r="C315" s="1"/>
      <c r="D315" s="6" t="s">
        <v>6</v>
      </c>
      <c r="E315" s="65">
        <v>0</v>
      </c>
      <c r="F315" s="65">
        <v>1</v>
      </c>
      <c r="G315" s="65">
        <v>2</v>
      </c>
      <c r="H315" s="65">
        <v>3</v>
      </c>
      <c r="I315" s="65">
        <v>4</v>
      </c>
      <c r="J315" s="65">
        <v>5</v>
      </c>
      <c r="K315" s="1"/>
      <c r="L315" s="1"/>
      <c r="M315" s="1"/>
    </row>
    <row r="316" spans="1:13" x14ac:dyDescent="0.3">
      <c r="A316" s="1"/>
      <c r="B316" s="1"/>
      <c r="C316" s="1"/>
      <c r="D316" s="6" t="s">
        <v>17</v>
      </c>
      <c r="E316" s="17">
        <v>-6000</v>
      </c>
      <c r="F316" s="11">
        <v>2000</v>
      </c>
      <c r="G316" s="11">
        <v>2000</v>
      </c>
      <c r="H316" s="11">
        <v>2000</v>
      </c>
      <c r="I316" s="11">
        <v>2000</v>
      </c>
      <c r="J316" s="11">
        <v>2000</v>
      </c>
      <c r="K316" s="1"/>
      <c r="L316" s="1"/>
      <c r="M316" s="1"/>
    </row>
    <row r="317" spans="1:13" x14ac:dyDescent="0.3">
      <c r="A317" s="1"/>
      <c r="B317" s="1"/>
      <c r="C317" s="1"/>
      <c r="D317" s="6" t="s">
        <v>38</v>
      </c>
      <c r="E317" s="65">
        <v>1</v>
      </c>
      <c r="F317" s="13">
        <v>0.8771929824561403</v>
      </c>
      <c r="G317" s="13">
        <v>0.76946752847029842</v>
      </c>
      <c r="H317" s="13">
        <v>0.67497151620201612</v>
      </c>
      <c r="I317" s="13">
        <v>0.59208027737018942</v>
      </c>
      <c r="J317" s="13">
        <v>0.51936866435981521</v>
      </c>
      <c r="K317" s="1"/>
      <c r="L317" s="1"/>
      <c r="M317" s="1"/>
    </row>
    <row r="318" spans="1:13" x14ac:dyDescent="0.3">
      <c r="A318" s="1"/>
      <c r="B318" s="1"/>
      <c r="C318" s="1"/>
      <c r="D318" s="6" t="s">
        <v>39</v>
      </c>
      <c r="E318" s="11">
        <v>-6000</v>
      </c>
      <c r="F318" s="11">
        <v>1754.3859649122805</v>
      </c>
      <c r="G318" s="11">
        <v>1538.935056940597</v>
      </c>
      <c r="H318" s="11">
        <v>1349.9430324040322</v>
      </c>
      <c r="I318" s="11">
        <v>1184.1605547403788</v>
      </c>
      <c r="J318" s="11">
        <v>1038.7373287196303</v>
      </c>
      <c r="K318" s="1"/>
      <c r="L318" s="1"/>
      <c r="M318" s="1"/>
    </row>
    <row r="319" spans="1:13" x14ac:dyDescent="0.3">
      <c r="A319" s="1"/>
      <c r="B319" s="1"/>
      <c r="C319" s="1"/>
      <c r="D319" s="6" t="s">
        <v>113</v>
      </c>
      <c r="E319" s="11">
        <v>-6000</v>
      </c>
      <c r="F319" s="11">
        <v>-4245.6140350877195</v>
      </c>
      <c r="G319" s="11">
        <v>-2706.6789781471225</v>
      </c>
      <c r="H319" s="11">
        <v>-1356.7359457430903</v>
      </c>
      <c r="I319" s="11">
        <v>-172.57539100271151</v>
      </c>
      <c r="J319" s="11">
        <v>866.16193771691883</v>
      </c>
      <c r="K319" s="1"/>
      <c r="L319" s="1"/>
      <c r="M319" s="1"/>
    </row>
    <row r="320" spans="1:13" x14ac:dyDescent="0.3">
      <c r="A320" s="1"/>
      <c r="B320" s="1"/>
      <c r="C320" s="1"/>
      <c r="D320" s="1"/>
      <c r="E320" s="1"/>
      <c r="F320" s="1"/>
      <c r="G320" s="1"/>
      <c r="H320" s="1"/>
      <c r="I320" s="1"/>
      <c r="J320" s="1"/>
      <c r="K320" s="1"/>
      <c r="L320" s="1"/>
      <c r="M320" s="1"/>
    </row>
    <row r="321" spans="1:13" x14ac:dyDescent="0.3">
      <c r="A321" s="1"/>
      <c r="B321" s="1"/>
      <c r="C321" s="1"/>
      <c r="D321" s="1" t="s">
        <v>115</v>
      </c>
      <c r="E321" s="1">
        <v>4</v>
      </c>
      <c r="F321" s="1" t="s">
        <v>6</v>
      </c>
      <c r="G321" s="1">
        <v>0.16613958720000138</v>
      </c>
      <c r="H321" s="1">
        <v>4.1661395872000018</v>
      </c>
      <c r="I321" s="1" t="s">
        <v>6</v>
      </c>
      <c r="J321" s="1"/>
      <c r="K321" s="1"/>
      <c r="L321" s="1"/>
      <c r="M321" s="1"/>
    </row>
    <row r="322" spans="1:13" x14ac:dyDescent="0.3">
      <c r="A322" s="1"/>
      <c r="B322" s="1"/>
      <c r="C322" s="1"/>
      <c r="D322" s="1"/>
      <c r="E322" s="1"/>
      <c r="F322" s="1"/>
      <c r="G322" s="1"/>
      <c r="H322" s="1"/>
      <c r="I322" s="1"/>
      <c r="J322" s="1"/>
      <c r="K322" s="1"/>
      <c r="L322" s="1"/>
      <c r="M322" s="1"/>
    </row>
    <row r="323" spans="1:13" x14ac:dyDescent="0.3">
      <c r="A323" s="1"/>
      <c r="B323" s="1"/>
      <c r="C323" s="1"/>
      <c r="D323" s="1" t="s">
        <v>115</v>
      </c>
      <c r="E323" s="1">
        <v>4</v>
      </c>
      <c r="F323" s="1" t="s">
        <v>6</v>
      </c>
      <c r="G323" s="1">
        <v>61</v>
      </c>
      <c r="H323" s="1" t="s">
        <v>114</v>
      </c>
      <c r="I323" s="1"/>
      <c r="J323" s="1"/>
      <c r="K323" s="1"/>
      <c r="L323" s="1"/>
      <c r="M323" s="1"/>
    </row>
    <row r="324" spans="1:13" x14ac:dyDescent="0.3">
      <c r="A324" s="1"/>
      <c r="B324" s="1"/>
      <c r="C324" s="1"/>
      <c r="D324" s="1"/>
      <c r="E324" s="1"/>
      <c r="F324" s="1"/>
      <c r="G324" s="1"/>
      <c r="H324" s="1"/>
      <c r="I324" s="1"/>
      <c r="J324" s="1"/>
      <c r="K324" s="1"/>
      <c r="L324" s="1"/>
      <c r="M324" s="1"/>
    </row>
    <row r="325" spans="1:13" x14ac:dyDescent="0.3">
      <c r="A325" s="1"/>
      <c r="B325" s="1"/>
      <c r="C325" s="1"/>
      <c r="D325" s="1"/>
      <c r="E325" s="1"/>
      <c r="F325" s="1"/>
      <c r="G325" s="1"/>
      <c r="H325" s="1"/>
      <c r="I325" s="1"/>
      <c r="J325" s="1"/>
      <c r="K325" s="1"/>
      <c r="L325" s="1"/>
      <c r="M325" s="1"/>
    </row>
    <row r="326" spans="1:13" x14ac:dyDescent="0.3">
      <c r="A326" s="1"/>
      <c r="B326" s="1"/>
      <c r="C326" s="1"/>
      <c r="D326" s="3" t="s">
        <v>105</v>
      </c>
      <c r="E326" s="1"/>
      <c r="F326" s="1"/>
      <c r="G326" s="1"/>
      <c r="H326" s="1"/>
      <c r="I326" s="1"/>
      <c r="J326" s="1"/>
      <c r="K326" s="1"/>
      <c r="L326" s="1"/>
      <c r="M326" s="1"/>
    </row>
    <row r="327" spans="1:13" x14ac:dyDescent="0.3">
      <c r="A327" s="1"/>
      <c r="B327" s="1"/>
      <c r="C327" s="1"/>
      <c r="D327" s="6" t="s">
        <v>6</v>
      </c>
      <c r="E327" s="65">
        <v>0</v>
      </c>
      <c r="F327" s="65">
        <v>1</v>
      </c>
      <c r="G327" s="65">
        <v>2</v>
      </c>
      <c r="H327" s="65">
        <v>3</v>
      </c>
      <c r="I327" s="65">
        <v>4</v>
      </c>
      <c r="J327" s="65">
        <v>5</v>
      </c>
      <c r="K327" s="1"/>
      <c r="L327" s="1"/>
      <c r="M327" s="1"/>
    </row>
    <row r="328" spans="1:13" x14ac:dyDescent="0.3">
      <c r="A328" s="1"/>
      <c r="B328" s="1"/>
      <c r="C328" s="1"/>
      <c r="D328" s="6" t="s">
        <v>17</v>
      </c>
      <c r="E328" s="17">
        <v>-18000</v>
      </c>
      <c r="F328" s="11">
        <v>5600</v>
      </c>
      <c r="G328" s="11">
        <v>5600</v>
      </c>
      <c r="H328" s="11">
        <v>5600</v>
      </c>
      <c r="I328" s="11">
        <v>5600</v>
      </c>
      <c r="J328" s="11">
        <v>5600</v>
      </c>
      <c r="K328" s="1"/>
      <c r="L328" s="1"/>
      <c r="M328" s="1"/>
    </row>
    <row r="329" spans="1:13" x14ac:dyDescent="0.3">
      <c r="A329" s="1"/>
      <c r="B329" s="1"/>
      <c r="C329" s="1"/>
      <c r="D329" s="6" t="s">
        <v>38</v>
      </c>
      <c r="E329" s="65">
        <v>1</v>
      </c>
      <c r="F329" s="13">
        <v>0.8771929824561403</v>
      </c>
      <c r="G329" s="13">
        <v>0.76946752847029842</v>
      </c>
      <c r="H329" s="13">
        <v>0.67497151620201612</v>
      </c>
      <c r="I329" s="13">
        <v>0.59208027737018942</v>
      </c>
      <c r="J329" s="13">
        <v>0.51936866435981521</v>
      </c>
      <c r="K329" s="1"/>
      <c r="L329" s="1"/>
      <c r="M329" s="1"/>
    </row>
    <row r="330" spans="1:13" x14ac:dyDescent="0.3">
      <c r="A330" s="1"/>
      <c r="B330" s="1"/>
      <c r="C330" s="1"/>
      <c r="D330" s="6" t="s">
        <v>39</v>
      </c>
      <c r="E330" s="11">
        <v>-18000</v>
      </c>
      <c r="F330" s="11">
        <v>4912.2807017543855</v>
      </c>
      <c r="G330" s="11">
        <v>4309.0181594336709</v>
      </c>
      <c r="H330" s="11">
        <v>3779.8404907312902</v>
      </c>
      <c r="I330" s="11">
        <v>3315.649553273061</v>
      </c>
      <c r="J330" s="11">
        <v>2908.4645204149651</v>
      </c>
      <c r="K330" s="1"/>
      <c r="L330" s="1"/>
      <c r="M330" s="1"/>
    </row>
    <row r="331" spans="1:13" x14ac:dyDescent="0.3">
      <c r="A331" s="1"/>
      <c r="B331" s="1"/>
      <c r="C331" s="1"/>
      <c r="D331" s="6" t="s">
        <v>113</v>
      </c>
      <c r="E331" s="11">
        <v>-18000</v>
      </c>
      <c r="F331" s="11">
        <v>-13087.719298245614</v>
      </c>
      <c r="G331" s="11">
        <v>-8778.7011388119427</v>
      </c>
      <c r="H331" s="11">
        <v>-4998.860648080652</v>
      </c>
      <c r="I331" s="11">
        <v>-1683.2110948075911</v>
      </c>
      <c r="J331" s="11">
        <v>1225.2534256073741</v>
      </c>
      <c r="K331" s="1"/>
      <c r="L331" s="1"/>
      <c r="M331" s="1"/>
    </row>
    <row r="332" spans="1:13" x14ac:dyDescent="0.3">
      <c r="A332" s="1"/>
      <c r="B332" s="1"/>
      <c r="C332" s="1"/>
      <c r="D332" s="1"/>
      <c r="E332" s="1"/>
      <c r="F332" s="1"/>
      <c r="G332" s="1"/>
      <c r="H332" s="1"/>
      <c r="I332" s="1"/>
      <c r="J332" s="1"/>
      <c r="K332" s="1"/>
      <c r="L332" s="1"/>
      <c r="M332" s="1"/>
    </row>
    <row r="333" spans="1:13" x14ac:dyDescent="0.3">
      <c r="A333" s="1"/>
      <c r="B333" s="1"/>
      <c r="C333" s="1"/>
      <c r="D333" s="1" t="s">
        <v>115</v>
      </c>
      <c r="E333" s="1">
        <v>4</v>
      </c>
      <c r="F333" s="1" t="s">
        <v>6</v>
      </c>
      <c r="G333" s="1">
        <v>0.57872842628571552</v>
      </c>
      <c r="H333" s="1">
        <v>4.578728426285716</v>
      </c>
      <c r="I333" s="1" t="s">
        <v>6</v>
      </c>
      <c r="J333" s="1"/>
      <c r="K333" s="1"/>
      <c r="L333" s="1"/>
      <c r="M333" s="1"/>
    </row>
    <row r="334" spans="1:13" x14ac:dyDescent="0.3">
      <c r="A334" s="1"/>
      <c r="B334" s="1"/>
      <c r="C334" s="1"/>
      <c r="D334" s="1"/>
      <c r="E334" s="1"/>
      <c r="F334" s="1"/>
      <c r="G334" s="1"/>
      <c r="H334" s="1"/>
      <c r="I334" s="1"/>
      <c r="J334" s="1"/>
      <c r="K334" s="1"/>
      <c r="L334" s="1"/>
      <c r="M334" s="1"/>
    </row>
    <row r="335" spans="1:13" x14ac:dyDescent="0.3">
      <c r="A335" s="1"/>
      <c r="B335" s="1"/>
      <c r="C335" s="1"/>
      <c r="D335" s="1" t="s">
        <v>115</v>
      </c>
      <c r="E335" s="1">
        <v>4</v>
      </c>
      <c r="F335" s="1" t="s">
        <v>6</v>
      </c>
      <c r="G335" s="1">
        <v>212</v>
      </c>
      <c r="H335" s="1" t="s">
        <v>114</v>
      </c>
      <c r="I335" s="1"/>
      <c r="J335" s="1"/>
      <c r="K335" s="1"/>
      <c r="L335" s="1"/>
      <c r="M335" s="1"/>
    </row>
    <row r="336" spans="1:13" x14ac:dyDescent="0.3">
      <c r="A336" s="1"/>
      <c r="B336" s="1"/>
      <c r="C336" s="1"/>
      <c r="D336" s="1"/>
      <c r="E336" s="1"/>
      <c r="F336" s="1"/>
      <c r="G336" s="1"/>
      <c r="H336" s="1"/>
      <c r="I336" s="1"/>
      <c r="J336" s="1"/>
      <c r="K336" s="1"/>
      <c r="L336" s="1"/>
      <c r="M336" s="1"/>
    </row>
    <row r="337" spans="1:13" x14ac:dyDescent="0.3">
      <c r="A337" s="1"/>
      <c r="B337" s="1"/>
      <c r="C337" s="1"/>
      <c r="D337" s="1"/>
      <c r="E337" s="1"/>
      <c r="F337" s="1"/>
      <c r="G337" s="1"/>
      <c r="H337" s="1"/>
      <c r="I337" s="1"/>
      <c r="J337" s="1"/>
      <c r="K337" s="1"/>
      <c r="L337" s="1"/>
      <c r="M337" s="1"/>
    </row>
    <row r="338" spans="1:13" x14ac:dyDescent="0.3">
      <c r="A338" s="1"/>
      <c r="B338" s="1" t="s">
        <v>129</v>
      </c>
      <c r="C338" s="1"/>
      <c r="D338" s="3" t="s">
        <v>104</v>
      </c>
      <c r="E338" s="1"/>
      <c r="F338" s="1"/>
      <c r="G338" s="1"/>
      <c r="H338" s="1"/>
      <c r="I338" s="1"/>
      <c r="J338" s="1"/>
      <c r="K338" s="1"/>
      <c r="L338" s="1"/>
      <c r="M338" s="1"/>
    </row>
    <row r="339" spans="1:13" x14ac:dyDescent="0.3">
      <c r="A339" s="1"/>
      <c r="B339" s="1"/>
      <c r="C339" s="1"/>
      <c r="D339" s="6" t="s">
        <v>6</v>
      </c>
      <c r="E339" s="65">
        <v>0</v>
      </c>
      <c r="F339" s="65">
        <v>1</v>
      </c>
      <c r="G339" s="65">
        <v>2</v>
      </c>
      <c r="H339" s="65">
        <v>3</v>
      </c>
      <c r="I339" s="65">
        <v>4</v>
      </c>
      <c r="J339" s="65">
        <v>5</v>
      </c>
      <c r="K339" s="1"/>
      <c r="L339" s="1"/>
      <c r="M339" s="1"/>
    </row>
    <row r="340" spans="1:13" x14ac:dyDescent="0.3">
      <c r="A340" s="1"/>
      <c r="B340" s="1"/>
      <c r="C340" s="1"/>
      <c r="D340" s="6" t="s">
        <v>130</v>
      </c>
      <c r="E340" s="17">
        <v>-6000</v>
      </c>
      <c r="F340" s="11">
        <v>2000</v>
      </c>
      <c r="G340" s="11">
        <v>2000</v>
      </c>
      <c r="H340" s="11">
        <v>2000</v>
      </c>
      <c r="I340" s="11">
        <v>2000</v>
      </c>
      <c r="J340" s="11">
        <v>2000</v>
      </c>
      <c r="K340" s="1"/>
      <c r="L340" s="1"/>
      <c r="M340" s="1"/>
    </row>
    <row r="341" spans="1:13" x14ac:dyDescent="0.3">
      <c r="A341" s="1"/>
      <c r="B341" s="1"/>
      <c r="C341" s="1"/>
      <c r="D341" s="6" t="s">
        <v>131</v>
      </c>
      <c r="E341" s="17">
        <v>-18000</v>
      </c>
      <c r="F341" s="11">
        <v>5600</v>
      </c>
      <c r="G341" s="11">
        <v>5600</v>
      </c>
      <c r="H341" s="11">
        <v>5600</v>
      </c>
      <c r="I341" s="11">
        <v>5600</v>
      </c>
      <c r="J341" s="11">
        <v>5600</v>
      </c>
      <c r="K341" s="1"/>
      <c r="L341" s="1"/>
      <c r="M341" s="1"/>
    </row>
    <row r="342" spans="1:13" x14ac:dyDescent="0.3">
      <c r="A342" s="1"/>
      <c r="B342" s="1"/>
      <c r="C342" s="1"/>
      <c r="D342" s="1" t="s">
        <v>132</v>
      </c>
      <c r="E342" s="5">
        <v>12000</v>
      </c>
      <c r="F342" s="5">
        <v>-3600</v>
      </c>
      <c r="G342" s="5">
        <v>-3600</v>
      </c>
      <c r="H342" s="5">
        <v>-3600</v>
      </c>
      <c r="I342" s="5">
        <v>-3600</v>
      </c>
      <c r="J342" s="5">
        <v>-3600</v>
      </c>
      <c r="K342" s="1"/>
      <c r="L342" s="1"/>
      <c r="M342" s="1"/>
    </row>
    <row r="343" spans="1:13" x14ac:dyDescent="0.3">
      <c r="A343" s="1"/>
      <c r="B343" s="1"/>
      <c r="C343" s="1"/>
      <c r="D343" s="1" t="s">
        <v>133</v>
      </c>
      <c r="E343" s="4">
        <v>0.1523823711663066</v>
      </c>
      <c r="F343" s="1"/>
      <c r="G343" s="1"/>
      <c r="H343" s="1"/>
      <c r="I343" s="1"/>
      <c r="J343" s="1"/>
      <c r="K343" s="1"/>
      <c r="L343" s="1"/>
      <c r="M343" s="1"/>
    </row>
    <row r="344" spans="1:13" x14ac:dyDescent="0.3">
      <c r="A344" s="1"/>
      <c r="B344" s="1"/>
      <c r="C344" s="1"/>
      <c r="D344" s="1"/>
      <c r="E344" s="1"/>
      <c r="F344" s="1"/>
      <c r="G344" s="1"/>
      <c r="H344" s="1"/>
      <c r="I344" s="1"/>
      <c r="J344" s="1"/>
      <c r="K344" s="1"/>
      <c r="L344" s="1"/>
      <c r="M344" s="1"/>
    </row>
    <row r="345" spans="1:13" x14ac:dyDescent="0.3">
      <c r="A345" s="1"/>
      <c r="B345" s="1"/>
      <c r="C345" s="1"/>
      <c r="D345" s="1"/>
      <c r="E345" s="1"/>
      <c r="F345" s="1"/>
      <c r="G345" s="1"/>
      <c r="H345" s="1"/>
      <c r="I345" s="1"/>
      <c r="J345" s="1"/>
      <c r="K345" s="1"/>
      <c r="L345" s="1"/>
      <c r="M345" s="1"/>
    </row>
  </sheetData>
  <mergeCells count="28">
    <mergeCell ref="B173:B174"/>
    <mergeCell ref="C173:C174"/>
    <mergeCell ref="C197:D197"/>
    <mergeCell ref="C198:D198"/>
    <mergeCell ref="C199:D199"/>
    <mergeCell ref="C200:D200"/>
    <mergeCell ref="F22:I22"/>
    <mergeCell ref="C171:D171"/>
    <mergeCell ref="C169:D169"/>
    <mergeCell ref="C170:D170"/>
    <mergeCell ref="C168:D168"/>
    <mergeCell ref="C167:D167"/>
    <mergeCell ref="J22:J23"/>
    <mergeCell ref="F36:I36"/>
    <mergeCell ref="F75:I75"/>
    <mergeCell ref="F111:I111"/>
    <mergeCell ref="F236:I236"/>
    <mergeCell ref="F117:I117"/>
    <mergeCell ref="F134:I134"/>
    <mergeCell ref="F167:I167"/>
    <mergeCell ref="F195:I195"/>
    <mergeCell ref="C238:D238"/>
    <mergeCell ref="C239:D239"/>
    <mergeCell ref="C244:D244"/>
    <mergeCell ref="C240:D240"/>
    <mergeCell ref="C241:D241"/>
    <mergeCell ref="C242:D242"/>
    <mergeCell ref="C243:D24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11" workbookViewId="0">
      <selection activeCell="B23" sqref="B23"/>
    </sheetView>
  </sheetViews>
  <sheetFormatPr defaultRowHeight="18.75" x14ac:dyDescent="0.3"/>
  <cols>
    <col min="1" max="1" width="71.5703125" style="1" bestFit="1" customWidth="1"/>
    <col min="2" max="2" width="13.140625" style="1" customWidth="1"/>
    <col min="3" max="3" width="10.5703125" style="1" bestFit="1" customWidth="1"/>
    <col min="4" max="4" width="11.85546875" style="1" customWidth="1"/>
    <col min="5" max="5" width="10.5703125" style="1" bestFit="1" customWidth="1"/>
    <col min="6" max="6" width="11.28515625" style="1" customWidth="1"/>
    <col min="7" max="9" width="10.5703125" style="1" bestFit="1" customWidth="1"/>
    <col min="10" max="16384" width="9.140625" style="1"/>
  </cols>
  <sheetData>
    <row r="1" spans="1:9" x14ac:dyDescent="0.3">
      <c r="A1" s="1" t="s">
        <v>560</v>
      </c>
    </row>
    <row r="2" spans="1:9" x14ac:dyDescent="0.3">
      <c r="A2" s="1" t="s">
        <v>559</v>
      </c>
      <c r="B2" s="4">
        <v>0.2</v>
      </c>
      <c r="C2" s="1" t="s">
        <v>557</v>
      </c>
    </row>
    <row r="3" spans="1:9" x14ac:dyDescent="0.3">
      <c r="A3" s="1" t="s">
        <v>558</v>
      </c>
      <c r="B3" s="4">
        <v>0.7</v>
      </c>
      <c r="C3" s="1" t="s">
        <v>557</v>
      </c>
    </row>
    <row r="4" spans="1:9" x14ac:dyDescent="0.3">
      <c r="A4" s="1" t="s">
        <v>556</v>
      </c>
      <c r="B4" s="4">
        <v>0.1</v>
      </c>
      <c r="C4" s="1" t="s">
        <v>555</v>
      </c>
    </row>
    <row r="5" spans="1:9" x14ac:dyDescent="0.3">
      <c r="A5" s="1" t="s">
        <v>554</v>
      </c>
      <c r="B5" s="4">
        <v>0</v>
      </c>
      <c r="C5" s="1" t="s">
        <v>549</v>
      </c>
    </row>
    <row r="6" spans="1:9" x14ac:dyDescent="0.3">
      <c r="A6" s="1" t="s">
        <v>553</v>
      </c>
      <c r="B6" s="4">
        <v>0.02</v>
      </c>
      <c r="C6" s="1" t="s">
        <v>549</v>
      </c>
    </row>
    <row r="7" spans="1:9" x14ac:dyDescent="0.3">
      <c r="A7" s="1" t="s">
        <v>552</v>
      </c>
      <c r="B7" s="4">
        <v>0.7</v>
      </c>
      <c r="C7" s="1" t="s">
        <v>549</v>
      </c>
    </row>
    <row r="8" spans="1:9" x14ac:dyDescent="0.3">
      <c r="A8" s="1" t="s">
        <v>534</v>
      </c>
      <c r="B8" s="5">
        <v>15</v>
      </c>
      <c r="C8" s="1" t="s">
        <v>549</v>
      </c>
    </row>
    <row r="9" spans="1:9" x14ac:dyDescent="0.3">
      <c r="A9" s="1" t="s">
        <v>551</v>
      </c>
      <c r="B9" s="5">
        <v>100</v>
      </c>
      <c r="C9" s="1" t="s">
        <v>549</v>
      </c>
    </row>
    <row r="10" spans="1:9" x14ac:dyDescent="0.3">
      <c r="A10" s="1" t="s">
        <v>550</v>
      </c>
      <c r="B10" s="5">
        <v>10</v>
      </c>
      <c r="C10" s="1" t="s">
        <v>549</v>
      </c>
    </row>
    <row r="11" spans="1:9" x14ac:dyDescent="0.3">
      <c r="A11" s="1" t="s">
        <v>548</v>
      </c>
      <c r="B11" s="4">
        <v>0</v>
      </c>
      <c r="C11" s="1" t="s">
        <v>547</v>
      </c>
    </row>
    <row r="13" spans="1:9" x14ac:dyDescent="0.3">
      <c r="A13" s="1" t="s">
        <v>546</v>
      </c>
    </row>
    <row r="14" spans="1:9" x14ac:dyDescent="0.3">
      <c r="B14" s="8" t="s">
        <v>480</v>
      </c>
      <c r="C14" s="8" t="s">
        <v>479</v>
      </c>
      <c r="D14" s="8" t="s">
        <v>478</v>
      </c>
      <c r="E14" s="8" t="s">
        <v>545</v>
      </c>
      <c r="F14" s="8" t="s">
        <v>544</v>
      </c>
      <c r="G14" s="8" t="s">
        <v>543</v>
      </c>
      <c r="H14" s="8" t="s">
        <v>542</v>
      </c>
      <c r="I14" s="8" t="s">
        <v>541</v>
      </c>
    </row>
    <row r="15" spans="1:9" ht="19.5" thickBot="1" x14ac:dyDescent="0.35">
      <c r="A15" s="254" t="s">
        <v>540</v>
      </c>
      <c r="B15" s="251">
        <v>200</v>
      </c>
      <c r="C15" s="251">
        <v>250</v>
      </c>
      <c r="D15" s="251">
        <v>300</v>
      </c>
      <c r="E15" s="251">
        <v>400</v>
      </c>
      <c r="F15" s="251">
        <v>500</v>
      </c>
      <c r="G15" s="251">
        <v>350</v>
      </c>
      <c r="H15" s="251">
        <v>250</v>
      </c>
      <c r="I15" s="251">
        <v>200</v>
      </c>
    </row>
    <row r="16" spans="1:9" x14ac:dyDescent="0.3">
      <c r="A16" s="3" t="s">
        <v>482</v>
      </c>
    </row>
    <row r="17" spans="1:9" x14ac:dyDescent="0.3">
      <c r="A17" s="1" t="s">
        <v>539</v>
      </c>
      <c r="D17" s="91">
        <f t="shared" ref="D17:I17" si="0">0.2*D15*0.98</f>
        <v>58.8</v>
      </c>
      <c r="E17" s="91">
        <f t="shared" si="0"/>
        <v>78.400000000000006</v>
      </c>
      <c r="F17" s="91">
        <f t="shared" si="0"/>
        <v>98</v>
      </c>
      <c r="G17" s="91">
        <f t="shared" si="0"/>
        <v>68.599999999999994</v>
      </c>
      <c r="H17" s="91">
        <f t="shared" si="0"/>
        <v>49</v>
      </c>
      <c r="I17" s="91">
        <f t="shared" si="0"/>
        <v>39.200000000000003</v>
      </c>
    </row>
    <row r="18" spans="1:9" x14ac:dyDescent="0.3">
      <c r="A18" s="1" t="s">
        <v>538</v>
      </c>
      <c r="D18" s="5">
        <f t="shared" ref="D18:I18" si="1">0.7*C15</f>
        <v>175</v>
      </c>
      <c r="E18" s="5">
        <f t="shared" si="1"/>
        <v>210</v>
      </c>
      <c r="F18" s="5">
        <f t="shared" si="1"/>
        <v>280</v>
      </c>
      <c r="G18" s="5">
        <f t="shared" si="1"/>
        <v>350</v>
      </c>
      <c r="H18" s="5">
        <f t="shared" si="1"/>
        <v>244.99999999999997</v>
      </c>
      <c r="I18" s="5">
        <f t="shared" si="1"/>
        <v>175</v>
      </c>
    </row>
    <row r="19" spans="1:9" x14ac:dyDescent="0.3">
      <c r="A19" s="1" t="s">
        <v>537</v>
      </c>
      <c r="D19" s="255">
        <f t="shared" ref="D19:I19" si="2">0.1*B15</f>
        <v>20</v>
      </c>
      <c r="E19" s="255">
        <f t="shared" si="2"/>
        <v>25</v>
      </c>
      <c r="F19" s="255">
        <f t="shared" si="2"/>
        <v>30</v>
      </c>
      <c r="G19" s="255">
        <f t="shared" si="2"/>
        <v>40</v>
      </c>
      <c r="H19" s="255">
        <f t="shared" si="2"/>
        <v>50</v>
      </c>
      <c r="I19" s="255">
        <f t="shared" si="2"/>
        <v>35</v>
      </c>
    </row>
    <row r="20" spans="1:9" x14ac:dyDescent="0.3">
      <c r="A20" s="249" t="s">
        <v>481</v>
      </c>
      <c r="D20" s="248">
        <f t="shared" ref="D20:I20" si="3">SUM(D17:D19)</f>
        <v>253.8</v>
      </c>
      <c r="E20" s="248">
        <f t="shared" si="3"/>
        <v>313.39999999999998</v>
      </c>
      <c r="F20" s="248">
        <f t="shared" si="3"/>
        <v>408</v>
      </c>
      <c r="G20" s="248">
        <f t="shared" si="3"/>
        <v>458.6</v>
      </c>
      <c r="H20" s="248">
        <f t="shared" si="3"/>
        <v>344</v>
      </c>
      <c r="I20" s="248">
        <f t="shared" si="3"/>
        <v>249.2</v>
      </c>
    </row>
    <row r="21" spans="1:9" ht="19.5" thickBot="1" x14ac:dyDescent="0.35">
      <c r="A21" s="254"/>
      <c r="B21" s="250"/>
      <c r="C21" s="250"/>
      <c r="D21" s="250"/>
      <c r="E21" s="250"/>
      <c r="F21" s="250"/>
      <c r="G21" s="250"/>
      <c r="H21" s="250"/>
      <c r="I21" s="250"/>
    </row>
    <row r="22" spans="1:9" x14ac:dyDescent="0.3">
      <c r="A22" s="3" t="s">
        <v>536</v>
      </c>
    </row>
    <row r="23" spans="1:9" x14ac:dyDescent="0.3">
      <c r="A23" s="1" t="s">
        <v>561</v>
      </c>
      <c r="D23" s="5">
        <f t="shared" ref="D23:I23" si="4">D15*0.7</f>
        <v>210</v>
      </c>
      <c r="E23" s="5">
        <f t="shared" si="4"/>
        <v>280</v>
      </c>
      <c r="F23" s="5">
        <f t="shared" si="4"/>
        <v>350</v>
      </c>
      <c r="G23" s="5">
        <f t="shared" si="4"/>
        <v>244.99999999999997</v>
      </c>
      <c r="H23" s="5">
        <f t="shared" si="4"/>
        <v>175</v>
      </c>
      <c r="I23" s="5">
        <f t="shared" si="4"/>
        <v>140</v>
      </c>
    </row>
    <row r="24" spans="1:9" x14ac:dyDescent="0.3">
      <c r="A24" s="1" t="s">
        <v>535</v>
      </c>
      <c r="D24" s="16">
        <v>30</v>
      </c>
      <c r="E24" s="16">
        <v>40</v>
      </c>
      <c r="F24" s="16">
        <v>50</v>
      </c>
      <c r="G24" s="16">
        <v>40</v>
      </c>
      <c r="H24" s="16">
        <v>30</v>
      </c>
      <c r="I24" s="16">
        <v>30</v>
      </c>
    </row>
    <row r="25" spans="1:9" x14ac:dyDescent="0.3">
      <c r="A25" s="1" t="s">
        <v>534</v>
      </c>
      <c r="D25" s="16">
        <v>15</v>
      </c>
      <c r="E25" s="16">
        <v>15</v>
      </c>
      <c r="F25" s="16">
        <v>15</v>
      </c>
      <c r="G25" s="16">
        <v>15</v>
      </c>
      <c r="H25" s="16">
        <v>15</v>
      </c>
      <c r="I25" s="16">
        <v>15</v>
      </c>
    </row>
    <row r="26" spans="1:9" x14ac:dyDescent="0.3">
      <c r="A26" s="1" t="s">
        <v>533</v>
      </c>
      <c r="D26" s="16">
        <v>10</v>
      </c>
      <c r="E26" s="16">
        <v>15</v>
      </c>
      <c r="F26" s="16">
        <v>20</v>
      </c>
      <c r="G26" s="16">
        <v>15</v>
      </c>
      <c r="H26" s="16">
        <v>10</v>
      </c>
      <c r="I26" s="16">
        <v>10</v>
      </c>
    </row>
    <row r="27" spans="1:9" x14ac:dyDescent="0.3">
      <c r="A27" s="1" t="s">
        <v>532</v>
      </c>
      <c r="D27" s="16"/>
      <c r="E27" s="16"/>
      <c r="F27" s="16">
        <v>30</v>
      </c>
      <c r="G27" s="16"/>
      <c r="H27" s="16"/>
      <c r="I27" s="16">
        <v>20</v>
      </c>
    </row>
    <row r="28" spans="1:9" x14ac:dyDescent="0.3">
      <c r="A28" s="1" t="s">
        <v>531</v>
      </c>
      <c r="D28" s="255"/>
      <c r="E28" s="255"/>
      <c r="F28" s="255"/>
      <c r="G28" s="255">
        <v>100</v>
      </c>
      <c r="H28" s="255"/>
      <c r="I28" s="255"/>
    </row>
    <row r="29" spans="1:9" ht="19.5" thickBot="1" x14ac:dyDescent="0.35">
      <c r="A29" s="252" t="s">
        <v>530</v>
      </c>
      <c r="B29" s="250"/>
      <c r="C29" s="250"/>
      <c r="D29" s="253">
        <f t="shared" ref="D29:I29" si="5">SUM(D23:D28)</f>
        <v>265</v>
      </c>
      <c r="E29" s="253">
        <f t="shared" si="5"/>
        <v>350</v>
      </c>
      <c r="F29" s="253">
        <f t="shared" si="5"/>
        <v>465</v>
      </c>
      <c r="G29" s="253">
        <f t="shared" si="5"/>
        <v>415</v>
      </c>
      <c r="H29" s="253">
        <f t="shared" si="5"/>
        <v>230</v>
      </c>
      <c r="I29" s="253">
        <f t="shared" si="5"/>
        <v>215</v>
      </c>
    </row>
    <row r="30" spans="1:9" x14ac:dyDescent="0.3">
      <c r="A30" s="3" t="s">
        <v>529</v>
      </c>
    </row>
    <row r="31" spans="1:9" x14ac:dyDescent="0.3">
      <c r="A31" s="3" t="s">
        <v>864</v>
      </c>
      <c r="D31" s="1">
        <v>0</v>
      </c>
    </row>
    <row r="32" spans="1:9" x14ac:dyDescent="0.3">
      <c r="A32" s="1" t="s">
        <v>528</v>
      </c>
      <c r="D32" s="247">
        <f t="shared" ref="D32:I32" si="6">D20-D29</f>
        <v>-11.199999999999989</v>
      </c>
      <c r="E32" s="247">
        <f t="shared" si="6"/>
        <v>-36.600000000000023</v>
      </c>
      <c r="F32" s="247">
        <f t="shared" si="6"/>
        <v>-57</v>
      </c>
      <c r="G32" s="247">
        <f t="shared" si="6"/>
        <v>43.600000000000023</v>
      </c>
      <c r="H32" s="247">
        <f t="shared" si="6"/>
        <v>114</v>
      </c>
      <c r="I32" s="247">
        <f t="shared" si="6"/>
        <v>34.199999999999989</v>
      </c>
    </row>
    <row r="33" spans="1:9" ht="19.5" thickBot="1" x14ac:dyDescent="0.35">
      <c r="A33" s="250" t="s">
        <v>527</v>
      </c>
      <c r="B33" s="250"/>
      <c r="C33" s="250"/>
      <c r="D33" s="251">
        <f>D32+D31</f>
        <v>-11.199999999999989</v>
      </c>
      <c r="E33" s="251">
        <f>E32+D33</f>
        <v>-47.800000000000011</v>
      </c>
      <c r="F33" s="251">
        <f>F32+E33</f>
        <v>-104.80000000000001</v>
      </c>
      <c r="G33" s="251">
        <f>G32+F33</f>
        <v>-61.199999999999989</v>
      </c>
      <c r="H33" s="251">
        <f>H32+G33</f>
        <v>52.800000000000011</v>
      </c>
      <c r="I33" s="251">
        <f>I32+H33</f>
        <v>87</v>
      </c>
    </row>
    <row r="34" spans="1:9" x14ac:dyDescent="0.3">
      <c r="A34" s="3" t="s">
        <v>526</v>
      </c>
    </row>
    <row r="35" spans="1:9" x14ac:dyDescent="0.3">
      <c r="A35" s="1" t="s">
        <v>525</v>
      </c>
      <c r="D35" s="16">
        <v>10</v>
      </c>
      <c r="E35" s="16">
        <v>10</v>
      </c>
      <c r="F35" s="16">
        <v>10</v>
      </c>
      <c r="G35" s="16">
        <v>10</v>
      </c>
      <c r="H35" s="16">
        <v>10</v>
      </c>
      <c r="I35" s="16">
        <v>10</v>
      </c>
    </row>
    <row r="36" spans="1:9" x14ac:dyDescent="0.3">
      <c r="A36" s="1" t="s">
        <v>524</v>
      </c>
      <c r="D36" s="247">
        <f t="shared" ref="D36:I36" si="7">D33-D35</f>
        <v>-21.199999999999989</v>
      </c>
      <c r="E36" s="247">
        <f t="shared" si="7"/>
        <v>-57.800000000000011</v>
      </c>
      <c r="F36" s="247">
        <f t="shared" si="7"/>
        <v>-114.80000000000001</v>
      </c>
      <c r="G36" s="247">
        <f t="shared" si="7"/>
        <v>-71.199999999999989</v>
      </c>
      <c r="H36" s="247">
        <f t="shared" si="7"/>
        <v>42.800000000000011</v>
      </c>
      <c r="I36" s="247">
        <f t="shared" si="7"/>
        <v>77</v>
      </c>
    </row>
    <row r="37" spans="1:9" x14ac:dyDescent="0.3">
      <c r="A37" s="246" t="s">
        <v>523</v>
      </c>
      <c r="D37" s="16">
        <f>MIN(D36:I36)</f>
        <v>-114.80000000000001</v>
      </c>
      <c r="E37" s="16"/>
      <c r="F37" s="16"/>
      <c r="G37" s="16"/>
      <c r="H37" s="16"/>
      <c r="I37" s="16"/>
    </row>
    <row r="38" spans="1:9" x14ac:dyDescent="0.3">
      <c r="A38" s="246" t="s">
        <v>522</v>
      </c>
      <c r="D38" s="16">
        <f>MAX(D36:I36)</f>
        <v>77</v>
      </c>
      <c r="E38" s="16"/>
      <c r="F38" s="16"/>
      <c r="G38" s="16"/>
      <c r="H38" s="16"/>
      <c r="I38" s="16"/>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41"/>
  <sheetViews>
    <sheetView topLeftCell="A79" zoomScale="70" zoomScaleNormal="70" workbookViewId="0">
      <selection activeCell="C141" sqref="C141"/>
    </sheetView>
  </sheetViews>
  <sheetFormatPr defaultRowHeight="18.75" x14ac:dyDescent="0.3"/>
  <cols>
    <col min="1" max="1" width="9.140625" style="1"/>
    <col min="2" max="2" width="34.5703125" style="1" customWidth="1"/>
    <col min="3" max="3" width="17.7109375" style="1" bestFit="1" customWidth="1"/>
    <col min="4" max="16384" width="9.140625" style="1"/>
  </cols>
  <sheetData>
    <row r="2" spans="2:4" x14ac:dyDescent="0.3">
      <c r="B2" s="2" t="s">
        <v>189</v>
      </c>
    </row>
    <row r="3" spans="2:4" x14ac:dyDescent="0.3">
      <c r="B3" s="2" t="s">
        <v>188</v>
      </c>
    </row>
    <row r="4" spans="2:4" x14ac:dyDescent="0.3">
      <c r="B4" s="1" t="s">
        <v>187</v>
      </c>
    </row>
    <row r="5" spans="2:4" x14ac:dyDescent="0.3">
      <c r="B5" s="1" t="s">
        <v>186</v>
      </c>
    </row>
    <row r="6" spans="2:4" x14ac:dyDescent="0.3">
      <c r="B6" s="1" t="s">
        <v>185</v>
      </c>
    </row>
    <row r="7" spans="2:4" x14ac:dyDescent="0.3">
      <c r="B7" s="2" t="s">
        <v>184</v>
      </c>
    </row>
    <row r="8" spans="2:4" x14ac:dyDescent="0.3">
      <c r="B8" s="2" t="s">
        <v>183</v>
      </c>
    </row>
    <row r="9" spans="2:4" x14ac:dyDescent="0.3">
      <c r="B9" s="2" t="s">
        <v>182</v>
      </c>
    </row>
    <row r="11" spans="2:4" x14ac:dyDescent="0.3">
      <c r="B11" s="3" t="s">
        <v>4</v>
      </c>
    </row>
    <row r="13" spans="2:4" x14ac:dyDescent="0.3">
      <c r="B13" s="1" t="s">
        <v>158</v>
      </c>
      <c r="C13" s="37">
        <v>150000</v>
      </c>
    </row>
    <row r="14" spans="2:4" x14ac:dyDescent="0.3">
      <c r="B14" s="80" t="s">
        <v>181</v>
      </c>
      <c r="C14" s="77">
        <v>36.5</v>
      </c>
      <c r="D14" s="1" t="s">
        <v>114</v>
      </c>
    </row>
    <row r="15" spans="2:4" x14ac:dyDescent="0.3">
      <c r="B15" s="80" t="s">
        <v>141</v>
      </c>
      <c r="C15" s="14">
        <v>40</v>
      </c>
      <c r="D15" s="1" t="s">
        <v>114</v>
      </c>
    </row>
    <row r="16" spans="2:4" x14ac:dyDescent="0.3">
      <c r="B16" s="1" t="s">
        <v>180</v>
      </c>
      <c r="C16" s="37">
        <v>35000</v>
      </c>
    </row>
    <row r="17" spans="2:4" x14ac:dyDescent="0.3">
      <c r="B17" s="1" t="s">
        <v>154</v>
      </c>
      <c r="C17" s="4">
        <v>0.8</v>
      </c>
      <c r="D17" s="1" t="s">
        <v>157</v>
      </c>
    </row>
    <row r="18" spans="2:4" x14ac:dyDescent="0.3">
      <c r="B18" s="1" t="s">
        <v>179</v>
      </c>
      <c r="C18" s="4">
        <v>0.06</v>
      </c>
    </row>
    <row r="19" spans="2:4" x14ac:dyDescent="0.3">
      <c r="B19" s="1" t="s">
        <v>179</v>
      </c>
      <c r="C19" s="79">
        <f>C13*C18</f>
        <v>9000</v>
      </c>
    </row>
    <row r="20" spans="2:4" x14ac:dyDescent="0.3">
      <c r="B20" s="1" t="s">
        <v>173</v>
      </c>
      <c r="C20" s="46">
        <v>6</v>
      </c>
    </row>
    <row r="22" spans="2:4" x14ac:dyDescent="0.3">
      <c r="B22" s="3" t="s">
        <v>15</v>
      </c>
    </row>
    <row r="23" spans="2:4" x14ac:dyDescent="0.3">
      <c r="C23" s="20"/>
    </row>
    <row r="24" spans="2:4" x14ac:dyDescent="0.3">
      <c r="B24" s="3" t="s">
        <v>155</v>
      </c>
    </row>
    <row r="25" spans="2:4" x14ac:dyDescent="0.3">
      <c r="B25" s="1" t="s">
        <v>146</v>
      </c>
    </row>
    <row r="27" spans="2:4" x14ac:dyDescent="0.3">
      <c r="B27" s="1" t="s">
        <v>152</v>
      </c>
      <c r="C27" s="79">
        <f>C13/365</f>
        <v>410.95890410958901</v>
      </c>
    </row>
    <row r="28" spans="2:4" x14ac:dyDescent="0.3">
      <c r="B28" s="1" t="s">
        <v>149</v>
      </c>
      <c r="C28" s="79">
        <f>C13/C20</f>
        <v>25000</v>
      </c>
    </row>
    <row r="29" spans="2:4" x14ac:dyDescent="0.3">
      <c r="B29" s="1" t="s">
        <v>154</v>
      </c>
      <c r="C29" s="37">
        <f>C17*C13</f>
        <v>120000</v>
      </c>
    </row>
    <row r="30" spans="2:4" x14ac:dyDescent="0.3">
      <c r="B30" s="1" t="s">
        <v>153</v>
      </c>
      <c r="C30" s="37">
        <f>C29/365</f>
        <v>328.76712328767121</v>
      </c>
    </row>
    <row r="32" spans="2:4" x14ac:dyDescent="0.3">
      <c r="B32" s="1" t="s">
        <v>170</v>
      </c>
      <c r="C32" s="1">
        <f>ROUNDUP(C28/C30,1)</f>
        <v>76.099999999999994</v>
      </c>
      <c r="D32" s="1" t="s">
        <v>114</v>
      </c>
    </row>
    <row r="34" spans="2:4" x14ac:dyDescent="0.3">
      <c r="B34" s="1" t="s">
        <v>151</v>
      </c>
      <c r="C34" s="78">
        <f>C32+C14-C15</f>
        <v>72.599999999999994</v>
      </c>
      <c r="D34" s="1" t="s">
        <v>114</v>
      </c>
    </row>
    <row r="36" spans="2:4" x14ac:dyDescent="0.3">
      <c r="B36" s="3" t="s">
        <v>150</v>
      </c>
    </row>
    <row r="37" spans="2:4" x14ac:dyDescent="0.3">
      <c r="B37" s="1" t="s">
        <v>172</v>
      </c>
    </row>
    <row r="38" spans="2:4" x14ac:dyDescent="0.3">
      <c r="B38" s="1" t="s">
        <v>171</v>
      </c>
    </row>
    <row r="40" spans="2:4" x14ac:dyDescent="0.3">
      <c r="B40" s="1" t="s">
        <v>178</v>
      </c>
      <c r="C40" s="37">
        <f>C39/365</f>
        <v>0</v>
      </c>
    </row>
    <row r="42" spans="2:4" x14ac:dyDescent="0.3">
      <c r="B42" s="1" t="s">
        <v>154</v>
      </c>
      <c r="C42" s="37">
        <f>C29</f>
        <v>120000</v>
      </c>
    </row>
    <row r="43" spans="2:4" x14ac:dyDescent="0.3">
      <c r="B43" s="1" t="s">
        <v>177</v>
      </c>
      <c r="C43" s="37">
        <f>C30</f>
        <v>328.76712328767121</v>
      </c>
    </row>
    <row r="45" spans="2:4" x14ac:dyDescent="0.3">
      <c r="B45" s="6" t="s">
        <v>169</v>
      </c>
      <c r="C45" s="76">
        <f>C40</f>
        <v>0</v>
      </c>
    </row>
    <row r="46" spans="2:4" x14ac:dyDescent="0.3">
      <c r="B46" s="6" t="s">
        <v>147</v>
      </c>
      <c r="C46" s="76">
        <f>C14*C27</f>
        <v>14999.999999999998</v>
      </c>
    </row>
    <row r="47" spans="2:4" x14ac:dyDescent="0.3">
      <c r="B47" s="6" t="s">
        <v>149</v>
      </c>
      <c r="C47" s="75">
        <f>C28</f>
        <v>25000</v>
      </c>
    </row>
    <row r="48" spans="2:4" x14ac:dyDescent="0.3">
      <c r="B48" s="74" t="s">
        <v>168</v>
      </c>
      <c r="C48" s="73">
        <f>SUM(C45:C47)</f>
        <v>40000</v>
      </c>
    </row>
    <row r="50" spans="2:5" x14ac:dyDescent="0.3">
      <c r="B50" s="1" t="s">
        <v>167</v>
      </c>
      <c r="C50" s="72">
        <f>C48+C16</f>
        <v>75000</v>
      </c>
    </row>
    <row r="52" spans="2:5" x14ac:dyDescent="0.3">
      <c r="B52" s="1" t="s">
        <v>166</v>
      </c>
      <c r="C52" s="71">
        <f>C13/C50</f>
        <v>2</v>
      </c>
      <c r="E52" s="1" t="s">
        <v>176</v>
      </c>
    </row>
    <row r="54" spans="2:5" x14ac:dyDescent="0.3">
      <c r="B54" s="1" t="s">
        <v>165</v>
      </c>
      <c r="C54" s="70">
        <f>C19/C50</f>
        <v>0.12</v>
      </c>
      <c r="E54" s="1" t="s">
        <v>175</v>
      </c>
    </row>
    <row r="56" spans="2:5" x14ac:dyDescent="0.3">
      <c r="B56" s="3" t="s">
        <v>174</v>
      </c>
    </row>
    <row r="58" spans="2:5" x14ac:dyDescent="0.3">
      <c r="B58" s="1" t="s">
        <v>173</v>
      </c>
      <c r="C58" s="46">
        <v>9</v>
      </c>
    </row>
    <row r="60" spans="2:5" x14ac:dyDescent="0.3">
      <c r="B60" s="1" t="s">
        <v>146</v>
      </c>
    </row>
    <row r="61" spans="2:5" x14ac:dyDescent="0.3">
      <c r="B61" s="1" t="s">
        <v>172</v>
      </c>
    </row>
    <row r="62" spans="2:5" x14ac:dyDescent="0.3">
      <c r="B62" s="1" t="s">
        <v>171</v>
      </c>
    </row>
    <row r="64" spans="2:5" x14ac:dyDescent="0.3">
      <c r="B64" s="1" t="s">
        <v>149</v>
      </c>
      <c r="C64" s="37">
        <f>C13/C58</f>
        <v>16666.666666666668</v>
      </c>
    </row>
    <row r="65" spans="2:4" x14ac:dyDescent="0.3">
      <c r="B65" s="1" t="s">
        <v>154</v>
      </c>
      <c r="C65" s="37">
        <f>C29</f>
        <v>120000</v>
      </c>
    </row>
    <row r="66" spans="2:4" x14ac:dyDescent="0.3">
      <c r="B66" s="1" t="s">
        <v>153</v>
      </c>
      <c r="C66" s="37">
        <f>C30</f>
        <v>328.76712328767121</v>
      </c>
    </row>
    <row r="69" spans="2:4" x14ac:dyDescent="0.3">
      <c r="B69" s="1" t="s">
        <v>170</v>
      </c>
      <c r="C69" s="289">
        <f>ROUNDUP(C64/C66,1)</f>
        <v>50.7</v>
      </c>
      <c r="D69" s="1" t="s">
        <v>114</v>
      </c>
    </row>
    <row r="71" spans="2:4" x14ac:dyDescent="0.3">
      <c r="B71" s="1" t="s">
        <v>151</v>
      </c>
      <c r="C71" s="77">
        <f>C69+C14-C15</f>
        <v>47.2</v>
      </c>
      <c r="D71" s="1" t="s">
        <v>114</v>
      </c>
    </row>
    <row r="73" spans="2:4" x14ac:dyDescent="0.3">
      <c r="B73" s="6" t="s">
        <v>169</v>
      </c>
      <c r="C73" s="76">
        <f>C68</f>
        <v>0</v>
      </c>
    </row>
    <row r="74" spans="2:4" x14ac:dyDescent="0.3">
      <c r="B74" s="6" t="s">
        <v>147</v>
      </c>
      <c r="C74" s="76">
        <f>C46</f>
        <v>14999.999999999998</v>
      </c>
    </row>
    <row r="75" spans="2:4" x14ac:dyDescent="0.3">
      <c r="B75" s="6" t="s">
        <v>149</v>
      </c>
      <c r="C75" s="75">
        <f>C64</f>
        <v>16666.666666666668</v>
      </c>
    </row>
    <row r="76" spans="2:4" x14ac:dyDescent="0.3">
      <c r="B76" s="74" t="s">
        <v>168</v>
      </c>
      <c r="C76" s="73">
        <f>SUM(C73:C75)</f>
        <v>31666.666666666664</v>
      </c>
    </row>
    <row r="78" spans="2:4" x14ac:dyDescent="0.3">
      <c r="B78" s="1" t="s">
        <v>167</v>
      </c>
      <c r="C78" s="72">
        <f>C76+C16</f>
        <v>66666.666666666657</v>
      </c>
    </row>
    <row r="80" spans="2:4" x14ac:dyDescent="0.3">
      <c r="B80" s="1" t="s">
        <v>166</v>
      </c>
      <c r="C80" s="71">
        <f>C13/C78</f>
        <v>2.2500000000000004</v>
      </c>
    </row>
    <row r="82" spans="1:3" x14ac:dyDescent="0.3">
      <c r="B82" s="1" t="s">
        <v>165</v>
      </c>
      <c r="C82" s="70">
        <f>C19/C78</f>
        <v>0.13500000000000001</v>
      </c>
    </row>
    <row r="85" spans="1:3" x14ac:dyDescent="0.3">
      <c r="A85" s="1">
        <v>13</v>
      </c>
      <c r="B85" s="2" t="s">
        <v>164</v>
      </c>
    </row>
    <row r="86" spans="1:3" x14ac:dyDescent="0.3">
      <c r="B86" s="2" t="s">
        <v>163</v>
      </c>
    </row>
    <row r="87" spans="1:3" x14ac:dyDescent="0.3">
      <c r="B87" s="1" t="s">
        <v>162</v>
      </c>
    </row>
    <row r="88" spans="1:3" x14ac:dyDescent="0.3">
      <c r="B88" s="1" t="s">
        <v>161</v>
      </c>
    </row>
    <row r="89" spans="1:3" x14ac:dyDescent="0.3">
      <c r="B89" s="1" t="s">
        <v>160</v>
      </c>
    </row>
    <row r="90" spans="1:3" x14ac:dyDescent="0.3">
      <c r="B90" s="1" t="s">
        <v>159</v>
      </c>
    </row>
    <row r="92" spans="1:3" x14ac:dyDescent="0.3">
      <c r="B92" s="3" t="s">
        <v>4</v>
      </c>
    </row>
    <row r="94" spans="1:3" x14ac:dyDescent="0.3">
      <c r="B94" s="1" t="s">
        <v>158</v>
      </c>
      <c r="C94" s="37">
        <v>15000000</v>
      </c>
    </row>
    <row r="95" spans="1:3" x14ac:dyDescent="0.3">
      <c r="B95" s="1" t="s">
        <v>149</v>
      </c>
      <c r="C95" s="37">
        <v>2000000</v>
      </c>
    </row>
    <row r="96" spans="1:3" x14ac:dyDescent="0.3">
      <c r="B96" s="1" t="s">
        <v>148</v>
      </c>
      <c r="C96" s="37">
        <v>1000000</v>
      </c>
    </row>
    <row r="97" spans="2:4" x14ac:dyDescent="0.3">
      <c r="B97" s="1" t="s">
        <v>147</v>
      </c>
      <c r="C97" s="37">
        <v>3000000</v>
      </c>
    </row>
    <row r="98" spans="2:4" x14ac:dyDescent="0.3">
      <c r="B98" s="1" t="s">
        <v>154</v>
      </c>
      <c r="C98" s="4">
        <v>0.8</v>
      </c>
      <c r="D98" s="1" t="s">
        <v>157</v>
      </c>
    </row>
    <row r="99" spans="2:4" x14ac:dyDescent="0.3">
      <c r="B99" s="1" t="s">
        <v>156</v>
      </c>
      <c r="C99" s="69">
        <v>0.08</v>
      </c>
    </row>
    <row r="100" spans="2:4" x14ac:dyDescent="0.3">
      <c r="C100" s="4"/>
    </row>
    <row r="101" spans="2:4" x14ac:dyDescent="0.3">
      <c r="B101" s="3" t="s">
        <v>15</v>
      </c>
    </row>
    <row r="102" spans="2:4" x14ac:dyDescent="0.3">
      <c r="C102" s="20"/>
    </row>
    <row r="103" spans="2:4" x14ac:dyDescent="0.3">
      <c r="B103" s="3" t="s">
        <v>155</v>
      </c>
    </row>
    <row r="105" spans="2:4" x14ac:dyDescent="0.3">
      <c r="B105" s="1" t="s">
        <v>146</v>
      </c>
    </row>
    <row r="107" spans="2:4" x14ac:dyDescent="0.3">
      <c r="B107" s="1" t="s">
        <v>154</v>
      </c>
      <c r="C107" s="37">
        <f>C98*C94</f>
        <v>12000000</v>
      </c>
    </row>
    <row r="108" spans="2:4" x14ac:dyDescent="0.3">
      <c r="B108" s="1" t="s">
        <v>153</v>
      </c>
      <c r="C108" s="37">
        <f>C107/365</f>
        <v>32876.71232876712</v>
      </c>
    </row>
    <row r="109" spans="2:4" x14ac:dyDescent="0.3">
      <c r="C109" s="5"/>
    </row>
    <row r="110" spans="2:4" x14ac:dyDescent="0.3">
      <c r="B110" s="1" t="s">
        <v>152</v>
      </c>
      <c r="C110" s="5">
        <f>C94/365</f>
        <v>41095.890410958906</v>
      </c>
    </row>
    <row r="112" spans="2:4" x14ac:dyDescent="0.3">
      <c r="B112" s="1" t="s">
        <v>143</v>
      </c>
      <c r="C112" s="46">
        <f>ROUNDUP(C95/C108,1)</f>
        <v>60.9</v>
      </c>
      <c r="D112" s="1" t="s">
        <v>114</v>
      </c>
    </row>
    <row r="113" spans="2:4" x14ac:dyDescent="0.3">
      <c r="B113" s="1" t="s">
        <v>142</v>
      </c>
      <c r="C113" s="37">
        <f>C97/(C94/365)</f>
        <v>73</v>
      </c>
      <c r="D113" s="1" t="s">
        <v>114</v>
      </c>
    </row>
    <row r="114" spans="2:4" x14ac:dyDescent="0.3">
      <c r="B114" s="1" t="s">
        <v>141</v>
      </c>
      <c r="C114" s="46">
        <f>C96/C108</f>
        <v>30.416666666666668</v>
      </c>
      <c r="D114" s="1" t="s">
        <v>114</v>
      </c>
    </row>
    <row r="115" spans="2:4" x14ac:dyDescent="0.3">
      <c r="B115" s="1" t="s">
        <v>181</v>
      </c>
      <c r="C115" s="1">
        <f>C97/C110</f>
        <v>73</v>
      </c>
    </row>
    <row r="116" spans="2:4" x14ac:dyDescent="0.3">
      <c r="B116" s="1" t="s">
        <v>151</v>
      </c>
      <c r="C116" s="68">
        <f>C112+C115-C114</f>
        <v>103.48333333333333</v>
      </c>
      <c r="D116" s="1" t="s">
        <v>114</v>
      </c>
    </row>
    <row r="119" spans="2:4" x14ac:dyDescent="0.3">
      <c r="B119" s="3" t="s">
        <v>150</v>
      </c>
    </row>
    <row r="120" spans="2:4" x14ac:dyDescent="0.3">
      <c r="B120" s="1" t="s">
        <v>149</v>
      </c>
      <c r="C120" s="37">
        <v>1800000</v>
      </c>
    </row>
    <row r="121" spans="2:4" x14ac:dyDescent="0.3">
      <c r="B121" s="1" t="s">
        <v>148</v>
      </c>
      <c r="C121" s="37">
        <v>1100000</v>
      </c>
    </row>
    <row r="122" spans="2:4" x14ac:dyDescent="0.3">
      <c r="B122" s="1" t="s">
        <v>147</v>
      </c>
      <c r="C122" s="37">
        <v>2700000</v>
      </c>
    </row>
    <row r="124" spans="2:4" x14ac:dyDescent="0.3">
      <c r="B124" s="1" t="s">
        <v>146</v>
      </c>
      <c r="C124" s="37"/>
    </row>
    <row r="125" spans="2:4" x14ac:dyDescent="0.3">
      <c r="B125" s="1" t="s">
        <v>145</v>
      </c>
    </row>
    <row r="126" spans="2:4" x14ac:dyDescent="0.3">
      <c r="B126" s="1" t="s">
        <v>144</v>
      </c>
    </row>
    <row r="128" spans="2:4" x14ac:dyDescent="0.3">
      <c r="B128" s="1" t="s">
        <v>143</v>
      </c>
      <c r="C128" s="46">
        <f>C120/C108</f>
        <v>54.750000000000007</v>
      </c>
      <c r="D128" s="1" t="s">
        <v>114</v>
      </c>
    </row>
    <row r="129" spans="2:4" x14ac:dyDescent="0.3">
      <c r="B129" s="1" t="s">
        <v>142</v>
      </c>
      <c r="C129" s="46">
        <f>C122/C110</f>
        <v>65.7</v>
      </c>
      <c r="D129" s="1" t="s">
        <v>114</v>
      </c>
    </row>
    <row r="130" spans="2:4" x14ac:dyDescent="0.3">
      <c r="B130" s="1" t="s">
        <v>141</v>
      </c>
      <c r="C130" s="46">
        <f>C121/C108</f>
        <v>33.458333333333336</v>
      </c>
      <c r="D130" s="1" t="s">
        <v>114</v>
      </c>
    </row>
    <row r="132" spans="2:4" x14ac:dyDescent="0.3">
      <c r="B132" s="1" t="s">
        <v>140</v>
      </c>
      <c r="C132" s="68">
        <f>C128+C129-C130</f>
        <v>86.991666666666674</v>
      </c>
      <c r="D132" s="1" t="s">
        <v>114</v>
      </c>
    </row>
    <row r="134" spans="2:4" x14ac:dyDescent="0.3">
      <c r="B134" s="1" t="s">
        <v>139</v>
      </c>
      <c r="C134" s="67">
        <f>C116-C132</f>
        <v>16.49166666666666</v>
      </c>
      <c r="D134" s="1" t="s">
        <v>114</v>
      </c>
    </row>
    <row r="136" spans="2:4" x14ac:dyDescent="0.3">
      <c r="B136" s="1" t="s">
        <v>138</v>
      </c>
      <c r="C136" s="5">
        <f>C116*C108</f>
        <v>3402191.7808219176</v>
      </c>
    </row>
    <row r="137" spans="2:4" x14ac:dyDescent="0.3">
      <c r="B137" s="1" t="s">
        <v>137</v>
      </c>
      <c r="C137" s="5">
        <f>C132*C108</f>
        <v>2860000</v>
      </c>
    </row>
    <row r="139" spans="2:4" x14ac:dyDescent="0.3">
      <c r="B139" s="1" t="s">
        <v>136</v>
      </c>
      <c r="C139" s="18">
        <f>C136-C137</f>
        <v>542191.78082191758</v>
      </c>
      <c r="D139" s="1" t="s">
        <v>135</v>
      </c>
    </row>
    <row r="141" spans="2:4" x14ac:dyDescent="0.3">
      <c r="B141" s="1" t="s">
        <v>134</v>
      </c>
      <c r="C141" s="18">
        <v>42082.191780821908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9"/>
  <sheetViews>
    <sheetView zoomScale="55" zoomScaleNormal="55" workbookViewId="0">
      <selection activeCell="N19" sqref="N19"/>
    </sheetView>
  </sheetViews>
  <sheetFormatPr defaultRowHeight="21" x14ac:dyDescent="0.35"/>
  <cols>
    <col min="1" max="1" width="9.5703125" style="210" bestFit="1" customWidth="1"/>
    <col min="2" max="2" width="35.5703125" style="210" customWidth="1"/>
    <col min="3" max="3" width="22.140625" style="210" customWidth="1"/>
    <col min="4" max="16384" width="9.140625" style="210"/>
  </cols>
  <sheetData>
    <row r="2" spans="1:4" x14ac:dyDescent="0.35">
      <c r="A2" s="210">
        <v>1</v>
      </c>
      <c r="B2" s="219" t="s">
        <v>411</v>
      </c>
    </row>
    <row r="3" spans="1:4" x14ac:dyDescent="0.35">
      <c r="B3" s="210" t="s">
        <v>410</v>
      </c>
    </row>
    <row r="4" spans="1:4" x14ac:dyDescent="0.35">
      <c r="B4" s="218" t="s">
        <v>409</v>
      </c>
    </row>
    <row r="5" spans="1:4" x14ac:dyDescent="0.35">
      <c r="B5" s="223" t="s">
        <v>408</v>
      </c>
    </row>
    <row r="7" spans="1:4" x14ac:dyDescent="0.35">
      <c r="B7" s="212" t="s">
        <v>4</v>
      </c>
    </row>
    <row r="9" spans="1:4" x14ac:dyDescent="0.35">
      <c r="B9" s="210" t="s">
        <v>407</v>
      </c>
      <c r="C9" s="222">
        <v>1000</v>
      </c>
    </row>
    <row r="10" spans="1:4" x14ac:dyDescent="0.35">
      <c r="B10" s="210" t="s">
        <v>406</v>
      </c>
      <c r="C10" s="213">
        <v>10</v>
      </c>
      <c r="D10" s="210" t="s">
        <v>114</v>
      </c>
    </row>
    <row r="12" spans="1:4" x14ac:dyDescent="0.35">
      <c r="B12" s="210" t="s">
        <v>405</v>
      </c>
    </row>
    <row r="14" spans="1:4" x14ac:dyDescent="0.35">
      <c r="B14" s="212" t="s">
        <v>15</v>
      </c>
    </row>
    <row r="16" spans="1:4" x14ac:dyDescent="0.35">
      <c r="B16" s="210" t="s">
        <v>404</v>
      </c>
      <c r="C16" s="221">
        <f>C9*C10</f>
        <v>10000</v>
      </c>
    </row>
    <row r="19" spans="1:4" x14ac:dyDescent="0.35">
      <c r="A19" s="215" t="s">
        <v>403</v>
      </c>
      <c r="B19" s="219" t="s">
        <v>402</v>
      </c>
    </row>
    <row r="21" spans="1:4" x14ac:dyDescent="0.35">
      <c r="B21" s="212" t="s">
        <v>4</v>
      </c>
    </row>
    <row r="23" spans="1:4" x14ac:dyDescent="0.35">
      <c r="B23" s="210" t="s">
        <v>401</v>
      </c>
      <c r="C23" s="216">
        <v>375000000</v>
      </c>
    </row>
    <row r="24" spans="1:4" x14ac:dyDescent="0.35">
      <c r="B24" s="210" t="s">
        <v>400</v>
      </c>
      <c r="C24" s="216">
        <v>3000000000</v>
      </c>
    </row>
    <row r="26" spans="1:4" x14ac:dyDescent="0.35">
      <c r="B26" s="210" t="s">
        <v>399</v>
      </c>
    </row>
    <row r="28" spans="1:4" x14ac:dyDescent="0.35">
      <c r="B28" s="212" t="s">
        <v>15</v>
      </c>
    </row>
    <row r="30" spans="1:4" x14ac:dyDescent="0.35">
      <c r="B30" s="210" t="s">
        <v>393</v>
      </c>
      <c r="C30" s="216">
        <f>C24/365</f>
        <v>8219178.0821917811</v>
      </c>
    </row>
    <row r="32" spans="1:4" x14ac:dyDescent="0.35">
      <c r="B32" s="210" t="s">
        <v>398</v>
      </c>
      <c r="C32" s="220">
        <f>C23/C30</f>
        <v>45.625</v>
      </c>
      <c r="D32" s="210" t="s">
        <v>114</v>
      </c>
    </row>
    <row r="35" spans="1:4" x14ac:dyDescent="0.35">
      <c r="A35" s="215" t="s">
        <v>397</v>
      </c>
      <c r="B35" s="219" t="s">
        <v>396</v>
      </c>
    </row>
    <row r="36" spans="1:4" x14ac:dyDescent="0.35">
      <c r="B36" s="218" t="s">
        <v>395</v>
      </c>
    </row>
    <row r="37" spans="1:4" x14ac:dyDescent="0.35">
      <c r="B37" s="218" t="s">
        <v>394</v>
      </c>
    </row>
    <row r="39" spans="1:4" x14ac:dyDescent="0.35">
      <c r="B39" s="212" t="s">
        <v>4</v>
      </c>
    </row>
    <row r="41" spans="1:4" x14ac:dyDescent="0.35">
      <c r="B41" s="210" t="s">
        <v>181</v>
      </c>
      <c r="C41" s="213">
        <f>C32</f>
        <v>45.625</v>
      </c>
      <c r="D41" s="210" t="s">
        <v>114</v>
      </c>
    </row>
    <row r="42" spans="1:4" x14ac:dyDescent="0.35">
      <c r="B42" s="210" t="s">
        <v>393</v>
      </c>
      <c r="C42" s="216">
        <f>C30</f>
        <v>8219178.0821917811</v>
      </c>
    </row>
    <row r="44" spans="1:4" x14ac:dyDescent="0.35">
      <c r="B44" s="210" t="s">
        <v>392</v>
      </c>
    </row>
    <row r="46" spans="1:4" x14ac:dyDescent="0.35">
      <c r="B46" s="212" t="s">
        <v>15</v>
      </c>
    </row>
    <row r="48" spans="1:4" x14ac:dyDescent="0.35">
      <c r="B48" s="210" t="s">
        <v>391</v>
      </c>
      <c r="C48" s="211">
        <f>C42*C41</f>
        <v>375000000</v>
      </c>
    </row>
    <row r="51" spans="1:4" ht="23.25" x14ac:dyDescent="0.35">
      <c r="A51" s="215" t="s">
        <v>390</v>
      </c>
      <c r="B51" s="217" t="s">
        <v>387</v>
      </c>
    </row>
    <row r="52" spans="1:4" x14ac:dyDescent="0.35">
      <c r="B52" s="210" t="s">
        <v>386</v>
      </c>
    </row>
    <row r="53" spans="1:4" x14ac:dyDescent="0.35">
      <c r="B53" s="210" t="s">
        <v>389</v>
      </c>
    </row>
    <row r="55" spans="1:4" x14ac:dyDescent="0.35">
      <c r="B55" s="212" t="s">
        <v>4</v>
      </c>
    </row>
    <row r="57" spans="1:4" x14ac:dyDescent="0.35">
      <c r="B57" s="210" t="s">
        <v>384</v>
      </c>
      <c r="C57" s="216">
        <v>100</v>
      </c>
    </row>
    <row r="58" spans="1:4" x14ac:dyDescent="0.35">
      <c r="B58" s="215" t="s">
        <v>383</v>
      </c>
    </row>
    <row r="59" spans="1:4" x14ac:dyDescent="0.35">
      <c r="B59" s="214" t="s">
        <v>382</v>
      </c>
    </row>
    <row r="60" spans="1:4" x14ac:dyDescent="0.35">
      <c r="C60" s="213"/>
    </row>
    <row r="61" spans="1:4" x14ac:dyDescent="0.35">
      <c r="B61" s="210" t="s">
        <v>381</v>
      </c>
      <c r="C61" s="210">
        <v>20</v>
      </c>
    </row>
    <row r="63" spans="1:4" x14ac:dyDescent="0.35">
      <c r="B63" s="210" t="s">
        <v>380</v>
      </c>
      <c r="C63" s="210">
        <v>10</v>
      </c>
      <c r="D63" s="210" t="s">
        <v>114</v>
      </c>
    </row>
    <row r="65" spans="1:3" x14ac:dyDescent="0.35">
      <c r="B65" s="210" t="s">
        <v>379</v>
      </c>
    </row>
    <row r="67" spans="1:3" x14ac:dyDescent="0.35">
      <c r="B67" s="212" t="s">
        <v>15</v>
      </c>
    </row>
    <row r="69" spans="1:3" x14ac:dyDescent="0.35">
      <c r="B69" s="210" t="s">
        <v>378</v>
      </c>
      <c r="C69" s="211">
        <f>C63*C57*(0.98)*20</f>
        <v>19600</v>
      </c>
    </row>
    <row r="71" spans="1:3" ht="23.25" x14ac:dyDescent="0.35">
      <c r="A71" s="215" t="s">
        <v>388</v>
      </c>
      <c r="B71" s="217" t="s">
        <v>387</v>
      </c>
    </row>
    <row r="72" spans="1:3" x14ac:dyDescent="0.35">
      <c r="B72" s="210" t="s">
        <v>386</v>
      </c>
    </row>
    <row r="73" spans="1:3" x14ac:dyDescent="0.35">
      <c r="B73" s="210" t="s">
        <v>385</v>
      </c>
    </row>
    <row r="75" spans="1:3" x14ac:dyDescent="0.35">
      <c r="B75" s="212" t="s">
        <v>4</v>
      </c>
    </row>
    <row r="77" spans="1:3" x14ac:dyDescent="0.35">
      <c r="B77" s="210" t="s">
        <v>384</v>
      </c>
      <c r="C77" s="216">
        <v>100</v>
      </c>
    </row>
    <row r="78" spans="1:3" x14ac:dyDescent="0.35">
      <c r="B78" s="215" t="s">
        <v>383</v>
      </c>
    </row>
    <row r="79" spans="1:3" x14ac:dyDescent="0.35">
      <c r="B79" s="214" t="s">
        <v>382</v>
      </c>
    </row>
    <row r="80" spans="1:3" x14ac:dyDescent="0.35">
      <c r="C80" s="213"/>
    </row>
    <row r="81" spans="2:4" x14ac:dyDescent="0.35">
      <c r="B81" s="210" t="s">
        <v>381</v>
      </c>
      <c r="C81" s="210">
        <v>20</v>
      </c>
    </row>
    <row r="83" spans="2:4" x14ac:dyDescent="0.35">
      <c r="B83" s="210" t="s">
        <v>380</v>
      </c>
      <c r="C83" s="210">
        <v>30</v>
      </c>
      <c r="D83" s="210" t="s">
        <v>114</v>
      </c>
    </row>
    <row r="85" spans="2:4" x14ac:dyDescent="0.35">
      <c r="B85" s="210" t="s">
        <v>379</v>
      </c>
    </row>
    <row r="87" spans="2:4" x14ac:dyDescent="0.35">
      <c r="B87" s="212" t="s">
        <v>15</v>
      </c>
    </row>
    <row r="89" spans="2:4" x14ac:dyDescent="0.35">
      <c r="B89" s="210" t="s">
        <v>378</v>
      </c>
      <c r="C89" s="211">
        <f>C83*C81*C77</f>
        <v>60000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01"/>
  <sheetViews>
    <sheetView topLeftCell="A160" zoomScale="85" zoomScaleNormal="85" workbookViewId="0">
      <selection activeCell="C169" sqref="C169"/>
    </sheetView>
  </sheetViews>
  <sheetFormatPr defaultRowHeight="18.75" x14ac:dyDescent="0.3"/>
  <cols>
    <col min="1" max="1" width="9.140625" style="1"/>
    <col min="2" max="2" width="40.140625" style="1" customWidth="1"/>
    <col min="3" max="3" width="35.28515625" style="1" customWidth="1"/>
    <col min="4" max="5" width="15.5703125" style="1" bestFit="1" customWidth="1"/>
    <col min="6" max="6" width="18" style="1" customWidth="1"/>
    <col min="7" max="7" width="18.5703125" style="1" customWidth="1"/>
    <col min="8" max="8" width="15.42578125" style="1" customWidth="1"/>
    <col min="9" max="9" width="19.140625" style="1" customWidth="1"/>
    <col min="10" max="10" width="16.42578125" style="1" customWidth="1"/>
    <col min="11" max="11" width="18.28515625" style="1" customWidth="1"/>
    <col min="12" max="16384" width="9.140625" style="1"/>
  </cols>
  <sheetData>
    <row r="2" spans="1:11" x14ac:dyDescent="0.3">
      <c r="A2" s="1">
        <v>1</v>
      </c>
      <c r="B2" s="2" t="s">
        <v>664</v>
      </c>
    </row>
    <row r="3" spans="1:11" x14ac:dyDescent="0.3">
      <c r="B3" s="1" t="s">
        <v>663</v>
      </c>
    </row>
    <row r="4" spans="1:11" x14ac:dyDescent="0.3">
      <c r="B4" s="1" t="s">
        <v>662</v>
      </c>
    </row>
    <row r="5" spans="1:11" x14ac:dyDescent="0.3">
      <c r="B5" s="256"/>
      <c r="C5" s="256"/>
      <c r="D5" s="256"/>
      <c r="E5" s="256"/>
      <c r="F5" s="256"/>
      <c r="G5" s="256"/>
      <c r="H5" s="256"/>
      <c r="I5" s="256"/>
      <c r="J5" s="256"/>
      <c r="K5" s="256"/>
    </row>
    <row r="6" spans="1:11" x14ac:dyDescent="0.3">
      <c r="B6" s="257" t="s">
        <v>4</v>
      </c>
      <c r="C6" s="262"/>
      <c r="D6" s="262"/>
      <c r="E6" s="262"/>
      <c r="F6" s="262"/>
      <c r="G6" s="262"/>
      <c r="H6" s="262"/>
      <c r="I6" s="262"/>
      <c r="J6" s="262"/>
      <c r="K6" s="262"/>
    </row>
    <row r="7" spans="1:11" x14ac:dyDescent="0.3">
      <c r="B7" s="261" t="s">
        <v>158</v>
      </c>
      <c r="C7" s="278">
        <v>10000000</v>
      </c>
      <c r="D7" s="262"/>
      <c r="E7" s="262"/>
      <c r="F7" s="262"/>
      <c r="G7" s="262"/>
      <c r="H7" s="275"/>
      <c r="I7" s="262"/>
      <c r="J7" s="262"/>
      <c r="K7" s="262"/>
    </row>
    <row r="8" spans="1:11" x14ac:dyDescent="0.3">
      <c r="B8" s="256" t="s">
        <v>661</v>
      </c>
      <c r="C8" s="266">
        <v>30</v>
      </c>
      <c r="D8" s="258" t="s">
        <v>114</v>
      </c>
      <c r="E8" s="269"/>
      <c r="F8" s="269"/>
      <c r="G8" s="269"/>
      <c r="H8" s="269"/>
      <c r="I8" s="269"/>
      <c r="J8" s="269"/>
      <c r="K8" s="269"/>
    </row>
    <row r="9" spans="1:11" x14ac:dyDescent="0.3">
      <c r="B9" s="256" t="s">
        <v>660</v>
      </c>
      <c r="C9" s="278">
        <v>2000000</v>
      </c>
      <c r="D9" s="256"/>
      <c r="E9" s="256"/>
      <c r="F9" s="256"/>
      <c r="G9" s="256"/>
      <c r="H9" s="256"/>
      <c r="I9" s="256"/>
      <c r="J9" s="256"/>
      <c r="K9" s="256"/>
    </row>
    <row r="10" spans="1:11" x14ac:dyDescent="0.3">
      <c r="B10" s="273"/>
      <c r="C10" s="243"/>
      <c r="D10" s="256"/>
      <c r="E10" s="256"/>
      <c r="F10" s="256"/>
      <c r="G10" s="256"/>
      <c r="H10" s="256"/>
      <c r="I10" s="256"/>
      <c r="J10" s="256"/>
      <c r="K10" s="256"/>
    </row>
    <row r="11" spans="1:11" x14ac:dyDescent="0.3">
      <c r="B11" s="1" t="s">
        <v>155</v>
      </c>
      <c r="C11" s="256" t="s">
        <v>659</v>
      </c>
      <c r="D11" s="256"/>
      <c r="E11" s="243"/>
      <c r="F11" s="243"/>
      <c r="G11" s="243"/>
      <c r="H11" s="243"/>
      <c r="I11" s="243"/>
      <c r="J11" s="243"/>
      <c r="K11" s="243"/>
    </row>
    <row r="12" spans="1:11" x14ac:dyDescent="0.3">
      <c r="B12" s="256" t="s">
        <v>150</v>
      </c>
      <c r="C12" s="258" t="s">
        <v>659</v>
      </c>
      <c r="D12" s="256"/>
      <c r="E12" s="243"/>
      <c r="F12" s="243"/>
      <c r="G12" s="243"/>
      <c r="H12" s="243"/>
      <c r="I12" s="243"/>
      <c r="J12" s="243"/>
      <c r="K12" s="243"/>
    </row>
    <row r="13" spans="1:11" x14ac:dyDescent="0.3">
      <c r="E13" s="243"/>
      <c r="F13" s="243"/>
      <c r="G13" s="243"/>
      <c r="H13" s="243"/>
      <c r="I13" s="243"/>
      <c r="J13" s="243"/>
      <c r="K13" s="243"/>
    </row>
    <row r="14" spans="1:11" x14ac:dyDescent="0.3">
      <c r="B14" s="257" t="s">
        <v>15</v>
      </c>
      <c r="C14" s="243"/>
      <c r="D14" s="256"/>
      <c r="E14" s="277"/>
      <c r="F14" s="277"/>
      <c r="G14" s="277"/>
      <c r="H14" s="277"/>
      <c r="I14" s="277"/>
      <c r="J14" s="277"/>
      <c r="K14" s="269"/>
    </row>
    <row r="15" spans="1:11" x14ac:dyDescent="0.3">
      <c r="B15" s="273"/>
      <c r="C15" s="243"/>
      <c r="D15" s="256"/>
      <c r="E15" s="256"/>
      <c r="F15" s="256"/>
      <c r="G15" s="256"/>
      <c r="H15" s="256"/>
      <c r="I15" s="256"/>
      <c r="J15" s="256"/>
      <c r="K15" s="256"/>
    </row>
    <row r="16" spans="1:11" x14ac:dyDescent="0.3">
      <c r="A16" s="120" t="s">
        <v>155</v>
      </c>
      <c r="B16" s="256" t="s">
        <v>181</v>
      </c>
      <c r="C16" s="272">
        <f>C9/(C7/365)</f>
        <v>73</v>
      </c>
      <c r="D16" s="258" t="s">
        <v>114</v>
      </c>
      <c r="E16" s="256" t="s">
        <v>658</v>
      </c>
      <c r="F16" s="256"/>
      <c r="G16" s="256"/>
      <c r="H16" s="256"/>
      <c r="I16" s="256"/>
      <c r="J16" s="256"/>
      <c r="K16" s="256"/>
    </row>
    <row r="17" spans="1:11" x14ac:dyDescent="0.3">
      <c r="A17" s="120" t="s">
        <v>150</v>
      </c>
      <c r="B17" s="256" t="s">
        <v>181</v>
      </c>
      <c r="C17" s="272">
        <v>30</v>
      </c>
      <c r="D17" s="258" t="s">
        <v>114</v>
      </c>
      <c r="E17" s="243"/>
      <c r="F17" s="243"/>
      <c r="G17" s="243"/>
      <c r="H17" s="243"/>
      <c r="I17" s="243"/>
      <c r="J17" s="243"/>
      <c r="K17" s="243"/>
    </row>
    <row r="18" spans="1:11" x14ac:dyDescent="0.3">
      <c r="C18" s="266"/>
      <c r="D18" s="258"/>
      <c r="E18" s="243"/>
      <c r="F18" s="243"/>
      <c r="G18" s="243"/>
      <c r="H18" s="243"/>
      <c r="I18" s="243"/>
      <c r="J18" s="243"/>
      <c r="K18" s="243"/>
    </row>
    <row r="19" spans="1:11" x14ac:dyDescent="0.3">
      <c r="B19" s="256"/>
      <c r="C19" s="243"/>
      <c r="D19" s="243"/>
      <c r="E19" s="243"/>
      <c r="F19" s="243"/>
      <c r="G19" s="243"/>
      <c r="H19" s="243"/>
      <c r="I19" s="243"/>
      <c r="J19" s="243"/>
      <c r="K19" s="243"/>
    </row>
    <row r="20" spans="1:11" x14ac:dyDescent="0.3">
      <c r="B20" s="276"/>
      <c r="C20" s="243"/>
      <c r="D20" s="243"/>
      <c r="E20" s="243"/>
      <c r="F20" s="243"/>
      <c r="G20" s="243"/>
      <c r="H20" s="243"/>
      <c r="I20" s="243"/>
      <c r="J20" s="243"/>
      <c r="K20" s="269"/>
    </row>
    <row r="21" spans="1:11" x14ac:dyDescent="0.3">
      <c r="A21" s="1">
        <v>2</v>
      </c>
      <c r="B21" s="10" t="s">
        <v>657</v>
      </c>
      <c r="C21" s="243"/>
      <c r="D21" s="243"/>
      <c r="E21" s="243"/>
      <c r="F21" s="243"/>
      <c r="G21" s="243"/>
      <c r="H21" s="243"/>
      <c r="I21" s="243"/>
      <c r="J21" s="243"/>
      <c r="K21" s="256"/>
    </row>
    <row r="22" spans="1:11" x14ac:dyDescent="0.3">
      <c r="B22" s="2" t="s">
        <v>656</v>
      </c>
      <c r="C22" s="243"/>
      <c r="D22" s="256"/>
      <c r="E22" s="256"/>
      <c r="F22" s="256"/>
      <c r="G22" s="243"/>
      <c r="H22" s="256"/>
      <c r="I22" s="256"/>
      <c r="J22" s="243"/>
      <c r="K22" s="256"/>
    </row>
    <row r="23" spans="1:11" x14ac:dyDescent="0.3">
      <c r="B23" s="2" t="s">
        <v>655</v>
      </c>
      <c r="C23" s="243"/>
      <c r="D23" s="256"/>
      <c r="E23" s="256"/>
      <c r="F23" s="256"/>
      <c r="G23" s="256"/>
      <c r="H23" s="243"/>
      <c r="I23" s="256"/>
      <c r="J23" s="256"/>
      <c r="K23" s="256"/>
    </row>
    <row r="24" spans="1:11" x14ac:dyDescent="0.3">
      <c r="B24" s="2" t="s">
        <v>654</v>
      </c>
      <c r="C24" s="243"/>
      <c r="D24" s="243"/>
      <c r="E24" s="274"/>
      <c r="F24" s="274"/>
      <c r="G24" s="274"/>
      <c r="H24" s="274"/>
      <c r="I24" s="274"/>
      <c r="J24" s="274"/>
      <c r="K24" s="243"/>
    </row>
    <row r="25" spans="1:11" x14ac:dyDescent="0.3">
      <c r="B25" s="1" t="s">
        <v>653</v>
      </c>
      <c r="C25" s="256"/>
      <c r="D25" s="256"/>
      <c r="E25" s="256"/>
      <c r="F25" s="256"/>
      <c r="G25" s="256"/>
      <c r="H25" s="256"/>
      <c r="I25" s="256"/>
      <c r="J25" s="256"/>
      <c r="K25" s="256"/>
    </row>
    <row r="26" spans="1:11" x14ac:dyDescent="0.3">
      <c r="B26" s="2" t="s">
        <v>652</v>
      </c>
      <c r="C26" s="262"/>
      <c r="D26" s="262"/>
      <c r="E26" s="262"/>
      <c r="F26" s="262"/>
      <c r="G26" s="262"/>
      <c r="H26" s="262"/>
      <c r="I26" s="262"/>
      <c r="J26" s="262"/>
      <c r="K26" s="262"/>
    </row>
    <row r="27" spans="1:11" x14ac:dyDescent="0.3">
      <c r="B27" s="256" t="s">
        <v>651</v>
      </c>
      <c r="C27" s="262"/>
      <c r="D27" s="262"/>
      <c r="E27" s="262"/>
      <c r="F27" s="262"/>
      <c r="G27" s="262"/>
      <c r="H27" s="275"/>
      <c r="I27" s="262"/>
      <c r="J27" s="262"/>
      <c r="K27" s="262"/>
    </row>
    <row r="28" spans="1:11" x14ac:dyDescent="0.3">
      <c r="B28" s="256"/>
      <c r="C28" s="256"/>
      <c r="D28" s="256"/>
      <c r="E28" s="243"/>
      <c r="F28" s="256"/>
      <c r="G28" s="256"/>
      <c r="H28" s="256"/>
      <c r="I28" s="256"/>
      <c r="J28" s="256"/>
      <c r="K28" s="256"/>
    </row>
    <row r="29" spans="1:11" x14ac:dyDescent="0.3">
      <c r="B29" s="257" t="s">
        <v>4</v>
      </c>
      <c r="C29" s="262"/>
      <c r="D29" s="262"/>
      <c r="E29" s="243"/>
      <c r="F29" s="269"/>
      <c r="G29" s="269"/>
      <c r="H29" s="269"/>
      <c r="I29" s="269"/>
      <c r="J29" s="269"/>
      <c r="K29" s="256"/>
    </row>
    <row r="30" spans="1:11" x14ac:dyDescent="0.3">
      <c r="B30" s="261" t="s">
        <v>618</v>
      </c>
      <c r="C30" s="266">
        <v>75</v>
      </c>
      <c r="D30" s="258" t="s">
        <v>114</v>
      </c>
      <c r="E30" s="243"/>
      <c r="F30" s="243"/>
      <c r="G30" s="243"/>
      <c r="H30" s="243"/>
      <c r="I30" s="243"/>
      <c r="J30" s="243"/>
      <c r="K30" s="256"/>
    </row>
    <row r="31" spans="1:11" x14ac:dyDescent="0.3">
      <c r="B31" s="256" t="s">
        <v>142</v>
      </c>
      <c r="C31" s="266">
        <v>38</v>
      </c>
      <c r="D31" s="258" t="s">
        <v>114</v>
      </c>
      <c r="E31" s="256"/>
      <c r="F31" s="256"/>
      <c r="G31" s="256"/>
      <c r="H31" s="256"/>
      <c r="I31" s="256"/>
      <c r="J31" s="256"/>
      <c r="K31" s="256"/>
    </row>
    <row r="32" spans="1:11" x14ac:dyDescent="0.3">
      <c r="B32" s="256" t="s">
        <v>141</v>
      </c>
      <c r="C32" s="266">
        <v>30</v>
      </c>
      <c r="D32" s="258" t="s">
        <v>114</v>
      </c>
      <c r="E32" s="243"/>
      <c r="F32" s="243"/>
      <c r="G32" s="243"/>
      <c r="H32" s="243"/>
      <c r="I32" s="243"/>
      <c r="J32" s="243"/>
      <c r="K32" s="256"/>
    </row>
    <row r="33" spans="1:11" x14ac:dyDescent="0.3">
      <c r="B33" s="261" t="s">
        <v>650</v>
      </c>
      <c r="C33" s="243">
        <v>3421875</v>
      </c>
      <c r="D33" s="256"/>
      <c r="E33" s="274"/>
      <c r="F33" s="274"/>
      <c r="G33" s="274"/>
      <c r="H33" s="274"/>
      <c r="I33" s="274"/>
      <c r="J33" s="274"/>
      <c r="K33" s="256"/>
    </row>
    <row r="34" spans="1:11" x14ac:dyDescent="0.3">
      <c r="B34" s="1" t="s">
        <v>154</v>
      </c>
      <c r="C34" s="4">
        <v>0.75</v>
      </c>
      <c r="D34" s="1" t="s">
        <v>597</v>
      </c>
      <c r="E34" s="256"/>
      <c r="F34" s="256"/>
      <c r="G34" s="256"/>
      <c r="H34" s="256"/>
      <c r="I34" s="256"/>
      <c r="J34" s="256"/>
      <c r="K34" s="256"/>
    </row>
    <row r="35" spans="1:11" x14ac:dyDescent="0.3">
      <c r="E35" s="256"/>
      <c r="F35" s="256"/>
      <c r="G35" s="256"/>
      <c r="H35" s="256"/>
      <c r="I35" s="256"/>
      <c r="J35" s="256"/>
      <c r="K35" s="256"/>
    </row>
    <row r="36" spans="1:11" x14ac:dyDescent="0.3">
      <c r="E36" s="256"/>
      <c r="F36" s="256"/>
      <c r="G36" s="256"/>
      <c r="H36" s="256"/>
      <c r="I36" s="256"/>
      <c r="J36" s="256"/>
      <c r="K36" s="256"/>
    </row>
    <row r="37" spans="1:11" x14ac:dyDescent="0.3">
      <c r="B37" s="1" t="s">
        <v>155</v>
      </c>
      <c r="C37" s="256" t="s">
        <v>146</v>
      </c>
      <c r="D37" s="256"/>
      <c r="E37" s="256"/>
      <c r="F37" s="256"/>
      <c r="G37" s="256"/>
      <c r="H37" s="256"/>
      <c r="I37" s="256"/>
      <c r="J37" s="256"/>
      <c r="K37" s="256"/>
    </row>
    <row r="38" spans="1:11" x14ac:dyDescent="0.3">
      <c r="B38" s="256" t="s">
        <v>150</v>
      </c>
      <c r="C38" s="243" t="s">
        <v>649</v>
      </c>
      <c r="D38" s="256"/>
      <c r="E38" s="256"/>
      <c r="F38" s="256"/>
      <c r="G38" s="256"/>
      <c r="H38" s="256"/>
      <c r="I38" s="256"/>
      <c r="J38" s="256"/>
      <c r="K38" s="256"/>
    </row>
    <row r="39" spans="1:11" x14ac:dyDescent="0.3">
      <c r="B39" s="1" t="s">
        <v>174</v>
      </c>
      <c r="C39" s="1" t="s">
        <v>648</v>
      </c>
      <c r="E39" s="256"/>
      <c r="F39" s="256"/>
      <c r="G39" s="256"/>
      <c r="H39" s="256"/>
      <c r="I39" s="256"/>
      <c r="J39" s="256"/>
      <c r="K39" s="256"/>
    </row>
    <row r="40" spans="1:11" x14ac:dyDescent="0.3">
      <c r="E40" s="256"/>
      <c r="F40" s="256"/>
      <c r="G40" s="256"/>
      <c r="H40" s="256"/>
      <c r="I40" s="256"/>
      <c r="J40" s="256"/>
      <c r="K40" s="256"/>
    </row>
    <row r="41" spans="1:11" x14ac:dyDescent="0.3">
      <c r="B41" s="257" t="s">
        <v>15</v>
      </c>
      <c r="C41" s="243"/>
      <c r="D41" s="256"/>
      <c r="E41" s="256"/>
      <c r="F41" s="256"/>
      <c r="G41" s="256"/>
      <c r="H41" s="256"/>
      <c r="I41" s="256"/>
      <c r="J41" s="256"/>
      <c r="K41" s="256"/>
    </row>
    <row r="42" spans="1:11" x14ac:dyDescent="0.3">
      <c r="B42" s="273"/>
      <c r="C42" s="243"/>
      <c r="D42" s="256"/>
      <c r="E42" s="256"/>
      <c r="F42" s="256"/>
      <c r="G42" s="256"/>
      <c r="H42" s="256"/>
      <c r="I42" s="256"/>
      <c r="J42" s="256"/>
      <c r="K42" s="256"/>
    </row>
    <row r="43" spans="1:11" x14ac:dyDescent="0.3">
      <c r="A43" s="120" t="s">
        <v>647</v>
      </c>
      <c r="B43" s="256" t="s">
        <v>140</v>
      </c>
      <c r="C43" s="272">
        <f>C30+C31-C32</f>
        <v>83</v>
      </c>
      <c r="D43" s="258" t="s">
        <v>114</v>
      </c>
      <c r="E43" s="256"/>
      <c r="F43" s="256"/>
      <c r="G43" s="256"/>
      <c r="H43" s="256"/>
      <c r="I43" s="256"/>
      <c r="J43" s="256"/>
      <c r="K43" s="256"/>
    </row>
    <row r="44" spans="1:11" x14ac:dyDescent="0.3">
      <c r="B44" s="256"/>
      <c r="C44" s="256"/>
      <c r="D44" s="256"/>
      <c r="E44" s="256"/>
      <c r="F44" s="256"/>
      <c r="G44" s="256"/>
      <c r="H44" s="256"/>
      <c r="I44" s="256"/>
      <c r="J44" s="256"/>
      <c r="K44" s="256"/>
    </row>
    <row r="45" spans="1:11" x14ac:dyDescent="0.3">
      <c r="B45" s="256"/>
      <c r="D45" s="256"/>
      <c r="E45" s="256"/>
      <c r="F45" s="256"/>
      <c r="G45" s="256"/>
      <c r="H45" s="256"/>
      <c r="I45" s="256"/>
      <c r="J45" s="256"/>
      <c r="K45" s="256"/>
    </row>
    <row r="46" spans="1:11" x14ac:dyDescent="0.3">
      <c r="A46" s="120" t="s">
        <v>150</v>
      </c>
      <c r="B46" s="256" t="s">
        <v>646</v>
      </c>
      <c r="C46" s="256"/>
      <c r="D46" s="256"/>
      <c r="E46" s="256"/>
      <c r="F46" s="256"/>
      <c r="G46" s="256"/>
      <c r="H46" s="256"/>
      <c r="I46" s="256"/>
      <c r="J46" s="256"/>
      <c r="K46" s="256"/>
    </row>
    <row r="47" spans="1:11" x14ac:dyDescent="0.3">
      <c r="D47" s="256"/>
      <c r="E47" s="256"/>
      <c r="F47" s="256"/>
      <c r="G47" s="256"/>
      <c r="H47" s="256"/>
      <c r="I47" s="256"/>
      <c r="J47" s="256"/>
      <c r="K47" s="256"/>
    </row>
    <row r="48" spans="1:11" x14ac:dyDescent="0.3">
      <c r="B48" s="256" t="s">
        <v>645</v>
      </c>
      <c r="C48" s="269">
        <f>C33/365</f>
        <v>9375</v>
      </c>
      <c r="D48" s="256"/>
      <c r="E48" s="256"/>
      <c r="F48" s="256"/>
      <c r="G48" s="256"/>
      <c r="H48" s="256"/>
      <c r="I48" s="256"/>
      <c r="J48" s="256"/>
      <c r="K48" s="256"/>
    </row>
    <row r="49" spans="1:11" x14ac:dyDescent="0.3">
      <c r="B49" s="256"/>
      <c r="C49" s="256"/>
      <c r="D49" s="256"/>
      <c r="E49" s="256"/>
      <c r="F49" s="256"/>
      <c r="G49" s="256"/>
      <c r="H49" s="256"/>
      <c r="I49" s="256"/>
      <c r="J49" s="256"/>
      <c r="K49" s="256"/>
    </row>
    <row r="50" spans="1:11" x14ac:dyDescent="0.3">
      <c r="B50" s="256" t="s">
        <v>644</v>
      </c>
      <c r="C50" s="271">
        <f>C31*C48</f>
        <v>356250</v>
      </c>
      <c r="D50" s="256"/>
      <c r="E50" s="256"/>
      <c r="F50" s="256"/>
      <c r="G50" s="256"/>
      <c r="H50" s="256"/>
      <c r="I50" s="256"/>
      <c r="J50" s="256"/>
      <c r="K50" s="256"/>
    </row>
    <row r="51" spans="1:11" x14ac:dyDescent="0.3">
      <c r="B51" s="256"/>
      <c r="C51" s="256"/>
      <c r="D51" s="256"/>
      <c r="E51" s="256"/>
      <c r="F51" s="256"/>
      <c r="G51" s="256"/>
      <c r="H51" s="256"/>
      <c r="I51" s="256"/>
      <c r="J51" s="256"/>
      <c r="K51" s="256"/>
    </row>
    <row r="52" spans="1:11" x14ac:dyDescent="0.3">
      <c r="A52" s="120" t="s">
        <v>174</v>
      </c>
      <c r="D52" s="256"/>
      <c r="E52" s="256"/>
      <c r="F52" s="256"/>
      <c r="G52" s="256"/>
      <c r="H52" s="256"/>
      <c r="I52" s="256"/>
      <c r="J52" s="256"/>
      <c r="K52" s="256"/>
    </row>
    <row r="53" spans="1:11" x14ac:dyDescent="0.3">
      <c r="B53" s="1" t="s">
        <v>154</v>
      </c>
      <c r="C53" s="5">
        <f>C34*C33</f>
        <v>2566406.25</v>
      </c>
      <c r="D53" s="256"/>
      <c r="E53" s="256"/>
      <c r="F53" s="256"/>
      <c r="G53" s="256"/>
      <c r="H53" s="256"/>
      <c r="I53" s="256"/>
      <c r="J53" s="256"/>
      <c r="K53" s="256"/>
    </row>
    <row r="54" spans="1:11" x14ac:dyDescent="0.3">
      <c r="D54" s="256"/>
      <c r="E54" s="256"/>
      <c r="F54" s="256"/>
      <c r="G54" s="256"/>
      <c r="H54" s="256"/>
      <c r="I54" s="256"/>
      <c r="J54" s="256"/>
      <c r="K54" s="256"/>
    </row>
    <row r="55" spans="1:11" x14ac:dyDescent="0.3">
      <c r="B55" s="1" t="s">
        <v>643</v>
      </c>
      <c r="C55" s="269">
        <f>C53/365</f>
        <v>7031.25</v>
      </c>
      <c r="D55" s="256"/>
      <c r="E55" s="256"/>
      <c r="F55" s="256"/>
      <c r="G55" s="256"/>
      <c r="H55" s="256"/>
      <c r="I55" s="256"/>
      <c r="J55" s="256"/>
      <c r="K55" s="256"/>
    </row>
    <row r="56" spans="1:11" x14ac:dyDescent="0.3">
      <c r="B56" s="256"/>
      <c r="C56" s="256"/>
      <c r="D56" s="256"/>
      <c r="E56" s="256"/>
      <c r="F56" s="256"/>
      <c r="G56" s="256"/>
      <c r="H56" s="256"/>
      <c r="I56" s="256"/>
      <c r="J56" s="256"/>
      <c r="K56" s="256"/>
    </row>
    <row r="57" spans="1:11" x14ac:dyDescent="0.3">
      <c r="B57" s="256" t="s">
        <v>149</v>
      </c>
      <c r="C57" s="269">
        <f>C30*C55</f>
        <v>527343.75</v>
      </c>
      <c r="D57" s="256"/>
      <c r="E57" s="256"/>
      <c r="F57" s="256"/>
      <c r="G57" s="256"/>
      <c r="H57" s="256"/>
      <c r="I57" s="256"/>
      <c r="J57" s="256"/>
      <c r="K57" s="256"/>
    </row>
    <row r="58" spans="1:11" x14ac:dyDescent="0.3">
      <c r="B58" s="256"/>
      <c r="C58" s="256"/>
      <c r="D58" s="256"/>
      <c r="E58" s="256"/>
      <c r="F58" s="256"/>
      <c r="G58" s="256"/>
      <c r="H58" s="256"/>
      <c r="I58" s="256"/>
      <c r="J58" s="256"/>
      <c r="K58" s="256"/>
    </row>
    <row r="59" spans="1:11" x14ac:dyDescent="0.3">
      <c r="B59" s="1" t="s">
        <v>642</v>
      </c>
      <c r="C59" s="270">
        <f>C33/C57</f>
        <v>6.4888888888888889</v>
      </c>
      <c r="D59" s="256"/>
      <c r="E59" s="256" t="s">
        <v>641</v>
      </c>
      <c r="F59" s="256"/>
      <c r="G59" s="256"/>
      <c r="H59" s="256"/>
      <c r="I59" s="256"/>
      <c r="J59" s="256"/>
      <c r="K59" s="256"/>
    </row>
    <row r="60" spans="1:11" x14ac:dyDescent="0.3">
      <c r="C60" s="269"/>
      <c r="D60" s="256"/>
      <c r="E60" s="256"/>
      <c r="F60" s="256"/>
      <c r="G60" s="256"/>
      <c r="H60" s="256"/>
      <c r="I60" s="256"/>
      <c r="J60" s="256"/>
      <c r="K60" s="256"/>
    </row>
    <row r="61" spans="1:11" x14ac:dyDescent="0.3">
      <c r="B61" s="256"/>
      <c r="C61" s="256"/>
      <c r="D61" s="256"/>
      <c r="E61" s="256"/>
      <c r="F61" s="256"/>
      <c r="G61" s="256"/>
      <c r="H61" s="256"/>
      <c r="I61" s="256"/>
      <c r="J61" s="256"/>
      <c r="K61" s="256"/>
    </row>
    <row r="62" spans="1:11" x14ac:dyDescent="0.3">
      <c r="D62" s="256"/>
      <c r="E62" s="256"/>
      <c r="F62" s="256"/>
      <c r="G62" s="256"/>
      <c r="H62" s="256"/>
      <c r="I62" s="256"/>
      <c r="J62" s="256"/>
      <c r="K62" s="256"/>
    </row>
    <row r="63" spans="1:11" x14ac:dyDescent="0.3">
      <c r="A63" s="1">
        <v>3</v>
      </c>
      <c r="B63" s="2" t="s">
        <v>640</v>
      </c>
      <c r="D63" s="256"/>
      <c r="E63" s="256"/>
      <c r="F63" s="256"/>
      <c r="G63" s="256"/>
      <c r="H63" s="256"/>
      <c r="I63" s="256"/>
      <c r="J63" s="256"/>
      <c r="K63" s="256"/>
    </row>
    <row r="64" spans="1:11" x14ac:dyDescent="0.3">
      <c r="B64" s="2" t="s">
        <v>639</v>
      </c>
      <c r="D64" s="256"/>
      <c r="E64" s="256"/>
      <c r="F64" s="256"/>
      <c r="G64" s="256"/>
      <c r="H64" s="256"/>
      <c r="I64" s="256"/>
      <c r="J64" s="256"/>
      <c r="K64" s="256"/>
    </row>
    <row r="65" spans="2:11" x14ac:dyDescent="0.3">
      <c r="B65" s="1" t="s">
        <v>638</v>
      </c>
      <c r="D65" s="256"/>
      <c r="E65" s="256"/>
      <c r="F65" s="256"/>
      <c r="G65" s="256"/>
      <c r="H65" s="256"/>
      <c r="I65" s="256"/>
      <c r="J65" s="256"/>
      <c r="K65" s="256"/>
    </row>
    <row r="66" spans="2:11" x14ac:dyDescent="0.3">
      <c r="B66" s="1" t="s">
        <v>637</v>
      </c>
      <c r="D66" s="256"/>
      <c r="E66" s="256"/>
      <c r="F66" s="256"/>
      <c r="G66" s="256"/>
      <c r="H66" s="256"/>
      <c r="I66" s="256"/>
      <c r="J66" s="256"/>
      <c r="K66" s="256"/>
    </row>
    <row r="67" spans="2:11" x14ac:dyDescent="0.3">
      <c r="B67" s="2" t="s">
        <v>636</v>
      </c>
      <c r="C67" s="268"/>
      <c r="D67" s="256"/>
      <c r="E67" s="256"/>
      <c r="F67" s="256"/>
      <c r="G67" s="256"/>
      <c r="H67" s="256"/>
      <c r="I67" s="256"/>
      <c r="J67" s="256"/>
      <c r="K67" s="256"/>
    </row>
    <row r="68" spans="2:11" x14ac:dyDescent="0.3">
      <c r="B68" s="2" t="s">
        <v>635</v>
      </c>
      <c r="C68" s="256"/>
      <c r="D68" s="256"/>
      <c r="E68" s="256"/>
      <c r="F68" s="256"/>
      <c r="G68" s="256"/>
      <c r="H68" s="256"/>
      <c r="I68" s="256"/>
      <c r="J68" s="256"/>
      <c r="K68" s="256"/>
    </row>
    <row r="69" spans="2:11" x14ac:dyDescent="0.3">
      <c r="B69" s="2" t="s">
        <v>634</v>
      </c>
      <c r="C69" s="268"/>
      <c r="D69" s="256"/>
      <c r="E69" s="256"/>
      <c r="F69" s="256"/>
      <c r="G69" s="256"/>
      <c r="H69" s="256"/>
      <c r="I69" s="256"/>
      <c r="J69" s="256"/>
      <c r="K69" s="256"/>
    </row>
    <row r="70" spans="2:11" x14ac:dyDescent="0.3">
      <c r="B70" s="2" t="s">
        <v>633</v>
      </c>
      <c r="C70" s="256"/>
      <c r="D70" s="256"/>
      <c r="E70" s="256"/>
      <c r="F70" s="256"/>
      <c r="G70" s="256"/>
      <c r="H70" s="256"/>
      <c r="I70" s="256"/>
      <c r="J70" s="256"/>
      <c r="K70" s="256"/>
    </row>
    <row r="71" spans="2:11" x14ac:dyDescent="0.3">
      <c r="B71" s="1" t="s">
        <v>632</v>
      </c>
      <c r="C71" s="256"/>
      <c r="D71" s="256"/>
      <c r="E71" s="256"/>
      <c r="F71" s="256"/>
      <c r="G71" s="256"/>
      <c r="H71" s="256"/>
      <c r="I71" s="256"/>
      <c r="J71" s="256"/>
      <c r="K71" s="256"/>
    </row>
    <row r="72" spans="2:11" x14ac:dyDescent="0.3">
      <c r="B72" s="1" t="s">
        <v>631</v>
      </c>
      <c r="C72" s="256"/>
      <c r="D72" s="256"/>
      <c r="E72" s="256"/>
      <c r="F72" s="256"/>
      <c r="G72" s="256"/>
      <c r="H72" s="256"/>
      <c r="I72" s="256"/>
      <c r="J72" s="256"/>
      <c r="K72" s="256"/>
    </row>
    <row r="73" spans="2:11" x14ac:dyDescent="0.3">
      <c r="B73" s="1" t="s">
        <v>630</v>
      </c>
      <c r="C73" s="256"/>
      <c r="D73" s="256"/>
      <c r="E73" s="256"/>
      <c r="F73" s="256"/>
      <c r="G73" s="256"/>
      <c r="H73" s="256"/>
      <c r="I73" s="256"/>
      <c r="J73" s="256"/>
      <c r="K73" s="256"/>
    </row>
    <row r="74" spans="2:11" x14ac:dyDescent="0.3">
      <c r="B74" s="1" t="s">
        <v>629</v>
      </c>
      <c r="C74" s="256"/>
      <c r="D74" s="256"/>
      <c r="E74" s="256"/>
      <c r="F74" s="256"/>
      <c r="G74" s="256"/>
      <c r="H74" s="256"/>
      <c r="I74" s="256"/>
      <c r="J74" s="256"/>
      <c r="K74" s="256"/>
    </row>
    <row r="75" spans="2:11" x14ac:dyDescent="0.3">
      <c r="B75" s="256" t="s">
        <v>628</v>
      </c>
      <c r="C75" s="256"/>
      <c r="D75" s="256"/>
      <c r="E75" s="256"/>
      <c r="F75" s="256"/>
      <c r="G75" s="256"/>
      <c r="H75" s="256"/>
      <c r="I75" s="256"/>
      <c r="J75" s="256"/>
      <c r="K75" s="256"/>
    </row>
    <row r="76" spans="2:11" x14ac:dyDescent="0.3">
      <c r="B76" s="2" t="s">
        <v>627</v>
      </c>
      <c r="C76" s="256"/>
      <c r="D76" s="256"/>
      <c r="E76" s="256"/>
      <c r="F76" s="256"/>
      <c r="G76" s="256"/>
      <c r="H76" s="256"/>
      <c r="I76" s="256"/>
      <c r="J76" s="256"/>
      <c r="K76" s="256"/>
    </row>
    <row r="77" spans="2:11" x14ac:dyDescent="0.3">
      <c r="B77" s="256"/>
      <c r="C77" s="256"/>
      <c r="D77" s="256"/>
      <c r="E77" s="256"/>
      <c r="F77" s="256"/>
      <c r="G77" s="256"/>
      <c r="H77" s="256"/>
      <c r="I77" s="256"/>
      <c r="J77" s="256"/>
      <c r="K77" s="256"/>
    </row>
    <row r="78" spans="2:11" x14ac:dyDescent="0.3">
      <c r="B78" s="257" t="s">
        <v>4</v>
      </c>
      <c r="C78" s="262"/>
      <c r="D78" s="262"/>
      <c r="E78" s="256"/>
      <c r="F78" s="256"/>
      <c r="G78" s="256"/>
      <c r="H78" s="256"/>
      <c r="I78" s="256"/>
      <c r="J78" s="256"/>
      <c r="K78" s="256"/>
    </row>
    <row r="79" spans="2:11" x14ac:dyDescent="0.3">
      <c r="B79" s="261" t="s">
        <v>621</v>
      </c>
      <c r="C79" s="266">
        <v>1500</v>
      </c>
      <c r="D79" s="258" t="s">
        <v>620</v>
      </c>
      <c r="E79" s="256"/>
      <c r="F79" s="256"/>
      <c r="G79" s="256"/>
      <c r="H79" s="256"/>
      <c r="I79" s="256"/>
      <c r="J79" s="256"/>
      <c r="K79" s="256"/>
    </row>
    <row r="80" spans="2:11" x14ac:dyDescent="0.3">
      <c r="B80" s="256" t="s">
        <v>619</v>
      </c>
      <c r="C80" s="259">
        <v>6</v>
      </c>
      <c r="D80" s="258"/>
      <c r="E80" s="256"/>
      <c r="F80" s="256"/>
      <c r="G80" s="256"/>
      <c r="H80" s="256"/>
      <c r="I80" s="256"/>
      <c r="J80" s="256"/>
      <c r="K80" s="256"/>
    </row>
    <row r="81" spans="1:11" x14ac:dyDescent="0.3">
      <c r="B81" s="261" t="s">
        <v>618</v>
      </c>
      <c r="C81" s="266">
        <v>22</v>
      </c>
      <c r="D81" s="258" t="s">
        <v>114</v>
      </c>
      <c r="E81" s="256"/>
      <c r="F81" s="256"/>
      <c r="G81" s="256"/>
      <c r="H81" s="256"/>
      <c r="I81" s="256"/>
      <c r="J81" s="256"/>
      <c r="K81" s="256"/>
    </row>
    <row r="82" spans="1:11" x14ac:dyDescent="0.3">
      <c r="B82" s="256" t="s">
        <v>142</v>
      </c>
      <c r="C82" s="266">
        <v>40</v>
      </c>
      <c r="D82" s="258" t="s">
        <v>114</v>
      </c>
      <c r="E82" s="256"/>
      <c r="F82" s="256"/>
      <c r="G82" s="256"/>
      <c r="H82" s="256"/>
      <c r="I82" s="256"/>
      <c r="J82" s="256"/>
      <c r="K82" s="256"/>
    </row>
    <row r="83" spans="1:11" x14ac:dyDescent="0.3">
      <c r="B83" s="256" t="s">
        <v>141</v>
      </c>
      <c r="C83" s="266">
        <v>30</v>
      </c>
      <c r="D83" s="258" t="s">
        <v>114</v>
      </c>
      <c r="E83" s="256"/>
      <c r="F83" s="256"/>
      <c r="G83" s="256"/>
      <c r="H83" s="256"/>
      <c r="I83" s="256"/>
      <c r="J83" s="256"/>
      <c r="K83" s="256"/>
    </row>
    <row r="84" spans="1:11" x14ac:dyDescent="0.3">
      <c r="B84" s="256"/>
      <c r="C84" s="256"/>
      <c r="D84" s="256"/>
      <c r="E84" s="256"/>
      <c r="F84" s="256"/>
      <c r="G84" s="256"/>
      <c r="H84" s="256"/>
      <c r="I84" s="256"/>
      <c r="J84" s="256"/>
      <c r="K84" s="256"/>
    </row>
    <row r="85" spans="1:11" x14ac:dyDescent="0.3">
      <c r="A85" s="120" t="s">
        <v>155</v>
      </c>
      <c r="B85" s="256" t="s">
        <v>146</v>
      </c>
      <c r="C85" s="256"/>
      <c r="D85" s="256"/>
      <c r="E85" s="256"/>
      <c r="F85" s="256"/>
      <c r="G85" s="256"/>
      <c r="H85" s="256"/>
      <c r="I85" s="256"/>
      <c r="J85" s="256"/>
      <c r="K85" s="256"/>
    </row>
    <row r="86" spans="1:11" x14ac:dyDescent="0.3">
      <c r="B86" s="256"/>
      <c r="C86" s="256"/>
      <c r="D86" s="256"/>
      <c r="E86" s="256"/>
      <c r="F86" s="256"/>
      <c r="G86" s="256"/>
      <c r="H86" s="256"/>
      <c r="I86" s="256"/>
      <c r="J86" s="256"/>
      <c r="K86" s="256"/>
    </row>
    <row r="87" spans="1:11" x14ac:dyDescent="0.3">
      <c r="B87" s="256" t="s">
        <v>140</v>
      </c>
      <c r="C87" s="265">
        <f>C81+C82-C83</f>
        <v>32</v>
      </c>
      <c r="D87" s="256" t="s">
        <v>114</v>
      </c>
      <c r="E87" s="256"/>
      <c r="F87" s="256"/>
      <c r="G87" s="256"/>
      <c r="H87" s="256"/>
      <c r="I87" s="256"/>
      <c r="J87" s="256"/>
      <c r="K87" s="256"/>
    </row>
    <row r="88" spans="1:11" x14ac:dyDescent="0.3">
      <c r="B88" s="256"/>
      <c r="C88" s="256"/>
      <c r="D88" s="256"/>
      <c r="E88" s="256"/>
      <c r="F88" s="256"/>
      <c r="G88" s="256"/>
      <c r="H88" s="256"/>
      <c r="I88" s="256"/>
      <c r="J88" s="256"/>
      <c r="K88" s="256"/>
    </row>
    <row r="89" spans="1:11" x14ac:dyDescent="0.3">
      <c r="A89" s="120" t="s">
        <v>150</v>
      </c>
      <c r="B89" s="256" t="s">
        <v>626</v>
      </c>
      <c r="C89" s="264">
        <f>C79*C80</f>
        <v>9000</v>
      </c>
      <c r="D89" s="256"/>
      <c r="E89" s="256"/>
      <c r="F89" s="256"/>
      <c r="G89" s="256"/>
      <c r="H89" s="256"/>
      <c r="I89" s="256"/>
      <c r="J89" s="256"/>
      <c r="K89" s="256"/>
    </row>
    <row r="90" spans="1:11" x14ac:dyDescent="0.3">
      <c r="D90" s="256"/>
      <c r="E90" s="256"/>
      <c r="F90" s="256"/>
      <c r="G90" s="256"/>
      <c r="H90" s="256"/>
      <c r="I90" s="256"/>
      <c r="J90" s="256"/>
      <c r="K90" s="256"/>
    </row>
    <row r="91" spans="1:11" x14ac:dyDescent="0.3">
      <c r="B91" s="1" t="s">
        <v>625</v>
      </c>
      <c r="C91" s="263">
        <f>C89*C87</f>
        <v>288000</v>
      </c>
      <c r="D91" s="256"/>
      <c r="E91" s="256"/>
      <c r="F91" s="256"/>
      <c r="G91" s="256"/>
      <c r="H91" s="256"/>
      <c r="I91" s="256"/>
      <c r="J91" s="256"/>
      <c r="K91" s="256"/>
    </row>
    <row r="92" spans="1:11" x14ac:dyDescent="0.3">
      <c r="B92" s="256"/>
      <c r="C92" s="256"/>
      <c r="D92" s="256"/>
      <c r="E92" s="256"/>
      <c r="F92" s="256"/>
      <c r="G92" s="256"/>
      <c r="H92" s="256"/>
      <c r="I92" s="256"/>
      <c r="J92" s="256"/>
      <c r="K92" s="256"/>
    </row>
    <row r="93" spans="1:11" x14ac:dyDescent="0.3">
      <c r="A93" s="120" t="s">
        <v>174</v>
      </c>
      <c r="C93" s="256"/>
      <c r="D93" s="256"/>
      <c r="E93" s="256"/>
      <c r="F93" s="256"/>
      <c r="G93" s="256"/>
      <c r="H93" s="256"/>
      <c r="I93" s="256"/>
      <c r="J93" s="256"/>
      <c r="K93" s="256"/>
    </row>
    <row r="94" spans="1:11" x14ac:dyDescent="0.3">
      <c r="B94" s="256" t="s">
        <v>141</v>
      </c>
      <c r="C94" s="256">
        <v>35</v>
      </c>
      <c r="D94" s="256" t="s">
        <v>114</v>
      </c>
      <c r="E94" s="256"/>
      <c r="F94" s="256"/>
      <c r="G94" s="256"/>
      <c r="H94" s="256"/>
      <c r="I94" s="256"/>
      <c r="J94" s="256"/>
      <c r="K94" s="256"/>
    </row>
    <row r="95" spans="1:11" x14ac:dyDescent="0.3">
      <c r="B95" s="256"/>
      <c r="C95" s="256"/>
      <c r="D95" s="256"/>
      <c r="E95" s="256"/>
      <c r="F95" s="256"/>
      <c r="G95" s="256"/>
      <c r="H95" s="256"/>
      <c r="I95" s="256"/>
      <c r="J95" s="256"/>
      <c r="K95" s="256"/>
    </row>
    <row r="96" spans="1:11" x14ac:dyDescent="0.3">
      <c r="B96" s="256" t="s">
        <v>151</v>
      </c>
      <c r="C96" s="267">
        <f>C81+C82-C94</f>
        <v>27</v>
      </c>
      <c r="D96" s="256" t="s">
        <v>114</v>
      </c>
      <c r="E96" s="256"/>
      <c r="F96" s="256"/>
      <c r="G96" s="256"/>
      <c r="H96" s="256"/>
      <c r="I96" s="256"/>
      <c r="J96" s="256"/>
      <c r="K96" s="256"/>
    </row>
    <row r="97" spans="1:11" x14ac:dyDescent="0.3">
      <c r="B97" s="256"/>
      <c r="C97" s="256"/>
      <c r="D97" s="256"/>
      <c r="E97" s="256"/>
      <c r="F97" s="256"/>
      <c r="G97" s="256"/>
      <c r="H97" s="256"/>
      <c r="I97" s="256"/>
      <c r="J97" s="256"/>
      <c r="K97" s="256"/>
    </row>
    <row r="98" spans="1:11" x14ac:dyDescent="0.3">
      <c r="B98" s="1" t="s">
        <v>624</v>
      </c>
      <c r="C98" s="264">
        <f>C89*C96</f>
        <v>243000</v>
      </c>
      <c r="D98" s="256"/>
      <c r="E98" s="256"/>
      <c r="F98" s="256"/>
      <c r="G98" s="256"/>
      <c r="H98" s="256"/>
      <c r="I98" s="256"/>
      <c r="J98" s="256"/>
      <c r="K98" s="256"/>
    </row>
    <row r="99" spans="1:11" x14ac:dyDescent="0.3">
      <c r="B99" s="256"/>
      <c r="C99" s="256"/>
      <c r="D99" s="256"/>
      <c r="E99" s="256"/>
      <c r="F99" s="256"/>
      <c r="G99" s="256"/>
      <c r="H99" s="256"/>
      <c r="I99" s="256"/>
      <c r="J99" s="256"/>
      <c r="K99" s="256"/>
    </row>
    <row r="100" spans="1:11" x14ac:dyDescent="0.3">
      <c r="B100" s="256" t="s">
        <v>623</v>
      </c>
      <c r="C100" s="263">
        <f>C91-C98</f>
        <v>45000</v>
      </c>
      <c r="D100" s="256"/>
      <c r="E100" s="256"/>
      <c r="F100" s="256"/>
      <c r="G100" s="256"/>
      <c r="H100" s="256"/>
      <c r="I100" s="256"/>
      <c r="J100" s="256"/>
      <c r="K100" s="256"/>
    </row>
    <row r="101" spans="1:11" x14ac:dyDescent="0.3">
      <c r="B101" s="256"/>
      <c r="C101" s="256"/>
      <c r="D101" s="256"/>
      <c r="E101" s="256"/>
      <c r="F101" s="256"/>
      <c r="G101" s="256"/>
      <c r="H101" s="256"/>
      <c r="I101" s="256"/>
      <c r="J101" s="256"/>
      <c r="K101" s="256"/>
    </row>
    <row r="102" spans="1:11" x14ac:dyDescent="0.3">
      <c r="B102" s="256"/>
      <c r="C102" s="256"/>
      <c r="D102" s="256"/>
      <c r="E102" s="256"/>
      <c r="F102" s="256"/>
      <c r="G102" s="256"/>
      <c r="H102" s="256"/>
      <c r="I102" s="256"/>
      <c r="J102" s="256"/>
      <c r="K102" s="256"/>
    </row>
    <row r="103" spans="1:11" x14ac:dyDescent="0.3">
      <c r="A103" s="120" t="s">
        <v>622</v>
      </c>
      <c r="B103" s="256"/>
      <c r="C103" s="256"/>
      <c r="D103" s="256"/>
      <c r="E103" s="256"/>
      <c r="F103" s="256"/>
      <c r="G103" s="256"/>
      <c r="H103" s="256"/>
      <c r="I103" s="256"/>
      <c r="J103" s="256"/>
      <c r="K103" s="256"/>
    </row>
    <row r="104" spans="1:11" x14ac:dyDescent="0.3">
      <c r="B104" s="261" t="s">
        <v>621</v>
      </c>
      <c r="C104" s="266">
        <v>1800</v>
      </c>
      <c r="D104" s="258" t="s">
        <v>620</v>
      </c>
      <c r="E104" s="256"/>
      <c r="F104" s="256"/>
      <c r="G104" s="256"/>
      <c r="H104" s="256"/>
      <c r="I104" s="256"/>
      <c r="J104" s="256"/>
      <c r="K104" s="256"/>
    </row>
    <row r="105" spans="1:11" x14ac:dyDescent="0.3">
      <c r="B105" s="256" t="s">
        <v>619</v>
      </c>
      <c r="C105" s="259">
        <v>7</v>
      </c>
      <c r="D105" s="256"/>
      <c r="E105" s="256"/>
      <c r="F105" s="256"/>
      <c r="G105" s="256"/>
      <c r="H105" s="256"/>
      <c r="I105" s="256"/>
      <c r="J105" s="256"/>
      <c r="K105" s="256"/>
    </row>
    <row r="106" spans="1:11" x14ac:dyDescent="0.3">
      <c r="B106" s="261" t="s">
        <v>618</v>
      </c>
      <c r="C106" s="266">
        <v>20</v>
      </c>
      <c r="D106" s="258" t="s">
        <v>114</v>
      </c>
      <c r="E106" s="256"/>
      <c r="F106" s="256"/>
      <c r="G106" s="256"/>
      <c r="H106" s="256"/>
      <c r="I106" s="256"/>
      <c r="J106" s="256"/>
      <c r="K106" s="256"/>
    </row>
    <row r="107" spans="1:11" x14ac:dyDescent="0.3">
      <c r="B107" s="256" t="s">
        <v>142</v>
      </c>
      <c r="C107" s="266">
        <v>40</v>
      </c>
      <c r="D107" s="258" t="s">
        <v>114</v>
      </c>
      <c r="E107" s="256"/>
      <c r="F107" s="256"/>
      <c r="G107" s="256"/>
      <c r="H107" s="256"/>
      <c r="I107" s="256"/>
      <c r="J107" s="256"/>
      <c r="K107" s="256"/>
    </row>
    <row r="108" spans="1:11" x14ac:dyDescent="0.3">
      <c r="B108" s="256" t="s">
        <v>141</v>
      </c>
      <c r="C108" s="266">
        <v>30</v>
      </c>
      <c r="D108" s="258" t="s">
        <v>114</v>
      </c>
      <c r="E108" s="256"/>
      <c r="F108" s="256"/>
      <c r="G108" s="256"/>
      <c r="H108" s="256"/>
      <c r="I108" s="256"/>
      <c r="J108" s="256"/>
      <c r="K108" s="256"/>
    </row>
    <row r="109" spans="1:11" x14ac:dyDescent="0.3">
      <c r="B109" s="256"/>
      <c r="C109" s="256"/>
      <c r="D109" s="256"/>
      <c r="E109" s="256"/>
      <c r="F109" s="256"/>
      <c r="G109" s="256"/>
      <c r="H109" s="256"/>
      <c r="I109" s="256"/>
      <c r="J109" s="256"/>
      <c r="K109" s="256"/>
    </row>
    <row r="110" spans="1:11" x14ac:dyDescent="0.3">
      <c r="B110" s="256" t="s">
        <v>146</v>
      </c>
      <c r="C110" s="256"/>
      <c r="D110" s="256"/>
      <c r="E110" s="256"/>
      <c r="F110" s="256"/>
      <c r="G110" s="256"/>
      <c r="H110" s="256"/>
      <c r="I110" s="256"/>
      <c r="J110" s="256"/>
      <c r="K110" s="256"/>
    </row>
    <row r="111" spans="1:11" x14ac:dyDescent="0.3">
      <c r="B111" s="256" t="s">
        <v>617</v>
      </c>
      <c r="C111" s="256"/>
      <c r="D111" s="256"/>
      <c r="E111" s="256"/>
      <c r="F111" s="256"/>
      <c r="G111" s="256"/>
      <c r="H111" s="256"/>
      <c r="I111" s="256"/>
      <c r="J111" s="256"/>
      <c r="K111" s="256"/>
    </row>
    <row r="112" spans="1:11" x14ac:dyDescent="0.3">
      <c r="B112" s="256"/>
      <c r="C112" s="256"/>
      <c r="D112" s="256"/>
      <c r="E112" s="256"/>
      <c r="F112" s="256"/>
      <c r="G112" s="256"/>
      <c r="H112" s="256"/>
      <c r="I112" s="256"/>
      <c r="J112" s="256"/>
      <c r="K112" s="256"/>
    </row>
    <row r="113" spans="1:11" x14ac:dyDescent="0.3">
      <c r="B113" s="256" t="s">
        <v>140</v>
      </c>
      <c r="C113" s="265">
        <f>C106+C107-C108</f>
        <v>30</v>
      </c>
      <c r="D113" s="256" t="s">
        <v>616</v>
      </c>
      <c r="E113" s="256"/>
      <c r="F113" s="256"/>
      <c r="G113" s="256"/>
      <c r="H113" s="256"/>
      <c r="I113" s="256"/>
      <c r="J113" s="256"/>
      <c r="K113" s="256"/>
    </row>
    <row r="114" spans="1:11" x14ac:dyDescent="0.3">
      <c r="B114" s="256"/>
      <c r="C114" s="256"/>
      <c r="D114" s="256"/>
      <c r="E114" s="256"/>
      <c r="F114" s="256"/>
      <c r="G114" s="256"/>
      <c r="H114" s="256"/>
      <c r="I114" s="256"/>
      <c r="J114" s="256"/>
      <c r="K114" s="256"/>
    </row>
    <row r="115" spans="1:11" x14ac:dyDescent="0.3">
      <c r="B115" s="256" t="s">
        <v>615</v>
      </c>
      <c r="C115" s="264">
        <f>C104*C105</f>
        <v>12600</v>
      </c>
      <c r="D115" s="256"/>
      <c r="E115" s="256"/>
      <c r="F115" s="256"/>
      <c r="G115" s="256"/>
      <c r="H115" s="256"/>
      <c r="I115" s="256"/>
      <c r="J115" s="256"/>
      <c r="K115" s="256"/>
    </row>
    <row r="116" spans="1:11" x14ac:dyDescent="0.3">
      <c r="B116" s="256"/>
      <c r="C116" s="256"/>
      <c r="D116" s="256"/>
      <c r="E116" s="256"/>
      <c r="F116" s="256"/>
      <c r="G116" s="256"/>
      <c r="H116" s="256"/>
      <c r="I116" s="256"/>
      <c r="J116" s="256"/>
      <c r="K116" s="256"/>
    </row>
    <row r="117" spans="1:11" x14ac:dyDescent="0.3">
      <c r="B117" s="256" t="s">
        <v>614</v>
      </c>
      <c r="C117" s="263">
        <f>C115*C113</f>
        <v>378000</v>
      </c>
      <c r="D117" s="256"/>
      <c r="E117" s="256"/>
      <c r="F117" s="256"/>
      <c r="G117" s="256"/>
      <c r="H117" s="256"/>
      <c r="I117" s="256"/>
      <c r="J117" s="256"/>
      <c r="K117" s="256"/>
    </row>
    <row r="118" spans="1:11" x14ac:dyDescent="0.3">
      <c r="B118" s="256"/>
      <c r="C118" s="256"/>
      <c r="D118" s="256"/>
      <c r="E118" s="256"/>
      <c r="F118" s="256"/>
      <c r="G118" s="256"/>
      <c r="H118" s="256"/>
      <c r="I118" s="256"/>
      <c r="J118" s="256"/>
      <c r="K118" s="256"/>
    </row>
    <row r="119" spans="1:11" x14ac:dyDescent="0.3">
      <c r="B119" s="256"/>
      <c r="C119" s="256"/>
      <c r="D119" s="256"/>
      <c r="E119" s="256"/>
      <c r="F119" s="256"/>
      <c r="G119" s="256"/>
      <c r="H119" s="256"/>
      <c r="I119" s="256"/>
      <c r="J119" s="256"/>
      <c r="K119" s="256"/>
    </row>
    <row r="120" spans="1:11" x14ac:dyDescent="0.3">
      <c r="B120" s="256"/>
      <c r="C120" s="256"/>
      <c r="D120" s="256"/>
      <c r="E120" s="256"/>
      <c r="F120" s="256"/>
      <c r="G120" s="256"/>
      <c r="H120" s="256"/>
      <c r="I120" s="256"/>
      <c r="J120" s="256"/>
      <c r="K120" s="256"/>
    </row>
    <row r="121" spans="1:11" x14ac:dyDescent="0.3">
      <c r="A121" s="1">
        <v>4</v>
      </c>
      <c r="B121" s="2" t="s">
        <v>613</v>
      </c>
      <c r="C121" s="256"/>
      <c r="D121" s="256"/>
      <c r="E121" s="256"/>
      <c r="F121" s="256"/>
      <c r="G121" s="256"/>
      <c r="H121" s="256"/>
      <c r="I121" s="256"/>
      <c r="J121" s="256"/>
      <c r="K121" s="256"/>
    </row>
    <row r="122" spans="1:11" x14ac:dyDescent="0.3">
      <c r="B122" s="1" t="s">
        <v>612</v>
      </c>
      <c r="C122" s="256"/>
      <c r="D122" s="256"/>
      <c r="E122" s="256"/>
      <c r="F122" s="256"/>
      <c r="G122" s="256"/>
      <c r="H122" s="256"/>
      <c r="I122" s="256"/>
      <c r="J122" s="256"/>
      <c r="K122" s="256"/>
    </row>
    <row r="123" spans="1:11" x14ac:dyDescent="0.3">
      <c r="B123" s="1" t="s">
        <v>611</v>
      </c>
      <c r="C123" s="256"/>
      <c r="D123" s="256"/>
      <c r="E123" s="256"/>
      <c r="F123" s="256"/>
      <c r="G123" s="256"/>
      <c r="H123" s="256"/>
      <c r="I123" s="256"/>
      <c r="J123" s="256"/>
      <c r="K123" s="256"/>
    </row>
    <row r="124" spans="1:11" x14ac:dyDescent="0.3">
      <c r="B124" s="2" t="s">
        <v>610</v>
      </c>
      <c r="C124" s="256"/>
      <c r="D124" s="256"/>
      <c r="E124" s="256"/>
      <c r="F124" s="256"/>
      <c r="G124" s="256"/>
      <c r="H124" s="256"/>
      <c r="I124" s="256"/>
      <c r="J124" s="256"/>
      <c r="K124" s="256"/>
    </row>
    <row r="125" spans="1:11" x14ac:dyDescent="0.3">
      <c r="B125" s="1" t="s">
        <v>609</v>
      </c>
      <c r="C125" s="256"/>
      <c r="D125" s="256"/>
      <c r="E125" s="256"/>
      <c r="F125" s="256"/>
      <c r="G125" s="256"/>
      <c r="H125" s="256"/>
      <c r="I125" s="256"/>
      <c r="J125" s="256"/>
      <c r="K125" s="256"/>
    </row>
    <row r="126" spans="1:11" x14ac:dyDescent="0.3">
      <c r="B126" s="256" t="s">
        <v>608</v>
      </c>
      <c r="C126" s="256"/>
      <c r="D126" s="256"/>
      <c r="E126" s="256"/>
      <c r="F126" s="256"/>
      <c r="G126" s="256"/>
      <c r="H126" s="256"/>
      <c r="I126" s="256"/>
      <c r="J126" s="256"/>
      <c r="K126" s="256"/>
    </row>
    <row r="127" spans="1:11" x14ac:dyDescent="0.3">
      <c r="B127" s="1" t="s">
        <v>607</v>
      </c>
      <c r="C127" s="256"/>
      <c r="D127" s="256"/>
      <c r="E127" s="256"/>
      <c r="F127" s="256"/>
      <c r="G127" s="256"/>
      <c r="H127" s="256"/>
      <c r="I127" s="256"/>
      <c r="J127" s="256"/>
      <c r="K127" s="256"/>
    </row>
    <row r="128" spans="1:11" x14ac:dyDescent="0.3">
      <c r="B128" s="1" t="s">
        <v>606</v>
      </c>
    </row>
    <row r="129" spans="2:4" x14ac:dyDescent="0.3">
      <c r="B129" s="2" t="s">
        <v>605</v>
      </c>
    </row>
    <row r="130" spans="2:4" x14ac:dyDescent="0.3">
      <c r="B130" s="2" t="s">
        <v>604</v>
      </c>
    </row>
    <row r="131" spans="2:4" x14ac:dyDescent="0.3">
      <c r="B131" s="1" t="s">
        <v>603</v>
      </c>
    </row>
    <row r="132" spans="2:4" x14ac:dyDescent="0.3">
      <c r="B132" s="2" t="s">
        <v>602</v>
      </c>
    </row>
    <row r="134" spans="2:4" x14ac:dyDescent="0.3">
      <c r="B134" s="257" t="s">
        <v>4</v>
      </c>
      <c r="C134" s="262"/>
      <c r="D134" s="262"/>
    </row>
    <row r="135" spans="2:4" x14ac:dyDescent="0.3">
      <c r="B135" s="261" t="s">
        <v>158</v>
      </c>
      <c r="C135" s="259">
        <v>2000000</v>
      </c>
      <c r="D135" s="258"/>
    </row>
    <row r="136" spans="2:4" x14ac:dyDescent="0.3">
      <c r="B136" s="256" t="s">
        <v>180</v>
      </c>
      <c r="C136" s="259">
        <v>1000000</v>
      </c>
      <c r="D136" s="258"/>
    </row>
    <row r="137" spans="2:4" x14ac:dyDescent="0.3">
      <c r="B137" s="261" t="s">
        <v>601</v>
      </c>
      <c r="C137" s="260">
        <v>0.6</v>
      </c>
      <c r="D137" s="258"/>
    </row>
    <row r="138" spans="2:4" x14ac:dyDescent="0.3">
      <c r="B138" s="256" t="s">
        <v>156</v>
      </c>
      <c r="C138" s="260">
        <v>0.08</v>
      </c>
      <c r="D138" s="258"/>
    </row>
    <row r="139" spans="2:4" x14ac:dyDescent="0.3">
      <c r="C139" s="259"/>
      <c r="D139" s="258"/>
    </row>
    <row r="140" spans="2:4" x14ac:dyDescent="0.3">
      <c r="B140" s="242" t="s">
        <v>600</v>
      </c>
    </row>
    <row r="141" spans="2:4" x14ac:dyDescent="0.3">
      <c r="B141" s="256" t="s">
        <v>168</v>
      </c>
      <c r="C141" s="4">
        <v>0.45</v>
      </c>
      <c r="D141" s="1" t="s">
        <v>597</v>
      </c>
    </row>
    <row r="143" spans="2:4" x14ac:dyDescent="0.3">
      <c r="B143" s="242" t="s">
        <v>599</v>
      </c>
    </row>
    <row r="144" spans="2:4" x14ac:dyDescent="0.3">
      <c r="B144" s="256" t="s">
        <v>168</v>
      </c>
      <c r="C144" s="4">
        <v>0.5</v>
      </c>
      <c r="D144" s="1" t="s">
        <v>597</v>
      </c>
    </row>
    <row r="146" spans="1:4" x14ac:dyDescent="0.3">
      <c r="B146" s="242" t="s">
        <v>598</v>
      </c>
    </row>
    <row r="147" spans="1:4" x14ac:dyDescent="0.3">
      <c r="B147" s="256" t="s">
        <v>168</v>
      </c>
      <c r="C147" s="4">
        <v>0.6</v>
      </c>
      <c r="D147" s="1" t="s">
        <v>597</v>
      </c>
    </row>
    <row r="149" spans="1:4" x14ac:dyDescent="0.3">
      <c r="B149" s="1" t="s">
        <v>585</v>
      </c>
      <c r="C149" s="4">
        <v>0.12</v>
      </c>
      <c r="D149" s="1" t="s">
        <v>597</v>
      </c>
    </row>
    <row r="151" spans="1:4" x14ac:dyDescent="0.3">
      <c r="B151" s="1" t="s">
        <v>596</v>
      </c>
      <c r="C151" s="4">
        <v>0.4</v>
      </c>
    </row>
    <row r="153" spans="1:4" x14ac:dyDescent="0.3">
      <c r="A153" s="120" t="s">
        <v>155</v>
      </c>
      <c r="B153" s="1" t="s">
        <v>595</v>
      </c>
    </row>
    <row r="155" spans="1:4" x14ac:dyDescent="0.3">
      <c r="B155" s="257" t="s">
        <v>15</v>
      </c>
    </row>
    <row r="157" spans="1:4" x14ac:dyDescent="0.3">
      <c r="B157" s="256" t="s">
        <v>594</v>
      </c>
      <c r="C157" s="37">
        <f>C141*C135</f>
        <v>900000</v>
      </c>
    </row>
    <row r="158" spans="1:4" x14ac:dyDescent="0.3">
      <c r="B158" s="256" t="s">
        <v>593</v>
      </c>
      <c r="C158" s="37">
        <f>C144*C135</f>
        <v>1000000</v>
      </c>
    </row>
    <row r="159" spans="1:4" x14ac:dyDescent="0.3">
      <c r="B159" s="256" t="s">
        <v>592</v>
      </c>
      <c r="C159" s="37">
        <f>C147*C135</f>
        <v>1200000</v>
      </c>
    </row>
    <row r="161" spans="2:3" x14ac:dyDescent="0.3">
      <c r="B161" s="256" t="s">
        <v>591</v>
      </c>
      <c r="C161" s="37">
        <f>C157+$C$136</f>
        <v>1900000</v>
      </c>
    </row>
    <row r="162" spans="2:3" x14ac:dyDescent="0.3">
      <c r="B162" s="256" t="s">
        <v>590</v>
      </c>
      <c r="C162" s="37">
        <f>C158+$C$136</f>
        <v>2000000</v>
      </c>
    </row>
    <row r="163" spans="2:3" x14ac:dyDescent="0.3">
      <c r="B163" s="256" t="s">
        <v>589</v>
      </c>
      <c r="C163" s="37">
        <f>C159+$C$136</f>
        <v>2200000</v>
      </c>
    </row>
    <row r="165" spans="2:3" x14ac:dyDescent="0.3">
      <c r="B165" s="256" t="s">
        <v>588</v>
      </c>
      <c r="C165" s="37">
        <f>C161*$C$137</f>
        <v>1140000</v>
      </c>
    </row>
    <row r="166" spans="2:3" x14ac:dyDescent="0.3">
      <c r="B166" s="256" t="s">
        <v>587</v>
      </c>
      <c r="C166" s="37">
        <f>C162*$C$137</f>
        <v>1200000</v>
      </c>
    </row>
    <row r="167" spans="2:3" x14ac:dyDescent="0.3">
      <c r="B167" s="256" t="s">
        <v>586</v>
      </c>
      <c r="C167" s="37">
        <f>C163*$C$137</f>
        <v>1320000</v>
      </c>
    </row>
    <row r="169" spans="2:3" x14ac:dyDescent="0.3">
      <c r="B169" s="1" t="s">
        <v>585</v>
      </c>
      <c r="C169" s="37">
        <f>C149*C135</f>
        <v>240000</v>
      </c>
    </row>
    <row r="171" spans="2:3" x14ac:dyDescent="0.3">
      <c r="B171" s="256" t="s">
        <v>584</v>
      </c>
      <c r="C171" s="37">
        <f>C165*$C$138</f>
        <v>91200</v>
      </c>
    </row>
    <row r="172" spans="2:3" x14ac:dyDescent="0.3">
      <c r="B172" s="256" t="s">
        <v>583</v>
      </c>
      <c r="C172" s="37">
        <f>C166*$C$138</f>
        <v>96000</v>
      </c>
    </row>
    <row r="173" spans="2:3" x14ac:dyDescent="0.3">
      <c r="B173" s="256" t="s">
        <v>582</v>
      </c>
      <c r="C173" s="37">
        <f>C167*$C$138</f>
        <v>105600</v>
      </c>
    </row>
    <row r="175" spans="2:3" x14ac:dyDescent="0.3">
      <c r="B175" s="256" t="s">
        <v>581</v>
      </c>
      <c r="C175" s="37">
        <f>$C$169-C171</f>
        <v>148800</v>
      </c>
    </row>
    <row r="176" spans="2:3" x14ac:dyDescent="0.3">
      <c r="B176" s="256" t="s">
        <v>580</v>
      </c>
      <c r="C176" s="37">
        <f>$C$169-C172</f>
        <v>144000</v>
      </c>
    </row>
    <row r="177" spans="2:3" x14ac:dyDescent="0.3">
      <c r="B177" s="256" t="s">
        <v>579</v>
      </c>
      <c r="C177" s="37">
        <f>$C$169-C173</f>
        <v>134400</v>
      </c>
    </row>
    <row r="179" spans="2:3" x14ac:dyDescent="0.3">
      <c r="B179" s="256" t="s">
        <v>578</v>
      </c>
      <c r="C179" s="37">
        <f>C175*$C$151</f>
        <v>59520</v>
      </c>
    </row>
    <row r="180" spans="2:3" x14ac:dyDescent="0.3">
      <c r="B180" s="256" t="s">
        <v>577</v>
      </c>
      <c r="C180" s="37">
        <f>C176*$C$151</f>
        <v>57600</v>
      </c>
    </row>
    <row r="181" spans="2:3" x14ac:dyDescent="0.3">
      <c r="B181" s="256" t="s">
        <v>576</v>
      </c>
      <c r="C181" s="37">
        <f>C177*$C$151</f>
        <v>53760</v>
      </c>
    </row>
    <row r="184" spans="2:3" x14ac:dyDescent="0.3">
      <c r="B184" s="256" t="s">
        <v>575</v>
      </c>
      <c r="C184" s="37">
        <f>C175-C179</f>
        <v>89280</v>
      </c>
    </row>
    <row r="185" spans="2:3" x14ac:dyDescent="0.3">
      <c r="B185" s="256" t="s">
        <v>574</v>
      </c>
      <c r="C185" s="37">
        <f>C176-C180</f>
        <v>86400</v>
      </c>
    </row>
    <row r="186" spans="2:3" x14ac:dyDescent="0.3">
      <c r="B186" s="256" t="s">
        <v>573</v>
      </c>
      <c r="C186" s="37">
        <f>C177-C181</f>
        <v>80640</v>
      </c>
    </row>
    <row r="188" spans="2:3" x14ac:dyDescent="0.3">
      <c r="B188" s="256" t="s">
        <v>572</v>
      </c>
      <c r="C188" s="37">
        <f>C161-C165</f>
        <v>760000</v>
      </c>
    </row>
    <row r="189" spans="2:3" x14ac:dyDescent="0.3">
      <c r="B189" s="256" t="s">
        <v>571</v>
      </c>
      <c r="C189" s="37">
        <f>C162-C166</f>
        <v>800000</v>
      </c>
    </row>
    <row r="190" spans="2:3" x14ac:dyDescent="0.3">
      <c r="B190" s="256" t="s">
        <v>570</v>
      </c>
      <c r="C190" s="37">
        <f>C163-C167</f>
        <v>880000</v>
      </c>
    </row>
    <row r="192" spans="2:3" x14ac:dyDescent="0.3">
      <c r="B192" s="256" t="s">
        <v>569</v>
      </c>
      <c r="C192" s="50">
        <f>C184/C188</f>
        <v>0.11747368421052631</v>
      </c>
    </row>
    <row r="193" spans="1:3" x14ac:dyDescent="0.3">
      <c r="B193" s="256" t="s">
        <v>568</v>
      </c>
      <c r="C193" s="50">
        <f>C185/C189</f>
        <v>0.108</v>
      </c>
    </row>
    <row r="194" spans="1:3" x14ac:dyDescent="0.3">
      <c r="B194" s="256" t="s">
        <v>567</v>
      </c>
      <c r="C194" s="50">
        <f>C186/C190</f>
        <v>9.1636363636363641E-2</v>
      </c>
    </row>
    <row r="196" spans="1:3" x14ac:dyDescent="0.3">
      <c r="A196" s="120" t="s">
        <v>150</v>
      </c>
      <c r="B196" s="1" t="s">
        <v>566</v>
      </c>
    </row>
    <row r="198" spans="1:3" x14ac:dyDescent="0.3">
      <c r="A198" s="120" t="s">
        <v>174</v>
      </c>
      <c r="B198" s="1" t="s">
        <v>565</v>
      </c>
    </row>
    <row r="199" spans="1:3" x14ac:dyDescent="0.3">
      <c r="B199" s="256" t="s">
        <v>564</v>
      </c>
      <c r="C199" s="90">
        <f>C165/C188</f>
        <v>1.5</v>
      </c>
    </row>
    <row r="200" spans="1:3" x14ac:dyDescent="0.3">
      <c r="B200" s="256" t="s">
        <v>563</v>
      </c>
      <c r="C200" s="90">
        <f>C166/C189</f>
        <v>1.5</v>
      </c>
    </row>
    <row r="201" spans="1:3" x14ac:dyDescent="0.3">
      <c r="B201" s="256" t="s">
        <v>562</v>
      </c>
      <c r="C201" s="90">
        <f>C167/C190</f>
        <v>1.5</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A2" zoomScale="55" zoomScaleNormal="55" workbookViewId="0">
      <selection activeCell="N74" sqref="N74"/>
    </sheetView>
  </sheetViews>
  <sheetFormatPr defaultColWidth="9.140625" defaultRowHeight="18.75" x14ac:dyDescent="0.3"/>
  <cols>
    <col min="1" max="1" width="9.140625" style="1"/>
    <col min="2" max="2" width="20.28515625" style="1" customWidth="1"/>
    <col min="3" max="3" width="22.7109375" style="1" customWidth="1"/>
    <col min="4" max="10" width="9.140625" style="1"/>
    <col min="11" max="11" width="32.28515625" style="1" bestFit="1" customWidth="1"/>
    <col min="12" max="12" width="23.7109375" style="1" bestFit="1" customWidth="1"/>
    <col min="13" max="15" width="9.140625" style="1"/>
    <col min="16" max="16" width="33.5703125" style="1" customWidth="1"/>
    <col min="17" max="17" width="27.140625" style="1" customWidth="1"/>
    <col min="18" max="16384" width="9.140625" style="1"/>
  </cols>
  <sheetData>
    <row r="1" spans="1:3" x14ac:dyDescent="0.3">
      <c r="A1" s="1" t="s">
        <v>718</v>
      </c>
      <c r="B1" s="2" t="s">
        <v>717</v>
      </c>
    </row>
    <row r="2" spans="1:3" x14ac:dyDescent="0.3">
      <c r="B2" s="1" t="s">
        <v>716</v>
      </c>
    </row>
    <row r="3" spans="1:3" x14ac:dyDescent="0.3">
      <c r="B3" s="1" t="s">
        <v>715</v>
      </c>
    </row>
    <row r="4" spans="1:3" x14ac:dyDescent="0.3">
      <c r="B4" s="1" t="s">
        <v>714</v>
      </c>
    </row>
    <row r="5" spans="1:3" x14ac:dyDescent="0.3">
      <c r="B5" s="2" t="s">
        <v>713</v>
      </c>
    </row>
    <row r="7" spans="1:3" x14ac:dyDescent="0.3">
      <c r="B7" s="3" t="s">
        <v>4</v>
      </c>
    </row>
    <row r="9" spans="1:3" x14ac:dyDescent="0.3">
      <c r="B9" s="1" t="s">
        <v>706</v>
      </c>
      <c r="C9" s="245">
        <v>10000000</v>
      </c>
    </row>
    <row r="10" spans="1:3" x14ac:dyDescent="0.3">
      <c r="B10" s="1" t="s">
        <v>712</v>
      </c>
      <c r="C10" s="289">
        <v>1.2</v>
      </c>
    </row>
    <row r="11" spans="1:3" x14ac:dyDescent="0.3">
      <c r="B11" s="1" t="s">
        <v>711</v>
      </c>
      <c r="C11" s="4">
        <v>0.1</v>
      </c>
    </row>
    <row r="12" spans="1:3" x14ac:dyDescent="0.3">
      <c r="B12" s="1" t="s">
        <v>710</v>
      </c>
      <c r="C12" s="20">
        <v>0.12</v>
      </c>
    </row>
    <row r="14" spans="1:3" x14ac:dyDescent="0.3">
      <c r="B14" s="1" t="s">
        <v>709</v>
      </c>
      <c r="C14" s="245">
        <v>4000000</v>
      </c>
    </row>
    <row r="15" spans="1:3" x14ac:dyDescent="0.3">
      <c r="B15" s="1" t="s">
        <v>596</v>
      </c>
      <c r="C15" s="4">
        <v>0.4</v>
      </c>
    </row>
    <row r="17" spans="2:3" x14ac:dyDescent="0.3">
      <c r="B17" s="1" t="s">
        <v>708</v>
      </c>
    </row>
    <row r="19" spans="2:3" x14ac:dyDescent="0.3">
      <c r="B19" s="3" t="s">
        <v>15</v>
      </c>
    </row>
    <row r="21" spans="2:3" x14ac:dyDescent="0.3">
      <c r="B21" s="1" t="s">
        <v>707</v>
      </c>
      <c r="C21" s="288">
        <f>C11+C10*(C12-C11)</f>
        <v>0.124</v>
      </c>
    </row>
    <row r="23" spans="2:3" x14ac:dyDescent="0.3">
      <c r="B23" s="1" t="s">
        <v>706</v>
      </c>
      <c r="C23" s="245">
        <f>C9-C14</f>
        <v>6000000</v>
      </c>
    </row>
    <row r="24" spans="2:3" x14ac:dyDescent="0.3">
      <c r="B24" s="1" t="s">
        <v>705</v>
      </c>
      <c r="C24" s="245">
        <f>C14</f>
        <v>4000000</v>
      </c>
    </row>
    <row r="25" spans="2:3" x14ac:dyDescent="0.3">
      <c r="B25" s="1" t="s">
        <v>704</v>
      </c>
      <c r="C25" s="245">
        <f>C24+C23</f>
        <v>10000000</v>
      </c>
    </row>
    <row r="27" spans="2:3" x14ac:dyDescent="0.3">
      <c r="B27" s="1" t="s">
        <v>703</v>
      </c>
      <c r="C27" s="245">
        <f>C9+(C15*C14)</f>
        <v>11600000</v>
      </c>
    </row>
    <row r="29" spans="2:3" x14ac:dyDescent="0.3">
      <c r="B29" s="1" t="s">
        <v>702</v>
      </c>
      <c r="C29" s="287">
        <f>C10*(1+(C24/C23)*(1-C15))</f>
        <v>1.68</v>
      </c>
    </row>
    <row r="31" spans="2:3" x14ac:dyDescent="0.3">
      <c r="B31" s="1" t="s">
        <v>701</v>
      </c>
      <c r="C31" s="50">
        <f>C11+C29*(C12-C11)</f>
        <v>0.1336</v>
      </c>
    </row>
    <row r="33" spans="1:12" x14ac:dyDescent="0.3">
      <c r="B33" s="1" t="s">
        <v>23</v>
      </c>
    </row>
    <row r="34" spans="1:12" x14ac:dyDescent="0.3">
      <c r="B34" s="1" t="s">
        <v>700</v>
      </c>
    </row>
    <row r="36" spans="1:12" x14ac:dyDescent="0.3">
      <c r="A36" s="1" t="s">
        <v>699</v>
      </c>
      <c r="B36" s="3" t="s">
        <v>698</v>
      </c>
    </row>
    <row r="37" spans="1:12" x14ac:dyDescent="0.3">
      <c r="K37" s="286" t="s">
        <v>697</v>
      </c>
      <c r="L37" s="286" t="s">
        <v>696</v>
      </c>
    </row>
    <row r="38" spans="1:12" x14ac:dyDescent="0.3">
      <c r="B38" s="6" t="s">
        <v>681</v>
      </c>
      <c r="C38" s="7">
        <v>45750000</v>
      </c>
      <c r="K38" s="285" t="s">
        <v>695</v>
      </c>
      <c r="L38" s="285" t="s">
        <v>694</v>
      </c>
    </row>
    <row r="39" spans="1:12" x14ac:dyDescent="0.3">
      <c r="B39" s="6" t="s">
        <v>693</v>
      </c>
      <c r="C39" s="7">
        <v>22800000</v>
      </c>
    </row>
    <row r="40" spans="1:12" x14ac:dyDescent="0.3">
      <c r="B40" s="6" t="s">
        <v>692</v>
      </c>
      <c r="C40" s="7">
        <v>9200000</v>
      </c>
    </row>
    <row r="41" spans="1:12" x14ac:dyDescent="0.3">
      <c r="B41" s="6" t="s">
        <v>691</v>
      </c>
      <c r="C41" s="7">
        <v>1350000</v>
      </c>
    </row>
    <row r="42" spans="1:12" x14ac:dyDescent="0.3">
      <c r="B42" s="6" t="s">
        <v>690</v>
      </c>
      <c r="C42" s="7">
        <v>6200000</v>
      </c>
    </row>
    <row r="44" spans="1:12" x14ac:dyDescent="0.3">
      <c r="B44" s="1" t="s">
        <v>689</v>
      </c>
    </row>
    <row r="45" spans="1:12" x14ac:dyDescent="0.3">
      <c r="B45" s="1" t="s">
        <v>688</v>
      </c>
    </row>
    <row r="46" spans="1:12" x14ac:dyDescent="0.3">
      <c r="B46" s="1" t="s">
        <v>687</v>
      </c>
    </row>
    <row r="47" spans="1:12" x14ac:dyDescent="0.3">
      <c r="B47" s="1" t="s">
        <v>686</v>
      </c>
    </row>
    <row r="49" spans="2:10" x14ac:dyDescent="0.3">
      <c r="B49" s="3" t="s">
        <v>15</v>
      </c>
    </row>
    <row r="51" spans="2:10" x14ac:dyDescent="0.3">
      <c r="B51" s="1" t="s">
        <v>685</v>
      </c>
      <c r="C51" s="20">
        <f>(C38-C39)/C38</f>
        <v>0.50163934426229506</v>
      </c>
    </row>
    <row r="53" spans="2:10" x14ac:dyDescent="0.3">
      <c r="B53" s="1" t="s">
        <v>667</v>
      </c>
      <c r="C53" s="5">
        <f>C40/C51</f>
        <v>18339869.281045754</v>
      </c>
    </row>
    <row r="55" spans="2:10" x14ac:dyDescent="0.3">
      <c r="B55" s="1" t="s">
        <v>585</v>
      </c>
      <c r="C55" s="5">
        <f>C38-C39-C40</f>
        <v>13750000</v>
      </c>
    </row>
    <row r="57" spans="2:10" x14ac:dyDescent="0.3">
      <c r="B57" s="1" t="s">
        <v>684</v>
      </c>
      <c r="C57" s="90">
        <f>C55/(C55-C41)</f>
        <v>1.1088709677419355</v>
      </c>
      <c r="D57" s="10"/>
      <c r="E57"/>
      <c r="F57" s="425" t="s">
        <v>683</v>
      </c>
      <c r="G57" s="425"/>
      <c r="H57"/>
      <c r="I57"/>
      <c r="J57"/>
    </row>
    <row r="58" spans="2:10" x14ac:dyDescent="0.3">
      <c r="E58"/>
      <c r="F58" s="284"/>
      <c r="G58" s="284"/>
      <c r="H58"/>
      <c r="I58"/>
      <c r="J58"/>
    </row>
    <row r="59" spans="2:10" x14ac:dyDescent="0.3">
      <c r="B59" s="1" t="s">
        <v>682</v>
      </c>
      <c r="C59" s="283"/>
      <c r="D59" s="10"/>
      <c r="E59" s="1" t="s">
        <v>681</v>
      </c>
      <c r="F59" s="1" t="s">
        <v>452</v>
      </c>
      <c r="G59" s="1" t="s">
        <v>680</v>
      </c>
      <c r="H59"/>
      <c r="I59" s="8" t="s">
        <v>681</v>
      </c>
      <c r="J59" s="8" t="s">
        <v>680</v>
      </c>
    </row>
    <row r="60" spans="2:10" x14ac:dyDescent="0.3">
      <c r="E60" s="80"/>
      <c r="F60" s="80"/>
      <c r="G60"/>
      <c r="H60"/>
      <c r="I60" s="282"/>
      <c r="J60" s="282"/>
    </row>
    <row r="61" spans="2:10" x14ac:dyDescent="0.3">
      <c r="B61" s="1" t="s">
        <v>679</v>
      </c>
      <c r="C61" s="90"/>
      <c r="D61" s="10"/>
      <c r="E61" s="425" t="s">
        <v>678</v>
      </c>
      <c r="F61" s="425"/>
      <c r="G61"/>
      <c r="H61"/>
      <c r="I61" s="425" t="s">
        <v>677</v>
      </c>
      <c r="J61" s="425"/>
    </row>
    <row r="63" spans="2:10" x14ac:dyDescent="0.3">
      <c r="B63" s="10"/>
    </row>
    <row r="65" spans="1:3" x14ac:dyDescent="0.3">
      <c r="A65" s="1" t="s">
        <v>676</v>
      </c>
      <c r="B65" s="44" t="s">
        <v>675</v>
      </c>
    </row>
    <row r="66" spans="1:3" x14ac:dyDescent="0.3">
      <c r="B66" s="44" t="s">
        <v>674</v>
      </c>
    </row>
    <row r="67" spans="1:3" x14ac:dyDescent="0.3">
      <c r="B67" s="44" t="s">
        <v>673</v>
      </c>
    </row>
    <row r="68" spans="1:3" x14ac:dyDescent="0.3">
      <c r="B68" s="44" t="s">
        <v>672</v>
      </c>
    </row>
    <row r="69" spans="1:3" x14ac:dyDescent="0.3">
      <c r="B69" s="44" t="s">
        <v>671</v>
      </c>
    </row>
    <row r="71" spans="1:3" x14ac:dyDescent="0.3">
      <c r="B71" s="281" t="s">
        <v>4</v>
      </c>
    </row>
    <row r="72" spans="1:3" x14ac:dyDescent="0.3">
      <c r="B72" s="44" t="s">
        <v>158</v>
      </c>
      <c r="C72" s="37">
        <v>75000</v>
      </c>
    </row>
    <row r="73" spans="1:3" x14ac:dyDescent="0.3">
      <c r="B73" s="44" t="s">
        <v>670</v>
      </c>
      <c r="C73" s="37">
        <v>20000</v>
      </c>
    </row>
    <row r="74" spans="1:3" x14ac:dyDescent="0.3">
      <c r="B74" s="1" t="s">
        <v>669</v>
      </c>
      <c r="C74" s="4">
        <v>0.4</v>
      </c>
    </row>
    <row r="76" spans="1:3" x14ac:dyDescent="0.3">
      <c r="B76" s="1" t="s">
        <v>668</v>
      </c>
    </row>
    <row r="78" spans="1:3" x14ac:dyDescent="0.3">
      <c r="B78" s="281" t="s">
        <v>15</v>
      </c>
    </row>
    <row r="80" spans="1:3" x14ac:dyDescent="0.3">
      <c r="B80" s="1" t="s">
        <v>667</v>
      </c>
      <c r="C80" s="37">
        <f>C73/C74</f>
        <v>50000</v>
      </c>
    </row>
    <row r="81" spans="2:4" x14ac:dyDescent="0.3">
      <c r="B81" s="1" t="s">
        <v>666</v>
      </c>
      <c r="C81" s="280">
        <f>(C72-C80)/C72</f>
        <v>0.33333333333333331</v>
      </c>
      <c r="D81" s="1" t="s">
        <v>665</v>
      </c>
    </row>
    <row r="83" spans="2:4" x14ac:dyDescent="0.3">
      <c r="B83" s="1" t="s">
        <v>23</v>
      </c>
      <c r="C83" s="279">
        <f>C81</f>
        <v>0.33333333333333331</v>
      </c>
    </row>
  </sheetData>
  <mergeCells count="3">
    <mergeCell ref="E61:F61"/>
    <mergeCell ref="F57:G57"/>
    <mergeCell ref="I61:J6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7"/>
  <sheetViews>
    <sheetView topLeftCell="A94" zoomScale="70" zoomScaleNormal="70" workbookViewId="0">
      <selection activeCell="C26" sqref="C26"/>
    </sheetView>
  </sheetViews>
  <sheetFormatPr defaultColWidth="9.140625" defaultRowHeight="21" x14ac:dyDescent="0.35"/>
  <cols>
    <col min="1" max="1" width="9.140625" style="210"/>
    <col min="2" max="2" width="37.140625" style="210" customWidth="1"/>
    <col min="3" max="3" width="26.28515625" style="210" customWidth="1"/>
    <col min="4" max="4" width="25.85546875" style="210" customWidth="1"/>
    <col min="5" max="16384" width="9.140625" style="210"/>
  </cols>
  <sheetData>
    <row r="2" spans="1:3" x14ac:dyDescent="0.35">
      <c r="A2" s="210">
        <v>1</v>
      </c>
      <c r="B2" s="2" t="s">
        <v>779</v>
      </c>
    </row>
    <row r="4" spans="1:3" x14ac:dyDescent="0.35">
      <c r="B4" s="314" t="s">
        <v>778</v>
      </c>
      <c r="C4" s="314" t="s">
        <v>777</v>
      </c>
    </row>
    <row r="5" spans="1:3" x14ac:dyDescent="0.35">
      <c r="B5" s="313" t="s">
        <v>776</v>
      </c>
      <c r="C5" s="312">
        <v>3000000</v>
      </c>
    </row>
    <row r="6" spans="1:3" x14ac:dyDescent="0.35">
      <c r="B6" s="313" t="s">
        <v>775</v>
      </c>
      <c r="C6" s="312">
        <v>1500000</v>
      </c>
    </row>
    <row r="7" spans="1:3" x14ac:dyDescent="0.35">
      <c r="B7" s="313" t="s">
        <v>774</v>
      </c>
      <c r="C7" s="312">
        <v>1000000</v>
      </c>
    </row>
    <row r="8" spans="1:3" x14ac:dyDescent="0.35">
      <c r="B8" s="313" t="s">
        <v>773</v>
      </c>
      <c r="C8" s="312">
        <v>500000</v>
      </c>
    </row>
    <row r="10" spans="1:3" x14ac:dyDescent="0.35">
      <c r="B10" s="212" t="s">
        <v>4</v>
      </c>
    </row>
    <row r="11" spans="1:3" x14ac:dyDescent="0.35">
      <c r="B11" s="311" t="s">
        <v>772</v>
      </c>
      <c r="C11" s="310">
        <f>C5</f>
        <v>3000000</v>
      </c>
    </row>
    <row r="12" spans="1:3" x14ac:dyDescent="0.35">
      <c r="B12" s="311" t="s">
        <v>670</v>
      </c>
      <c r="C12" s="310">
        <f>C6</f>
        <v>1500000</v>
      </c>
    </row>
    <row r="13" spans="1:3" x14ac:dyDescent="0.35">
      <c r="B13" s="311" t="s">
        <v>730</v>
      </c>
      <c r="C13" s="310">
        <f>C7</f>
        <v>1000000</v>
      </c>
    </row>
    <row r="14" spans="1:3" x14ac:dyDescent="0.35">
      <c r="B14" s="311" t="s">
        <v>771</v>
      </c>
      <c r="C14" s="310">
        <f>C8</f>
        <v>500000</v>
      </c>
    </row>
    <row r="16" spans="1:3" x14ac:dyDescent="0.35">
      <c r="B16" s="210" t="s">
        <v>689</v>
      </c>
    </row>
    <row r="17" spans="2:3" x14ac:dyDescent="0.35">
      <c r="B17" s="210" t="s">
        <v>668</v>
      </c>
    </row>
    <row r="18" spans="2:3" x14ac:dyDescent="0.35">
      <c r="B18" s="210" t="s">
        <v>688</v>
      </c>
    </row>
    <row r="20" spans="2:3" x14ac:dyDescent="0.35">
      <c r="B20" s="212" t="s">
        <v>15</v>
      </c>
    </row>
    <row r="22" spans="2:3" x14ac:dyDescent="0.35">
      <c r="B22" s="210" t="s">
        <v>669</v>
      </c>
      <c r="C22" s="309">
        <f>(C11-C13)/C11</f>
        <v>0.66666666666666663</v>
      </c>
    </row>
    <row r="24" spans="2:3" x14ac:dyDescent="0.35">
      <c r="B24" s="210" t="s">
        <v>682</v>
      </c>
      <c r="C24" s="220">
        <f>(C11-C13)/(C11-C13-C12)</f>
        <v>4</v>
      </c>
    </row>
    <row r="26" spans="2:3" x14ac:dyDescent="0.35">
      <c r="B26" s="210" t="s">
        <v>667</v>
      </c>
      <c r="C26" s="308">
        <f>C12/C22</f>
        <v>2250000</v>
      </c>
    </row>
    <row r="28" spans="2:3" x14ac:dyDescent="0.35">
      <c r="B28" s="210" t="s">
        <v>666</v>
      </c>
      <c r="C28" s="307">
        <f>(C11-C26)/C11</f>
        <v>0.25</v>
      </c>
    </row>
    <row r="33" spans="1:4" x14ac:dyDescent="0.35">
      <c r="B33" s="210" t="s">
        <v>770</v>
      </c>
    </row>
    <row r="34" spans="1:4" x14ac:dyDescent="0.35">
      <c r="B34" s="210">
        <v>1</v>
      </c>
      <c r="C34" s="210" t="s">
        <v>769</v>
      </c>
      <c r="D34" s="306" t="s">
        <v>768</v>
      </c>
    </row>
    <row r="36" spans="1:4" x14ac:dyDescent="0.35">
      <c r="B36" s="210">
        <v>2</v>
      </c>
      <c r="C36" s="210" t="s">
        <v>767</v>
      </c>
    </row>
    <row r="37" spans="1:4" x14ac:dyDescent="0.35">
      <c r="C37" s="210" t="s">
        <v>766</v>
      </c>
    </row>
    <row r="38" spans="1:4" x14ac:dyDescent="0.35">
      <c r="C38" s="210" t="s">
        <v>765</v>
      </c>
    </row>
    <row r="40" spans="1:4" x14ac:dyDescent="0.35">
      <c r="B40" s="210">
        <v>3</v>
      </c>
      <c r="C40" s="210" t="s">
        <v>764</v>
      </c>
    </row>
    <row r="41" spans="1:4" x14ac:dyDescent="0.35">
      <c r="C41" s="210" t="s">
        <v>763</v>
      </c>
    </row>
    <row r="44" spans="1:4" x14ac:dyDescent="0.35">
      <c r="A44" s="210">
        <v>2</v>
      </c>
      <c r="B44" s="305" t="s">
        <v>762</v>
      </c>
    </row>
    <row r="45" spans="1:4" x14ac:dyDescent="0.35">
      <c r="B45" s="210" t="s">
        <v>761</v>
      </c>
    </row>
    <row r="46" spans="1:4" x14ac:dyDescent="0.35">
      <c r="B46" s="210" t="s">
        <v>760</v>
      </c>
    </row>
    <row r="48" spans="1:4" x14ac:dyDescent="0.35">
      <c r="B48" s="212" t="s">
        <v>4</v>
      </c>
    </row>
    <row r="49" spans="2:3" x14ac:dyDescent="0.35">
      <c r="B49" s="299" t="s">
        <v>759</v>
      </c>
      <c r="C49" s="298">
        <v>1000000000</v>
      </c>
    </row>
    <row r="50" spans="2:3" x14ac:dyDescent="0.35">
      <c r="B50" s="299" t="s">
        <v>758</v>
      </c>
      <c r="C50" s="298">
        <v>800000000</v>
      </c>
    </row>
    <row r="51" spans="2:3" x14ac:dyDescent="0.35">
      <c r="B51" s="299" t="s">
        <v>757</v>
      </c>
      <c r="C51" s="298">
        <v>200000000</v>
      </c>
    </row>
    <row r="52" spans="2:3" x14ac:dyDescent="0.35">
      <c r="B52" s="299" t="s">
        <v>168</v>
      </c>
      <c r="C52" s="298">
        <v>400000000</v>
      </c>
    </row>
    <row r="53" spans="2:3" x14ac:dyDescent="0.35">
      <c r="B53" s="210" t="s">
        <v>756</v>
      </c>
      <c r="C53" s="298">
        <v>200000000</v>
      </c>
    </row>
    <row r="54" spans="2:3" x14ac:dyDescent="0.35">
      <c r="B54" s="210" t="s">
        <v>755</v>
      </c>
      <c r="C54" s="298">
        <v>200000000</v>
      </c>
    </row>
    <row r="56" spans="2:3" x14ac:dyDescent="0.35">
      <c r="B56" s="210" t="s">
        <v>754</v>
      </c>
    </row>
    <row r="58" spans="2:3" x14ac:dyDescent="0.35">
      <c r="B58" s="212" t="s">
        <v>15</v>
      </c>
      <c r="C58" s="295"/>
    </row>
    <row r="59" spans="2:3" x14ac:dyDescent="0.35">
      <c r="C59" s="295"/>
    </row>
    <row r="60" spans="2:3" x14ac:dyDescent="0.35">
      <c r="B60" s="210" t="s">
        <v>747</v>
      </c>
      <c r="C60" s="304"/>
    </row>
    <row r="61" spans="2:3" x14ac:dyDescent="0.35">
      <c r="C61" s="295"/>
    </row>
    <row r="62" spans="2:3" x14ac:dyDescent="0.35">
      <c r="B62" s="303" t="s">
        <v>753</v>
      </c>
      <c r="C62" s="302"/>
    </row>
    <row r="63" spans="2:3" x14ac:dyDescent="0.35">
      <c r="C63" s="295"/>
    </row>
    <row r="64" spans="2:3" x14ac:dyDescent="0.35">
      <c r="C64" s="301"/>
    </row>
    <row r="65" spans="1:3" x14ac:dyDescent="0.35">
      <c r="A65" s="210">
        <v>3</v>
      </c>
      <c r="B65" s="44" t="s">
        <v>752</v>
      </c>
      <c r="C65" s="295"/>
    </row>
    <row r="66" spans="1:3" x14ac:dyDescent="0.35">
      <c r="B66" s="1" t="s">
        <v>751</v>
      </c>
      <c r="C66" s="295"/>
    </row>
    <row r="67" spans="1:3" x14ac:dyDescent="0.35">
      <c r="B67" s="1" t="s">
        <v>750</v>
      </c>
      <c r="C67" s="295"/>
    </row>
    <row r="68" spans="1:3" x14ac:dyDescent="0.35">
      <c r="C68" s="295"/>
    </row>
    <row r="70" spans="1:3" x14ac:dyDescent="0.35">
      <c r="B70" s="212" t="s">
        <v>4</v>
      </c>
    </row>
    <row r="71" spans="1:3" x14ac:dyDescent="0.35">
      <c r="B71" s="299"/>
      <c r="C71" s="298"/>
    </row>
    <row r="72" spans="1:3" x14ac:dyDescent="0.35">
      <c r="B72" s="299" t="s">
        <v>749</v>
      </c>
      <c r="C72" s="296">
        <v>5000</v>
      </c>
    </row>
    <row r="73" spans="1:3" x14ac:dyDescent="0.35">
      <c r="B73" s="299" t="s">
        <v>748</v>
      </c>
      <c r="C73" s="296">
        <v>9000</v>
      </c>
    </row>
    <row r="74" spans="1:3" x14ac:dyDescent="0.35">
      <c r="B74" s="299" t="s">
        <v>156</v>
      </c>
      <c r="C74" s="297">
        <v>0.2</v>
      </c>
    </row>
    <row r="75" spans="1:3" x14ac:dyDescent="0.35">
      <c r="B75" s="210" t="s">
        <v>596</v>
      </c>
      <c r="C75" s="297">
        <v>0.2</v>
      </c>
    </row>
    <row r="76" spans="1:3" x14ac:dyDescent="0.35">
      <c r="B76" s="210" t="s">
        <v>747</v>
      </c>
      <c r="C76" s="297">
        <v>0.25</v>
      </c>
    </row>
    <row r="77" spans="1:3" x14ac:dyDescent="0.35">
      <c r="C77" s="296"/>
    </row>
    <row r="78" spans="1:3" x14ac:dyDescent="0.35">
      <c r="B78" s="210" t="s">
        <v>687</v>
      </c>
    </row>
    <row r="80" spans="1:3" x14ac:dyDescent="0.35">
      <c r="B80" s="212" t="s">
        <v>15</v>
      </c>
      <c r="C80" s="295"/>
    </row>
    <row r="82" spans="1:4" x14ac:dyDescent="0.35">
      <c r="B82" s="210" t="s">
        <v>684</v>
      </c>
      <c r="C82" s="300">
        <f>(1-C75)*(C76-C74)*(C72/C73)</f>
        <v>2.222222222222222E-2</v>
      </c>
    </row>
    <row r="85" spans="1:4" x14ac:dyDescent="0.35">
      <c r="A85" s="210">
        <v>4</v>
      </c>
      <c r="B85" s="210" t="s">
        <v>746</v>
      </c>
    </row>
    <row r="86" spans="1:4" x14ac:dyDescent="0.35">
      <c r="B86" s="210" t="s">
        <v>745</v>
      </c>
    </row>
    <row r="87" spans="1:4" x14ac:dyDescent="0.35">
      <c r="B87" s="210" t="s">
        <v>744</v>
      </c>
    </row>
    <row r="89" spans="1:4" x14ac:dyDescent="0.35">
      <c r="B89" s="212" t="s">
        <v>4</v>
      </c>
    </row>
    <row r="90" spans="1:4" x14ac:dyDescent="0.35">
      <c r="B90" s="299"/>
      <c r="C90" s="298"/>
    </row>
    <row r="91" spans="1:4" x14ac:dyDescent="0.35">
      <c r="B91" s="299" t="s">
        <v>732</v>
      </c>
      <c r="C91" s="298">
        <v>200</v>
      </c>
      <c r="D91" s="210" t="s">
        <v>731</v>
      </c>
    </row>
    <row r="92" spans="1:4" x14ac:dyDescent="0.35">
      <c r="B92" s="299" t="s">
        <v>728</v>
      </c>
      <c r="C92" s="298">
        <v>60000</v>
      </c>
    </row>
    <row r="93" spans="1:4" x14ac:dyDescent="0.35">
      <c r="B93" s="299" t="s">
        <v>730</v>
      </c>
      <c r="C93" s="298">
        <v>80</v>
      </c>
      <c r="D93" s="210" t="s">
        <v>729</v>
      </c>
    </row>
    <row r="94" spans="1:4" x14ac:dyDescent="0.35">
      <c r="C94" s="297"/>
    </row>
    <row r="95" spans="1:4" x14ac:dyDescent="0.35">
      <c r="B95" s="210" t="s">
        <v>743</v>
      </c>
      <c r="C95" s="297"/>
    </row>
    <row r="96" spans="1:4" x14ac:dyDescent="0.35">
      <c r="B96" s="210" t="s">
        <v>742</v>
      </c>
      <c r="C96" s="296"/>
    </row>
    <row r="98" spans="1:4" x14ac:dyDescent="0.35">
      <c r="B98" s="212" t="s">
        <v>15</v>
      </c>
      <c r="C98" s="295"/>
    </row>
    <row r="102" spans="1:4" x14ac:dyDescent="0.35">
      <c r="B102" s="210" t="s">
        <v>724</v>
      </c>
      <c r="C102" s="294">
        <f>(C91-C93)/C91</f>
        <v>0.6</v>
      </c>
    </row>
    <row r="104" spans="1:4" x14ac:dyDescent="0.35">
      <c r="B104" s="210" t="s">
        <v>741</v>
      </c>
      <c r="C104" s="221">
        <f>C92/C102</f>
        <v>100000</v>
      </c>
    </row>
    <row r="106" spans="1:4" x14ac:dyDescent="0.35">
      <c r="B106" s="210" t="s">
        <v>722</v>
      </c>
      <c r="C106" s="222">
        <f>C102*C91</f>
        <v>120</v>
      </c>
    </row>
    <row r="108" spans="1:4" x14ac:dyDescent="0.35">
      <c r="B108" s="210" t="s">
        <v>740</v>
      </c>
      <c r="C108" s="220">
        <f>C92/C106</f>
        <v>500</v>
      </c>
      <c r="D108" s="210" t="s">
        <v>739</v>
      </c>
    </row>
    <row r="111" spans="1:4" x14ac:dyDescent="0.35">
      <c r="A111" s="210">
        <v>5</v>
      </c>
      <c r="B111" s="210" t="s">
        <v>738</v>
      </c>
    </row>
    <row r="112" spans="1:4" x14ac:dyDescent="0.35">
      <c r="B112" s="210" t="s">
        <v>737</v>
      </c>
    </row>
    <row r="113" spans="2:4" x14ac:dyDescent="0.35">
      <c r="B113" s="210" t="s">
        <v>736</v>
      </c>
    </row>
    <row r="114" spans="2:4" x14ac:dyDescent="0.35">
      <c r="B114" s="210" t="s">
        <v>735</v>
      </c>
    </row>
    <row r="115" spans="2:4" x14ac:dyDescent="0.35">
      <c r="B115" s="210" t="s">
        <v>734</v>
      </c>
    </row>
    <row r="116" spans="2:4" x14ac:dyDescent="0.35">
      <c r="B116" s="210" t="s">
        <v>733</v>
      </c>
    </row>
    <row r="118" spans="2:4" x14ac:dyDescent="0.35">
      <c r="B118" s="212" t="s">
        <v>4</v>
      </c>
    </row>
    <row r="119" spans="2:4" x14ac:dyDescent="0.35">
      <c r="B119" s="299" t="s">
        <v>732</v>
      </c>
      <c r="C119" s="298">
        <v>200</v>
      </c>
      <c r="D119" s="210" t="s">
        <v>731</v>
      </c>
    </row>
    <row r="120" spans="2:4" x14ac:dyDescent="0.35">
      <c r="B120" s="299" t="s">
        <v>730</v>
      </c>
      <c r="C120" s="298">
        <v>80</v>
      </c>
      <c r="D120" s="210" t="s">
        <v>729</v>
      </c>
    </row>
    <row r="121" spans="2:4" x14ac:dyDescent="0.35">
      <c r="B121" s="299" t="s">
        <v>728</v>
      </c>
      <c r="C121" s="298">
        <v>60000</v>
      </c>
    </row>
    <row r="122" spans="2:4" x14ac:dyDescent="0.35">
      <c r="B122" s="210" t="s">
        <v>727</v>
      </c>
      <c r="C122" s="298">
        <v>30000</v>
      </c>
    </row>
    <row r="124" spans="2:4" x14ac:dyDescent="0.35">
      <c r="B124" s="210" t="s">
        <v>726</v>
      </c>
      <c r="C124" s="297"/>
    </row>
    <row r="125" spans="2:4" x14ac:dyDescent="0.35">
      <c r="B125" s="210" t="s">
        <v>725</v>
      </c>
      <c r="C125" s="296"/>
    </row>
    <row r="127" spans="2:4" x14ac:dyDescent="0.35">
      <c r="B127" s="212" t="s">
        <v>15</v>
      </c>
      <c r="C127" s="295"/>
    </row>
    <row r="129" spans="2:5" x14ac:dyDescent="0.35">
      <c r="B129" s="210" t="s">
        <v>724</v>
      </c>
      <c r="C129" s="294">
        <f>(C119-C120)/C119</f>
        <v>0.6</v>
      </c>
    </row>
    <row r="131" spans="2:5" x14ac:dyDescent="0.35">
      <c r="B131" s="210" t="s">
        <v>723</v>
      </c>
      <c r="C131" s="222">
        <f>(C121+C122)/C129</f>
        <v>150000</v>
      </c>
    </row>
    <row r="133" spans="2:5" x14ac:dyDescent="0.35">
      <c r="B133" s="210" t="s">
        <v>722</v>
      </c>
      <c r="C133" s="221">
        <f>C129*C119</f>
        <v>120</v>
      </c>
    </row>
    <row r="134" spans="2:5" x14ac:dyDescent="0.35">
      <c r="B134" s="291"/>
      <c r="C134" s="291"/>
    </row>
    <row r="135" spans="2:5" x14ac:dyDescent="0.35">
      <c r="B135" s="210" t="s">
        <v>721</v>
      </c>
      <c r="C135" s="293">
        <f>(C121+C122)/C133</f>
        <v>750</v>
      </c>
      <c r="D135" s="292" t="s">
        <v>720</v>
      </c>
      <c r="E135" s="210" t="s">
        <v>719</v>
      </c>
    </row>
    <row r="136" spans="2:5" x14ac:dyDescent="0.35">
      <c r="B136" s="291"/>
      <c r="C136" s="291"/>
    </row>
    <row r="137" spans="2:5" x14ac:dyDescent="0.35">
      <c r="B137" s="291"/>
      <c r="C137" s="290"/>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45"/>
  <sheetViews>
    <sheetView zoomScale="70" zoomScaleNormal="70" workbookViewId="0">
      <selection activeCell="F106" sqref="F106"/>
    </sheetView>
  </sheetViews>
  <sheetFormatPr defaultColWidth="12.7109375" defaultRowHeight="18.75" x14ac:dyDescent="0.3"/>
  <cols>
    <col min="1" max="1" width="12.7109375" style="1"/>
    <col min="2" max="2" width="26.5703125" style="1" customWidth="1"/>
    <col min="3" max="3" width="25.7109375" style="1" bestFit="1" customWidth="1"/>
    <col min="4" max="6" width="12.7109375" style="1"/>
    <col min="7" max="7" width="20.7109375" style="1" customWidth="1"/>
    <col min="8" max="8" width="20.140625" style="1" customWidth="1"/>
    <col min="9" max="9" width="23.28515625" style="1" customWidth="1"/>
    <col min="10" max="11" width="15.7109375" style="1" customWidth="1"/>
    <col min="12" max="16384" width="12.7109375" style="1"/>
  </cols>
  <sheetData>
    <row r="2" spans="2:11" x14ac:dyDescent="0.3">
      <c r="B2" s="44" t="s">
        <v>851</v>
      </c>
    </row>
    <row r="3" spans="2:11" x14ac:dyDescent="0.3">
      <c r="B3" s="1" t="s">
        <v>850</v>
      </c>
    </row>
    <row r="4" spans="2:11" x14ac:dyDescent="0.3">
      <c r="B4" s="1" t="s">
        <v>849</v>
      </c>
    </row>
    <row r="5" spans="2:11" x14ac:dyDescent="0.3">
      <c r="B5" s="1" t="s">
        <v>848</v>
      </c>
    </row>
    <row r="6" spans="2:11" x14ac:dyDescent="0.3">
      <c r="B6" s="44" t="s">
        <v>847</v>
      </c>
    </row>
    <row r="7" spans="2:11" x14ac:dyDescent="0.3">
      <c r="B7" s="44" t="s">
        <v>846</v>
      </c>
    </row>
    <row r="8" spans="2:11" x14ac:dyDescent="0.3">
      <c r="B8" s="44" t="s">
        <v>845</v>
      </c>
    </row>
    <row r="9" spans="2:11" x14ac:dyDescent="0.3">
      <c r="B9" s="1" t="s">
        <v>844</v>
      </c>
    </row>
    <row r="12" spans="2:11" x14ac:dyDescent="0.3">
      <c r="B12" s="3" t="s">
        <v>4</v>
      </c>
    </row>
    <row r="13" spans="2:11" x14ac:dyDescent="0.3">
      <c r="F13" s="65" t="s">
        <v>829</v>
      </c>
      <c r="G13" s="65" t="s">
        <v>828</v>
      </c>
      <c r="H13" s="65" t="s">
        <v>452</v>
      </c>
      <c r="I13" s="65" t="s">
        <v>827</v>
      </c>
      <c r="J13" s="65" t="s">
        <v>826</v>
      </c>
      <c r="K13" s="65" t="s">
        <v>825</v>
      </c>
    </row>
    <row r="14" spans="2:11" x14ac:dyDescent="0.3">
      <c r="F14" s="65" t="s">
        <v>843</v>
      </c>
      <c r="G14" s="11">
        <v>20000000</v>
      </c>
      <c r="H14" s="11">
        <v>4000000</v>
      </c>
      <c r="I14" s="81">
        <v>0.5</v>
      </c>
      <c r="J14" s="81">
        <v>0.12</v>
      </c>
      <c r="K14" s="81">
        <v>0.4</v>
      </c>
    </row>
    <row r="15" spans="2:11" x14ac:dyDescent="0.3">
      <c r="F15" s="65" t="s">
        <v>824</v>
      </c>
      <c r="G15" s="11">
        <v>20000000</v>
      </c>
      <c r="H15" s="11">
        <v>4000000</v>
      </c>
      <c r="I15" s="81">
        <v>0.3</v>
      </c>
      <c r="J15" s="81">
        <v>0.1</v>
      </c>
      <c r="K15" s="81">
        <v>0.4</v>
      </c>
    </row>
    <row r="18" spans="1:3" x14ac:dyDescent="0.3">
      <c r="B18" s="1" t="s">
        <v>842</v>
      </c>
    </row>
    <row r="19" spans="1:3" x14ac:dyDescent="0.3">
      <c r="B19" s="1" t="s">
        <v>841</v>
      </c>
    </row>
    <row r="21" spans="1:3" x14ac:dyDescent="0.3">
      <c r="B21" s="1" t="s">
        <v>840</v>
      </c>
    </row>
    <row r="22" spans="1:3" x14ac:dyDescent="0.3">
      <c r="B22" s="1" t="s">
        <v>839</v>
      </c>
    </row>
    <row r="24" spans="1:3" x14ac:dyDescent="0.3">
      <c r="B24" s="3" t="s">
        <v>15</v>
      </c>
    </row>
    <row r="26" spans="1:3" x14ac:dyDescent="0.3">
      <c r="A26" s="8" t="s">
        <v>459</v>
      </c>
      <c r="B26" s="1" t="s">
        <v>838</v>
      </c>
      <c r="C26" s="320">
        <f>(H14*(1-K14))/G14</f>
        <v>0.12</v>
      </c>
    </row>
    <row r="27" spans="1:3" x14ac:dyDescent="0.3">
      <c r="A27" s="8" t="s">
        <v>459</v>
      </c>
      <c r="B27" s="1" t="s">
        <v>837</v>
      </c>
      <c r="C27" s="320">
        <f>(H15*(1-K15))/G15</f>
        <v>0.12</v>
      </c>
    </row>
    <row r="29" spans="1:3" x14ac:dyDescent="0.3">
      <c r="B29" s="1" t="s">
        <v>836</v>
      </c>
      <c r="C29" s="321">
        <f>G14*I14</f>
        <v>10000000</v>
      </c>
    </row>
    <row r="30" spans="1:3" x14ac:dyDescent="0.3">
      <c r="B30" s="1" t="s">
        <v>822</v>
      </c>
      <c r="C30" s="321">
        <f>G15*I15</f>
        <v>6000000</v>
      </c>
    </row>
    <row r="32" spans="1:3" x14ac:dyDescent="0.3">
      <c r="B32" s="1" t="s">
        <v>835</v>
      </c>
      <c r="C32" s="5">
        <f>G14-C29</f>
        <v>10000000</v>
      </c>
    </row>
    <row r="33" spans="1:11" x14ac:dyDescent="0.3">
      <c r="B33" s="1" t="s">
        <v>821</v>
      </c>
      <c r="C33" s="5">
        <f>G15-C30</f>
        <v>14000000</v>
      </c>
    </row>
    <row r="35" spans="1:11" x14ac:dyDescent="0.3">
      <c r="B35" s="1" t="s">
        <v>834</v>
      </c>
      <c r="C35" s="5">
        <f>H14-(C29*J14)</f>
        <v>2800000</v>
      </c>
    </row>
    <row r="36" spans="1:11" x14ac:dyDescent="0.3">
      <c r="B36" s="1" t="s">
        <v>820</v>
      </c>
      <c r="C36" s="5">
        <f>H15-(C30*J15)</f>
        <v>3400000</v>
      </c>
    </row>
    <row r="38" spans="1:11" x14ac:dyDescent="0.3">
      <c r="B38" s="1" t="s">
        <v>833</v>
      </c>
      <c r="C38" s="323">
        <f>C35*(1-K14)</f>
        <v>1680000</v>
      </c>
    </row>
    <row r="39" spans="1:11" x14ac:dyDescent="0.3">
      <c r="B39" s="1" t="s">
        <v>832</v>
      </c>
      <c r="C39" s="323">
        <f>C36*(1-K15)</f>
        <v>2040000</v>
      </c>
    </row>
    <row r="41" spans="1:11" x14ac:dyDescent="0.3">
      <c r="A41" s="8" t="s">
        <v>458</v>
      </c>
      <c r="B41" s="1" t="s">
        <v>831</v>
      </c>
      <c r="C41" s="320">
        <f>C38/C32</f>
        <v>0.16800000000000001</v>
      </c>
    </row>
    <row r="42" spans="1:11" x14ac:dyDescent="0.3">
      <c r="A42" s="8" t="s">
        <v>458</v>
      </c>
      <c r="B42" s="1" t="s">
        <v>830</v>
      </c>
      <c r="C42" s="320">
        <f>C39/C33</f>
        <v>0.14571428571428571</v>
      </c>
    </row>
    <row r="45" spans="1:11" x14ac:dyDescent="0.3">
      <c r="F45" s="65" t="s">
        <v>829</v>
      </c>
      <c r="G45" s="65" t="s">
        <v>828</v>
      </c>
      <c r="H45" s="65" t="s">
        <v>452</v>
      </c>
      <c r="I45" s="65" t="s">
        <v>827</v>
      </c>
      <c r="J45" s="65" t="s">
        <v>826</v>
      </c>
      <c r="K45" s="65" t="s">
        <v>825</v>
      </c>
    </row>
    <row r="46" spans="1:11" x14ac:dyDescent="0.3">
      <c r="F46" s="65" t="s">
        <v>824</v>
      </c>
      <c r="G46" s="11">
        <f>G15</f>
        <v>20000000</v>
      </c>
      <c r="H46" s="11">
        <f>H15</f>
        <v>4000000</v>
      </c>
      <c r="I46" s="322">
        <f>I15</f>
        <v>0.3</v>
      </c>
      <c r="J46" s="322">
        <f>J15</f>
        <v>0.1</v>
      </c>
      <c r="K46" s="322">
        <f>K15</f>
        <v>0.4</v>
      </c>
    </row>
    <row r="47" spans="1:11" x14ac:dyDescent="0.3">
      <c r="F47" s="65" t="s">
        <v>823</v>
      </c>
      <c r="G47" s="11">
        <f>G15</f>
        <v>20000000</v>
      </c>
      <c r="H47" s="11">
        <f>H15</f>
        <v>4000000</v>
      </c>
      <c r="I47" s="322">
        <v>0.6</v>
      </c>
      <c r="J47" s="322">
        <v>0.15</v>
      </c>
      <c r="K47" s="322">
        <f>K15</f>
        <v>0.4</v>
      </c>
    </row>
    <row r="49" spans="1:24" x14ac:dyDescent="0.3">
      <c r="B49" s="1" t="s">
        <v>822</v>
      </c>
      <c r="C49" s="321">
        <f>G47*I47</f>
        <v>12000000</v>
      </c>
    </row>
    <row r="51" spans="1:24" x14ac:dyDescent="0.3">
      <c r="B51" s="1" t="s">
        <v>821</v>
      </c>
      <c r="C51" s="5">
        <f>G47-C49</f>
        <v>8000000</v>
      </c>
    </row>
    <row r="53" spans="1:24" x14ac:dyDescent="0.3">
      <c r="B53" s="1" t="s">
        <v>820</v>
      </c>
      <c r="C53" s="5">
        <f>H47-(C49*J47)</f>
        <v>2200000</v>
      </c>
    </row>
    <row r="55" spans="1:24" x14ac:dyDescent="0.3">
      <c r="B55" s="1" t="s">
        <v>819</v>
      </c>
      <c r="C55" s="5">
        <f>C53*(1-K47)</f>
        <v>1320000</v>
      </c>
    </row>
    <row r="57" spans="1:24" x14ac:dyDescent="0.3">
      <c r="A57" s="8" t="s">
        <v>445</v>
      </c>
      <c r="B57" s="1" t="s">
        <v>818</v>
      </c>
      <c r="C57" s="320">
        <f>C55/C51</f>
        <v>0.16500000000000001</v>
      </c>
    </row>
    <row r="60" spans="1:24" ht="21" x14ac:dyDescent="0.35">
      <c r="A60" s="210"/>
      <c r="B60" s="210"/>
      <c r="C60" s="210"/>
      <c r="D60" s="210"/>
      <c r="E60" s="210"/>
      <c r="F60" s="210"/>
      <c r="G60" s="210"/>
      <c r="H60" s="210"/>
      <c r="I60" s="210"/>
      <c r="J60" s="210"/>
      <c r="K60" s="210"/>
      <c r="L60" s="210"/>
      <c r="M60" s="210"/>
      <c r="N60" s="210"/>
      <c r="O60" s="210"/>
      <c r="P60" s="210"/>
      <c r="Q60" s="210"/>
      <c r="R60" s="210"/>
      <c r="S60" s="210"/>
      <c r="T60" s="210"/>
      <c r="U60" s="210"/>
      <c r="V60" s="210"/>
      <c r="W60" s="210"/>
      <c r="X60" s="210"/>
    </row>
    <row r="61" spans="1:24" ht="21" x14ac:dyDescent="0.35">
      <c r="A61" s="210" t="s">
        <v>699</v>
      </c>
      <c r="B61" s="210" t="s">
        <v>817</v>
      </c>
      <c r="C61" s="210"/>
      <c r="D61" s="210"/>
      <c r="E61" s="210"/>
      <c r="F61" s="210"/>
      <c r="G61" s="210"/>
      <c r="H61" s="210"/>
      <c r="I61" s="210"/>
      <c r="J61" s="210"/>
      <c r="K61" s="210"/>
      <c r="L61" s="210"/>
      <c r="M61" s="210"/>
      <c r="N61" s="210"/>
      <c r="O61" s="210"/>
      <c r="P61" s="210"/>
      <c r="Q61" s="210"/>
      <c r="R61" s="210"/>
      <c r="S61" s="210"/>
      <c r="T61" s="210"/>
      <c r="U61" s="210"/>
      <c r="V61" s="210"/>
      <c r="W61" s="210"/>
      <c r="X61" s="210"/>
    </row>
    <row r="62" spans="1:24" ht="21" x14ac:dyDescent="0.35">
      <c r="A62" s="210"/>
      <c r="B62" s="210" t="s">
        <v>816</v>
      </c>
      <c r="C62" s="210"/>
      <c r="D62" s="210"/>
      <c r="E62" s="210"/>
      <c r="F62" s="210"/>
      <c r="G62" s="210"/>
      <c r="H62" s="210"/>
      <c r="I62" s="210"/>
      <c r="J62" s="210"/>
      <c r="K62" s="210"/>
      <c r="L62" s="210"/>
      <c r="M62" s="210"/>
      <c r="N62" s="210"/>
      <c r="O62" s="210"/>
      <c r="P62" s="210"/>
      <c r="Q62" s="210"/>
      <c r="R62" s="210"/>
      <c r="S62" s="210"/>
      <c r="T62" s="210"/>
      <c r="U62" s="210"/>
      <c r="V62" s="210"/>
      <c r="W62" s="210"/>
      <c r="X62" s="210"/>
    </row>
    <row r="63" spans="1:24" ht="21" x14ac:dyDescent="0.35">
      <c r="A63" s="210"/>
      <c r="B63" s="210" t="s">
        <v>815</v>
      </c>
      <c r="C63" s="210"/>
      <c r="D63" s="210"/>
      <c r="E63" s="210"/>
      <c r="F63" s="210"/>
      <c r="G63" s="210"/>
      <c r="H63" s="210"/>
      <c r="I63" s="210"/>
      <c r="J63" s="210"/>
      <c r="K63" s="210"/>
      <c r="L63" s="210"/>
      <c r="M63" s="210"/>
      <c r="N63" s="210"/>
      <c r="O63" s="210"/>
      <c r="P63" s="210"/>
      <c r="Q63" s="210"/>
      <c r="R63" s="210"/>
      <c r="S63" s="210"/>
      <c r="T63" s="210"/>
      <c r="U63" s="210"/>
      <c r="V63" s="210"/>
      <c r="W63" s="210"/>
      <c r="X63" s="210"/>
    </row>
    <row r="64" spans="1:24" ht="21" x14ac:dyDescent="0.35">
      <c r="A64" s="210"/>
      <c r="B64" s="210" t="s">
        <v>814</v>
      </c>
      <c r="C64" s="210"/>
      <c r="D64" s="210"/>
      <c r="E64" s="210"/>
      <c r="F64" s="210"/>
      <c r="G64" s="210"/>
      <c r="H64" s="210"/>
      <c r="I64" s="210"/>
      <c r="J64" s="210"/>
      <c r="K64" s="210"/>
      <c r="L64" s="210"/>
      <c r="M64" s="210"/>
      <c r="N64" s="210"/>
      <c r="O64" s="210"/>
      <c r="P64" s="210"/>
      <c r="Q64" s="210"/>
      <c r="R64" s="210"/>
      <c r="S64" s="210"/>
      <c r="T64" s="210"/>
      <c r="U64" s="210"/>
      <c r="V64" s="210"/>
      <c r="W64" s="210"/>
      <c r="X64" s="210"/>
    </row>
    <row r="65" spans="1:24" ht="21" x14ac:dyDescent="0.35">
      <c r="A65" s="210"/>
      <c r="B65" s="210" t="s">
        <v>813</v>
      </c>
      <c r="C65" s="210"/>
      <c r="D65" s="210"/>
      <c r="E65" s="210"/>
      <c r="F65" s="210"/>
      <c r="G65" s="210"/>
      <c r="H65" s="210"/>
      <c r="I65" s="210"/>
      <c r="J65" s="210"/>
      <c r="K65" s="210"/>
      <c r="L65" s="210"/>
      <c r="M65" s="210"/>
      <c r="N65" s="210"/>
      <c r="O65" s="210"/>
      <c r="P65" s="210"/>
      <c r="Q65" s="210"/>
      <c r="R65" s="210"/>
      <c r="S65" s="210"/>
      <c r="T65" s="210"/>
      <c r="U65" s="210"/>
      <c r="V65" s="210"/>
      <c r="W65" s="210"/>
      <c r="X65" s="210"/>
    </row>
    <row r="66" spans="1:24" ht="21" x14ac:dyDescent="0.35">
      <c r="A66" s="210"/>
      <c r="B66" s="210"/>
      <c r="C66" s="210"/>
      <c r="D66" s="210"/>
      <c r="E66" s="210"/>
      <c r="F66" s="210"/>
      <c r="G66" s="210"/>
      <c r="H66" s="210"/>
      <c r="I66" s="210"/>
      <c r="J66" s="210"/>
      <c r="K66" s="210"/>
      <c r="L66" s="210"/>
      <c r="M66" s="210"/>
      <c r="N66" s="210"/>
      <c r="O66" s="210"/>
      <c r="P66" s="210"/>
      <c r="Q66" s="210"/>
      <c r="R66" s="210"/>
      <c r="S66" s="210"/>
      <c r="T66" s="210"/>
      <c r="U66" s="210"/>
      <c r="V66" s="210"/>
      <c r="W66" s="210"/>
      <c r="X66" s="210"/>
    </row>
    <row r="67" spans="1:24" ht="21" x14ac:dyDescent="0.35">
      <c r="A67" s="210"/>
      <c r="B67" s="212" t="s">
        <v>4</v>
      </c>
      <c r="C67" s="210"/>
      <c r="D67" s="210"/>
      <c r="E67" s="210"/>
      <c r="F67" s="210"/>
      <c r="G67" s="210"/>
      <c r="H67" s="210"/>
      <c r="I67" s="210"/>
      <c r="J67" s="210"/>
      <c r="K67" s="210"/>
      <c r="L67" s="210"/>
      <c r="M67" s="210"/>
      <c r="N67" s="210"/>
      <c r="O67" s="210"/>
      <c r="P67" s="210"/>
      <c r="Q67" s="210"/>
      <c r="R67" s="210"/>
      <c r="S67" s="210"/>
      <c r="T67" s="210"/>
      <c r="U67" s="210"/>
      <c r="V67" s="210"/>
      <c r="W67" s="210"/>
      <c r="X67" s="210"/>
    </row>
    <row r="68" spans="1:24" ht="21" x14ac:dyDescent="0.35">
      <c r="A68" s="210"/>
      <c r="B68" s="210"/>
      <c r="C68" s="210"/>
      <c r="D68" s="210"/>
      <c r="E68" s="210"/>
      <c r="F68" s="210"/>
      <c r="G68" s="210"/>
      <c r="H68" s="210"/>
      <c r="I68" s="210"/>
      <c r="J68" s="210"/>
      <c r="K68" s="210"/>
      <c r="L68" s="210"/>
      <c r="M68" s="210"/>
      <c r="N68" s="210"/>
      <c r="O68" s="210"/>
      <c r="P68" s="210"/>
      <c r="Q68" s="210"/>
      <c r="R68" s="210"/>
      <c r="S68" s="210"/>
      <c r="T68" s="210"/>
      <c r="U68" s="210"/>
      <c r="V68" s="210"/>
      <c r="W68" s="210"/>
      <c r="X68" s="210"/>
    </row>
    <row r="69" spans="1:24" ht="21" x14ac:dyDescent="0.35">
      <c r="A69" s="210"/>
      <c r="B69" s="210" t="s">
        <v>797</v>
      </c>
      <c r="C69" s="210"/>
      <c r="D69" s="210"/>
      <c r="E69" s="210"/>
      <c r="F69" s="210"/>
      <c r="G69" s="210"/>
      <c r="H69" s="210"/>
      <c r="I69" s="210"/>
      <c r="J69" s="210"/>
      <c r="K69" s="210"/>
      <c r="L69" s="210"/>
      <c r="M69" s="210"/>
      <c r="N69" s="210"/>
      <c r="O69" s="210"/>
      <c r="P69" s="210"/>
      <c r="Q69" s="210"/>
      <c r="R69" s="210"/>
      <c r="S69" s="210"/>
      <c r="T69" s="210"/>
      <c r="U69" s="210"/>
      <c r="V69" s="210"/>
      <c r="W69" s="210"/>
      <c r="X69" s="210"/>
    </row>
    <row r="70" spans="1:24" ht="21" x14ac:dyDescent="0.35">
      <c r="A70" s="210"/>
      <c r="B70" s="210" t="s">
        <v>442</v>
      </c>
      <c r="C70" s="316">
        <v>0.25</v>
      </c>
      <c r="D70" s="210"/>
      <c r="E70" s="210"/>
      <c r="F70" s="210"/>
      <c r="G70" s="210"/>
      <c r="H70" s="210"/>
      <c r="I70" s="210"/>
      <c r="J70" s="210"/>
      <c r="K70" s="210"/>
      <c r="L70" s="210"/>
      <c r="M70" s="210"/>
      <c r="N70" s="210"/>
      <c r="O70" s="210"/>
      <c r="P70" s="210"/>
      <c r="Q70" s="210"/>
      <c r="R70" s="210"/>
      <c r="S70" s="210"/>
      <c r="T70" s="210"/>
      <c r="U70" s="210"/>
      <c r="V70" s="210"/>
      <c r="W70" s="210"/>
      <c r="X70" s="210"/>
    </row>
    <row r="71" spans="1:24" ht="21" x14ac:dyDescent="0.35">
      <c r="A71" s="210"/>
      <c r="B71" s="210" t="s">
        <v>441</v>
      </c>
      <c r="C71" s="316">
        <v>0.75</v>
      </c>
      <c r="D71" s="210"/>
      <c r="E71" s="210"/>
      <c r="F71" s="210"/>
      <c r="G71" s="210"/>
      <c r="H71" s="210"/>
      <c r="I71" s="210"/>
      <c r="J71" s="210"/>
      <c r="K71" s="210"/>
      <c r="L71" s="210"/>
      <c r="M71" s="210"/>
      <c r="N71" s="210"/>
      <c r="O71" s="210"/>
      <c r="P71" s="210"/>
      <c r="Q71" s="210"/>
      <c r="R71" s="210"/>
      <c r="S71" s="210"/>
      <c r="T71" s="210"/>
      <c r="U71" s="210"/>
      <c r="V71" s="210"/>
      <c r="W71" s="210"/>
      <c r="X71" s="210"/>
    </row>
    <row r="72" spans="1:24" ht="21" x14ac:dyDescent="0.35">
      <c r="A72" s="210"/>
      <c r="B72" s="210"/>
      <c r="C72" s="210"/>
      <c r="D72" s="210"/>
      <c r="E72" s="210"/>
      <c r="F72" s="210"/>
      <c r="G72" s="210"/>
      <c r="H72" s="210"/>
      <c r="I72" s="210"/>
      <c r="J72" s="210"/>
      <c r="K72" s="210"/>
      <c r="L72" s="210"/>
      <c r="M72" s="210"/>
      <c r="N72" s="210"/>
      <c r="O72" s="210"/>
      <c r="P72" s="210"/>
      <c r="Q72" s="210"/>
      <c r="R72" s="210"/>
      <c r="S72" s="210"/>
      <c r="T72" s="210"/>
      <c r="U72" s="210"/>
      <c r="V72" s="210"/>
      <c r="W72" s="210"/>
      <c r="X72" s="210"/>
    </row>
    <row r="73" spans="1:24" ht="21" x14ac:dyDescent="0.35">
      <c r="A73" s="210"/>
      <c r="B73" s="210" t="s">
        <v>812</v>
      </c>
      <c r="C73" s="316">
        <v>0.05</v>
      </c>
      <c r="D73" s="210"/>
      <c r="E73" s="210"/>
      <c r="F73" s="210"/>
      <c r="G73" s="210"/>
      <c r="H73" s="210"/>
      <c r="I73" s="210"/>
      <c r="J73" s="210"/>
      <c r="K73" s="210"/>
      <c r="L73" s="210"/>
      <c r="M73" s="210"/>
      <c r="N73" s="210"/>
      <c r="O73" s="210"/>
      <c r="P73" s="210"/>
      <c r="Q73" s="210"/>
      <c r="R73" s="210"/>
      <c r="S73" s="210"/>
      <c r="T73" s="210"/>
      <c r="U73" s="210"/>
      <c r="V73" s="210"/>
      <c r="W73" s="210"/>
      <c r="X73" s="210"/>
    </row>
    <row r="74" spans="1:24" ht="21" x14ac:dyDescent="0.35">
      <c r="A74" s="210"/>
      <c r="B74" s="210" t="s">
        <v>811</v>
      </c>
      <c r="C74" s="316">
        <v>0.06</v>
      </c>
      <c r="D74" s="210"/>
      <c r="E74" s="210"/>
      <c r="F74" s="210"/>
      <c r="G74" s="210"/>
      <c r="H74" s="210"/>
      <c r="I74" s="210"/>
      <c r="J74" s="210"/>
      <c r="K74" s="210"/>
      <c r="L74" s="210"/>
      <c r="M74" s="210"/>
      <c r="N74" s="210"/>
      <c r="O74" s="210"/>
      <c r="P74" s="210"/>
      <c r="Q74" s="210"/>
      <c r="R74" s="210"/>
      <c r="S74" s="210"/>
      <c r="T74" s="210"/>
      <c r="U74" s="210"/>
      <c r="V74" s="210"/>
      <c r="W74" s="210"/>
      <c r="X74" s="210"/>
    </row>
    <row r="75" spans="1:24" ht="21" x14ac:dyDescent="0.35">
      <c r="A75" s="210"/>
      <c r="B75" s="210" t="s">
        <v>596</v>
      </c>
      <c r="C75" s="316">
        <v>0.4</v>
      </c>
      <c r="D75" s="210"/>
      <c r="E75" s="210"/>
      <c r="F75" s="210"/>
      <c r="G75" s="210"/>
      <c r="H75" s="210"/>
      <c r="I75" s="210"/>
      <c r="J75" s="210"/>
      <c r="K75" s="210"/>
      <c r="L75" s="210"/>
      <c r="M75" s="210"/>
      <c r="N75" s="210"/>
      <c r="O75" s="210"/>
      <c r="P75" s="210"/>
      <c r="Q75" s="210"/>
      <c r="R75" s="210"/>
      <c r="S75" s="210"/>
      <c r="T75" s="210"/>
      <c r="U75" s="210"/>
      <c r="V75" s="210"/>
      <c r="W75" s="210"/>
      <c r="X75" s="210"/>
    </row>
    <row r="76" spans="1:24" ht="21" x14ac:dyDescent="0.35">
      <c r="A76" s="210"/>
      <c r="B76" s="210"/>
      <c r="C76" s="210"/>
      <c r="D76" s="210"/>
      <c r="E76" s="210"/>
      <c r="F76" s="210"/>
      <c r="G76" s="210"/>
      <c r="H76" s="210"/>
      <c r="I76" s="210"/>
      <c r="J76" s="210"/>
      <c r="K76" s="210"/>
      <c r="L76" s="210"/>
      <c r="M76" s="210"/>
      <c r="N76" s="210"/>
      <c r="O76" s="210"/>
      <c r="P76" s="210"/>
      <c r="Q76" s="210"/>
      <c r="R76" s="210"/>
      <c r="S76" s="210"/>
      <c r="T76" s="210"/>
      <c r="U76" s="210"/>
      <c r="V76" s="210"/>
      <c r="W76" s="210"/>
      <c r="X76" s="210"/>
    </row>
    <row r="77" spans="1:24" ht="21" x14ac:dyDescent="0.35">
      <c r="A77" s="210"/>
      <c r="B77" s="210" t="s">
        <v>810</v>
      </c>
      <c r="C77" s="316">
        <v>0.14000000000000001</v>
      </c>
      <c r="D77" s="210"/>
      <c r="E77" s="210"/>
      <c r="F77" s="210"/>
      <c r="G77" s="210"/>
      <c r="H77" s="210"/>
      <c r="I77" s="210"/>
      <c r="J77" s="210"/>
      <c r="K77" s="210"/>
      <c r="L77" s="210"/>
      <c r="M77" s="210"/>
      <c r="N77" s="210"/>
      <c r="O77" s="210"/>
      <c r="P77" s="210"/>
      <c r="Q77" s="210"/>
      <c r="R77" s="210"/>
      <c r="S77" s="210"/>
      <c r="T77" s="210"/>
      <c r="U77" s="210"/>
      <c r="V77" s="210"/>
      <c r="W77" s="210"/>
      <c r="X77" s="210"/>
    </row>
    <row r="78" spans="1:24" ht="21" x14ac:dyDescent="0.35">
      <c r="A78" s="210"/>
      <c r="B78" s="210"/>
      <c r="C78" s="210"/>
      <c r="D78" s="210"/>
      <c r="E78" s="210"/>
      <c r="F78" s="210"/>
      <c r="G78" s="210"/>
      <c r="H78" s="210"/>
      <c r="I78" s="210"/>
      <c r="J78" s="210"/>
      <c r="K78" s="210"/>
      <c r="L78" s="210"/>
      <c r="M78" s="210"/>
      <c r="N78" s="210"/>
      <c r="O78" s="210"/>
      <c r="P78" s="210"/>
      <c r="Q78" s="210"/>
      <c r="R78" s="210"/>
      <c r="S78" s="210"/>
      <c r="T78" s="210"/>
      <c r="U78" s="210"/>
      <c r="V78" s="210"/>
      <c r="W78" s="210"/>
      <c r="X78" s="210"/>
    </row>
    <row r="79" spans="1:24" ht="21" x14ac:dyDescent="0.35">
      <c r="A79" s="210"/>
      <c r="B79" s="210" t="s">
        <v>797</v>
      </c>
      <c r="C79" s="210"/>
      <c r="D79" s="210"/>
      <c r="E79" s="210"/>
      <c r="F79" s="210"/>
      <c r="G79" s="210"/>
      <c r="H79" s="210"/>
      <c r="I79" s="210"/>
      <c r="J79" s="210"/>
      <c r="K79" s="210"/>
      <c r="L79" s="210"/>
      <c r="M79" s="210"/>
      <c r="N79" s="210"/>
      <c r="O79" s="210"/>
      <c r="P79" s="210"/>
      <c r="Q79" s="210"/>
      <c r="R79" s="210"/>
      <c r="S79" s="210"/>
      <c r="T79" s="210"/>
      <c r="U79" s="210"/>
      <c r="V79" s="210"/>
      <c r="W79" s="210"/>
      <c r="X79" s="210"/>
    </row>
    <row r="80" spans="1:24" ht="21" x14ac:dyDescent="0.35">
      <c r="A80" s="210"/>
      <c r="B80" s="210" t="s">
        <v>442</v>
      </c>
      <c r="C80" s="316">
        <v>0.5</v>
      </c>
      <c r="D80" s="210"/>
      <c r="E80" s="210"/>
      <c r="F80" s="210"/>
      <c r="G80" s="210"/>
      <c r="H80" s="210"/>
      <c r="I80" s="210"/>
      <c r="J80" s="210"/>
      <c r="K80" s="210"/>
      <c r="L80" s="210"/>
      <c r="M80" s="210"/>
      <c r="N80" s="210"/>
      <c r="O80" s="210"/>
      <c r="P80" s="210"/>
      <c r="Q80" s="210"/>
      <c r="R80" s="210"/>
      <c r="S80" s="210"/>
      <c r="T80" s="210"/>
      <c r="U80" s="210"/>
      <c r="V80" s="210"/>
      <c r="W80" s="210"/>
      <c r="X80" s="210"/>
    </row>
    <row r="81" spans="1:24" ht="21" x14ac:dyDescent="0.35">
      <c r="A81" s="210"/>
      <c r="B81" s="210" t="s">
        <v>441</v>
      </c>
      <c r="C81" s="316">
        <v>0.5</v>
      </c>
      <c r="D81" s="210"/>
      <c r="E81" s="210"/>
      <c r="F81" s="210"/>
      <c r="G81" s="210"/>
      <c r="H81" s="210"/>
      <c r="I81" s="210"/>
      <c r="J81" s="210"/>
      <c r="K81" s="210"/>
      <c r="L81" s="210"/>
      <c r="M81" s="210"/>
      <c r="N81" s="210"/>
      <c r="O81" s="210"/>
      <c r="P81" s="210"/>
      <c r="Q81" s="210"/>
      <c r="R81" s="210"/>
      <c r="S81" s="210"/>
      <c r="T81" s="210"/>
      <c r="U81" s="210"/>
      <c r="V81" s="210"/>
      <c r="W81" s="210"/>
      <c r="X81" s="210"/>
    </row>
    <row r="82" spans="1:24" ht="21" x14ac:dyDescent="0.35">
      <c r="A82" s="210"/>
      <c r="B82" s="210"/>
      <c r="C82" s="210"/>
      <c r="D82" s="210"/>
      <c r="E82" s="210"/>
      <c r="F82" s="210"/>
      <c r="G82" s="210"/>
      <c r="H82" s="210"/>
      <c r="I82" s="210"/>
      <c r="J82" s="210"/>
      <c r="K82" s="210"/>
      <c r="L82" s="210"/>
      <c r="M82" s="210"/>
      <c r="N82" s="210"/>
      <c r="O82" s="210"/>
      <c r="P82" s="210"/>
      <c r="Q82" s="210"/>
      <c r="R82" s="210"/>
      <c r="S82" s="210"/>
      <c r="T82" s="210"/>
      <c r="U82" s="210"/>
      <c r="V82" s="210"/>
      <c r="W82" s="210"/>
      <c r="X82" s="210"/>
    </row>
    <row r="83" spans="1:24" ht="21" x14ac:dyDescent="0.35">
      <c r="A83" s="210"/>
      <c r="B83" s="210" t="s">
        <v>809</v>
      </c>
      <c r="C83" s="210"/>
      <c r="D83" s="210"/>
      <c r="E83" s="210"/>
      <c r="F83" s="210"/>
      <c r="G83" s="210"/>
      <c r="H83" s="210"/>
      <c r="I83" s="210"/>
      <c r="J83" s="210"/>
      <c r="K83" s="210"/>
      <c r="L83" s="210"/>
      <c r="M83" s="210"/>
      <c r="N83" s="210"/>
      <c r="O83" s="210"/>
      <c r="P83" s="210"/>
      <c r="Q83" s="210"/>
      <c r="R83" s="210"/>
      <c r="S83" s="210"/>
      <c r="T83" s="210"/>
      <c r="U83" s="210"/>
      <c r="V83" s="210"/>
      <c r="W83" s="210"/>
      <c r="X83" s="210"/>
    </row>
    <row r="84" spans="1:24" ht="21" x14ac:dyDescent="0.35">
      <c r="A84" s="210"/>
      <c r="B84" s="210"/>
      <c r="C84" s="210"/>
      <c r="D84" s="210"/>
      <c r="E84" s="210"/>
      <c r="F84" s="210"/>
      <c r="G84" s="210"/>
      <c r="H84" s="210"/>
      <c r="I84" s="210"/>
      <c r="J84" s="210"/>
      <c r="K84" s="210"/>
      <c r="L84" s="210"/>
      <c r="M84" s="210"/>
      <c r="N84" s="210"/>
      <c r="O84" s="210"/>
      <c r="P84" s="210"/>
      <c r="Q84" s="210"/>
      <c r="R84" s="210"/>
      <c r="S84" s="210"/>
      <c r="T84" s="210"/>
      <c r="U84" s="210"/>
      <c r="V84" s="210"/>
      <c r="W84" s="210"/>
      <c r="X84" s="210"/>
    </row>
    <row r="85" spans="1:24" ht="21" x14ac:dyDescent="0.35">
      <c r="A85" s="210"/>
      <c r="B85" s="212" t="s">
        <v>15</v>
      </c>
      <c r="C85" s="210"/>
      <c r="D85" s="210"/>
      <c r="E85" s="210"/>
      <c r="F85" s="210"/>
      <c r="G85" s="210"/>
      <c r="H85" s="210"/>
      <c r="I85" s="210"/>
      <c r="J85" s="210"/>
      <c r="K85" s="210"/>
      <c r="L85" s="210"/>
      <c r="M85" s="210"/>
      <c r="N85" s="210"/>
      <c r="O85" s="210"/>
      <c r="P85" s="210"/>
      <c r="Q85" s="210"/>
      <c r="R85" s="210"/>
      <c r="S85" s="210"/>
      <c r="T85" s="210"/>
      <c r="U85" s="210"/>
      <c r="V85" s="210"/>
      <c r="W85" s="210"/>
      <c r="X85" s="210"/>
    </row>
    <row r="86" spans="1:24" ht="21" x14ac:dyDescent="0.35">
      <c r="A86" s="210"/>
      <c r="B86" s="210"/>
      <c r="C86" s="210"/>
      <c r="D86" s="210"/>
      <c r="E86" s="210"/>
      <c r="F86" s="210"/>
      <c r="G86" s="210"/>
      <c r="H86" s="210"/>
      <c r="I86" s="210"/>
      <c r="J86" s="210"/>
      <c r="K86" s="210"/>
      <c r="L86" s="210"/>
      <c r="M86" s="210"/>
      <c r="N86" s="210"/>
      <c r="O86" s="210"/>
      <c r="P86" s="210"/>
      <c r="Q86" s="210"/>
      <c r="R86" s="210"/>
      <c r="S86" s="210"/>
      <c r="T86" s="210"/>
      <c r="U86" s="210"/>
      <c r="V86" s="210"/>
      <c r="W86" s="210"/>
      <c r="X86" s="210"/>
    </row>
    <row r="87" spans="1:24" ht="21" x14ac:dyDescent="0.35">
      <c r="A87" s="210"/>
      <c r="B87" s="210" t="s">
        <v>808</v>
      </c>
      <c r="C87" s="210">
        <f>(C77-C73)/C74</f>
        <v>1.5000000000000002</v>
      </c>
      <c r="D87" s="210"/>
      <c r="E87" s="210"/>
      <c r="F87" s="210"/>
      <c r="G87" s="210"/>
      <c r="H87" s="210"/>
      <c r="I87" s="210"/>
      <c r="J87" s="210"/>
      <c r="K87" s="210"/>
      <c r="L87" s="210"/>
      <c r="M87" s="210"/>
      <c r="N87" s="210"/>
      <c r="O87" s="210"/>
      <c r="P87" s="210"/>
      <c r="Q87" s="210"/>
      <c r="R87" s="210"/>
      <c r="S87" s="210"/>
      <c r="T87" s="210"/>
      <c r="U87" s="210"/>
      <c r="V87" s="210"/>
      <c r="W87" s="210"/>
      <c r="X87" s="210"/>
    </row>
    <row r="88" spans="1:24" ht="21" x14ac:dyDescent="0.35">
      <c r="A88" s="210"/>
      <c r="B88" s="210"/>
      <c r="C88" s="210"/>
      <c r="D88" s="210"/>
      <c r="E88" s="210"/>
      <c r="F88" s="210"/>
      <c r="G88" s="210"/>
      <c r="H88" s="210"/>
      <c r="I88" s="210"/>
      <c r="J88" s="210"/>
      <c r="K88" s="210"/>
      <c r="L88" s="210"/>
      <c r="M88" s="210"/>
      <c r="N88" s="210"/>
      <c r="O88" s="210"/>
      <c r="P88" s="210"/>
      <c r="Q88" s="210"/>
      <c r="R88" s="210"/>
      <c r="S88" s="210"/>
      <c r="T88" s="210"/>
      <c r="U88" s="210"/>
      <c r="V88" s="210"/>
      <c r="W88" s="210"/>
      <c r="X88" s="210"/>
    </row>
    <row r="89" spans="1:24" ht="21" x14ac:dyDescent="0.35">
      <c r="A89" s="210"/>
      <c r="B89" s="210" t="s">
        <v>807</v>
      </c>
      <c r="C89" s="210">
        <f>C87/(1+(C70/C71)*(1-C75))</f>
        <v>1.2500000000000002</v>
      </c>
      <c r="D89" s="210"/>
      <c r="E89" s="210"/>
      <c r="F89" s="210"/>
      <c r="G89" s="210"/>
      <c r="H89" s="210"/>
      <c r="I89" s="210"/>
      <c r="J89" s="210"/>
      <c r="K89" s="210"/>
      <c r="L89" s="210"/>
      <c r="M89" s="210"/>
      <c r="N89" s="210"/>
      <c r="O89" s="210"/>
      <c r="P89" s="210"/>
      <c r="Q89" s="210"/>
      <c r="R89" s="210"/>
      <c r="S89" s="210"/>
      <c r="T89" s="210"/>
      <c r="U89" s="210"/>
      <c r="V89" s="210"/>
      <c r="W89" s="210"/>
      <c r="X89" s="210"/>
    </row>
    <row r="90" spans="1:24" ht="21" x14ac:dyDescent="0.35">
      <c r="A90" s="210"/>
      <c r="B90" s="210"/>
      <c r="C90" s="210"/>
      <c r="D90" s="210"/>
      <c r="E90" s="210"/>
      <c r="F90" s="210"/>
      <c r="G90" s="210"/>
      <c r="H90" s="210"/>
      <c r="I90" s="210"/>
      <c r="J90" s="210"/>
      <c r="K90" s="210"/>
      <c r="L90" s="210"/>
      <c r="M90" s="210"/>
      <c r="N90" s="210"/>
      <c r="O90" s="210"/>
      <c r="P90" s="210"/>
      <c r="Q90" s="210"/>
      <c r="R90" s="210"/>
      <c r="S90" s="210"/>
      <c r="T90" s="210"/>
      <c r="U90" s="210"/>
      <c r="V90" s="210"/>
      <c r="W90" s="210"/>
      <c r="X90" s="210"/>
    </row>
    <row r="91" spans="1:24" ht="21" x14ac:dyDescent="0.35">
      <c r="A91" s="210"/>
      <c r="B91" s="210" t="s">
        <v>806</v>
      </c>
      <c r="C91" s="210">
        <f>C89*(1+(C80/C81)*(1-C75))</f>
        <v>2.0000000000000004</v>
      </c>
      <c r="D91" s="210"/>
      <c r="E91" s="210"/>
      <c r="F91" s="210"/>
      <c r="G91" s="210"/>
      <c r="H91" s="210"/>
      <c r="I91" s="210"/>
      <c r="J91" s="210"/>
      <c r="K91" s="210"/>
      <c r="L91" s="210"/>
      <c r="M91" s="210"/>
      <c r="N91" s="210"/>
      <c r="O91" s="210"/>
      <c r="P91" s="210"/>
      <c r="Q91" s="210"/>
      <c r="R91" s="210"/>
      <c r="S91" s="210"/>
      <c r="T91" s="210"/>
      <c r="U91" s="210"/>
      <c r="V91" s="210"/>
      <c r="W91" s="210"/>
      <c r="X91" s="210"/>
    </row>
    <row r="92" spans="1:24" ht="21" x14ac:dyDescent="0.35">
      <c r="A92" s="210"/>
      <c r="B92" s="210"/>
      <c r="C92" s="210"/>
      <c r="D92" s="210"/>
      <c r="E92" s="210"/>
      <c r="F92" s="210"/>
      <c r="G92" s="210"/>
      <c r="H92" s="210"/>
      <c r="I92" s="210"/>
      <c r="J92" s="210"/>
      <c r="K92" s="210"/>
      <c r="L92" s="210"/>
      <c r="M92" s="210"/>
      <c r="N92" s="210"/>
      <c r="O92" s="210"/>
      <c r="P92" s="210"/>
      <c r="Q92" s="210"/>
      <c r="R92" s="210"/>
      <c r="S92" s="210"/>
      <c r="T92" s="210"/>
      <c r="U92" s="210"/>
      <c r="V92" s="210"/>
      <c r="W92" s="210"/>
      <c r="X92" s="210"/>
    </row>
    <row r="93" spans="1:24" ht="21" x14ac:dyDescent="0.35">
      <c r="A93" s="210"/>
      <c r="B93" s="210" t="s">
        <v>790</v>
      </c>
      <c r="C93" s="316">
        <f>C73+C91*C74</f>
        <v>0.17000000000000004</v>
      </c>
      <c r="D93" s="210"/>
      <c r="E93" s="210"/>
      <c r="F93" s="210"/>
      <c r="G93" s="210"/>
      <c r="H93" s="210"/>
      <c r="I93" s="210"/>
      <c r="J93" s="210"/>
      <c r="K93" s="210"/>
      <c r="L93" s="210"/>
      <c r="M93" s="210"/>
      <c r="N93" s="210"/>
      <c r="O93" s="210"/>
      <c r="P93" s="210"/>
      <c r="Q93" s="210"/>
      <c r="R93" s="210"/>
      <c r="S93" s="210"/>
      <c r="T93" s="210"/>
      <c r="U93" s="210"/>
      <c r="V93" s="210"/>
      <c r="W93" s="210"/>
      <c r="X93" s="210"/>
    </row>
    <row r="94" spans="1:24" ht="21" x14ac:dyDescent="0.35">
      <c r="A94" s="210"/>
      <c r="B94" s="210"/>
      <c r="C94" s="210"/>
      <c r="D94" s="210"/>
      <c r="E94" s="210"/>
      <c r="F94" s="210"/>
      <c r="G94" s="210"/>
      <c r="H94" s="210"/>
      <c r="I94" s="210"/>
      <c r="J94" s="210"/>
      <c r="K94" s="210"/>
      <c r="L94" s="210"/>
      <c r="M94" s="210"/>
      <c r="N94" s="210"/>
      <c r="O94" s="210"/>
      <c r="P94" s="210"/>
      <c r="Q94" s="210"/>
      <c r="R94" s="210"/>
      <c r="S94" s="210"/>
      <c r="T94" s="210"/>
      <c r="U94" s="210"/>
      <c r="V94" s="210"/>
      <c r="W94" s="210"/>
      <c r="X94" s="210"/>
    </row>
    <row r="95" spans="1:24" ht="21" x14ac:dyDescent="0.35">
      <c r="A95" s="210"/>
      <c r="B95" s="210" t="s">
        <v>23</v>
      </c>
      <c r="C95" s="319">
        <f>C93</f>
        <v>0.17000000000000004</v>
      </c>
      <c r="D95" s="210"/>
      <c r="E95" s="210"/>
      <c r="F95" s="210"/>
      <c r="G95" s="210"/>
      <c r="H95" s="210"/>
      <c r="I95" s="210"/>
      <c r="J95" s="210"/>
      <c r="K95" s="210"/>
      <c r="L95" s="210"/>
      <c r="M95" s="210"/>
      <c r="N95" s="210"/>
      <c r="O95" s="210"/>
      <c r="P95" s="210"/>
      <c r="Q95" s="210"/>
      <c r="R95" s="210"/>
      <c r="S95" s="210"/>
      <c r="T95" s="210"/>
      <c r="U95" s="210"/>
      <c r="V95" s="210"/>
      <c r="W95" s="210"/>
      <c r="X95" s="210"/>
    </row>
    <row r="98" spans="1:4" x14ac:dyDescent="0.3">
      <c r="A98" s="1" t="s">
        <v>676</v>
      </c>
      <c r="B98" s="44" t="s">
        <v>805</v>
      </c>
    </row>
    <row r="99" spans="1:4" x14ac:dyDescent="0.3">
      <c r="B99" s="1" t="s">
        <v>804</v>
      </c>
    </row>
    <row r="100" spans="1:4" x14ac:dyDescent="0.3">
      <c r="B100" s="1" t="s">
        <v>803</v>
      </c>
    </row>
    <row r="101" spans="1:4" x14ac:dyDescent="0.3">
      <c r="B101" s="1" t="s">
        <v>802</v>
      </c>
    </row>
    <row r="102" spans="1:4" x14ac:dyDescent="0.3">
      <c r="B102" s="44" t="s">
        <v>801</v>
      </c>
    </row>
    <row r="103" spans="1:4" x14ac:dyDescent="0.3">
      <c r="B103" s="1" t="s">
        <v>800</v>
      </c>
    </row>
    <row r="104" spans="1:4" x14ac:dyDescent="0.3">
      <c r="B104" s="44" t="s">
        <v>799</v>
      </c>
    </row>
    <row r="105" spans="1:4" x14ac:dyDescent="0.3">
      <c r="B105" s="44" t="s">
        <v>798</v>
      </c>
    </row>
    <row r="107" spans="1:4" ht="21" x14ac:dyDescent="0.35">
      <c r="B107" s="212" t="s">
        <v>4</v>
      </c>
      <c r="C107" s="210"/>
      <c r="D107" s="210"/>
    </row>
    <row r="108" spans="1:4" ht="21" x14ac:dyDescent="0.35">
      <c r="B108" s="210"/>
      <c r="C108" s="210"/>
      <c r="D108" s="210"/>
    </row>
    <row r="109" spans="1:4" ht="21" x14ac:dyDescent="0.35">
      <c r="B109" s="210" t="s">
        <v>797</v>
      </c>
      <c r="C109" s="210"/>
      <c r="D109" s="210"/>
    </row>
    <row r="110" spans="1:4" ht="21" x14ac:dyDescent="0.35">
      <c r="B110" s="210" t="s">
        <v>442</v>
      </c>
      <c r="C110" s="316">
        <v>0</v>
      </c>
      <c r="D110" s="210"/>
    </row>
    <row r="111" spans="1:4" ht="21" x14ac:dyDescent="0.35">
      <c r="B111" s="210" t="s">
        <v>441</v>
      </c>
      <c r="C111" s="316">
        <v>1</v>
      </c>
      <c r="D111" s="210"/>
    </row>
    <row r="112" spans="1:4" ht="21" x14ac:dyDescent="0.35">
      <c r="B112" s="210"/>
      <c r="C112" s="210"/>
      <c r="D112" s="210"/>
    </row>
    <row r="113" spans="2:4" ht="21" x14ac:dyDescent="0.35">
      <c r="B113" s="210" t="s">
        <v>748</v>
      </c>
      <c r="C113" s="216">
        <v>5000000</v>
      </c>
      <c r="D113" s="210"/>
    </row>
    <row r="114" spans="2:4" ht="21" x14ac:dyDescent="0.35">
      <c r="B114" s="210" t="s">
        <v>179</v>
      </c>
      <c r="C114" s="216">
        <v>1000000</v>
      </c>
      <c r="D114" s="210"/>
    </row>
    <row r="115" spans="2:4" ht="21" x14ac:dyDescent="0.35">
      <c r="B115" s="210" t="s">
        <v>596</v>
      </c>
      <c r="C115" s="316">
        <v>0.4</v>
      </c>
      <c r="D115" s="210"/>
    </row>
    <row r="116" spans="2:4" ht="21" x14ac:dyDescent="0.35">
      <c r="B116" s="210" t="s">
        <v>796</v>
      </c>
      <c r="C116" s="316">
        <v>0.4</v>
      </c>
      <c r="D116" s="210"/>
    </row>
    <row r="117" spans="2:4" ht="21" x14ac:dyDescent="0.35">
      <c r="B117" s="210"/>
      <c r="C117" s="316"/>
      <c r="D117" s="210"/>
    </row>
    <row r="118" spans="2:4" ht="21" x14ac:dyDescent="0.35">
      <c r="B118" s="210" t="s">
        <v>795</v>
      </c>
      <c r="C118" s="316">
        <v>0.05</v>
      </c>
      <c r="D118" s="210" t="s">
        <v>794</v>
      </c>
    </row>
    <row r="119" spans="2:4" ht="21" x14ac:dyDescent="0.35">
      <c r="B119" s="210"/>
      <c r="C119" s="210"/>
      <c r="D119" s="210"/>
    </row>
    <row r="120" spans="2:4" ht="21" x14ac:dyDescent="0.35">
      <c r="B120" s="210" t="s">
        <v>793</v>
      </c>
      <c r="C120" s="318">
        <v>200000</v>
      </c>
      <c r="D120" s="210" t="s">
        <v>275</v>
      </c>
    </row>
    <row r="121" spans="2:4" ht="21" x14ac:dyDescent="0.35">
      <c r="B121" s="210" t="s">
        <v>103</v>
      </c>
      <c r="C121" s="317">
        <v>0.13400000000000001</v>
      </c>
      <c r="D121" s="210"/>
    </row>
    <row r="122" spans="2:4" ht="21" x14ac:dyDescent="0.35">
      <c r="B122" s="210"/>
      <c r="C122" s="210"/>
      <c r="D122" s="210"/>
    </row>
    <row r="123" spans="2:4" ht="21" x14ac:dyDescent="0.35">
      <c r="B123" s="210" t="s">
        <v>792</v>
      </c>
      <c r="C123" s="216">
        <v>1000000</v>
      </c>
      <c r="D123" s="210" t="s">
        <v>791</v>
      </c>
    </row>
    <row r="124" spans="2:4" ht="21" x14ac:dyDescent="0.35">
      <c r="B124" s="210" t="s">
        <v>790</v>
      </c>
      <c r="C124" s="317">
        <v>0.14499999999999999</v>
      </c>
      <c r="D124" s="210"/>
    </row>
    <row r="125" spans="2:4" ht="21" x14ac:dyDescent="0.35">
      <c r="B125" s="1" t="s">
        <v>156</v>
      </c>
      <c r="C125" s="316">
        <v>0.11</v>
      </c>
      <c r="D125" s="210"/>
    </row>
    <row r="127" spans="2:4" x14ac:dyDescent="0.3">
      <c r="B127" s="1" t="s">
        <v>316</v>
      </c>
    </row>
    <row r="130" spans="1:4" ht="21" x14ac:dyDescent="0.35">
      <c r="B130" s="212" t="s">
        <v>15</v>
      </c>
    </row>
    <row r="132" spans="1:4" x14ac:dyDescent="0.3">
      <c r="B132" s="1" t="s">
        <v>789</v>
      </c>
      <c r="C132" s="37">
        <f>C114*C116</f>
        <v>400000</v>
      </c>
      <c r="D132" s="1" t="s">
        <v>788</v>
      </c>
    </row>
    <row r="133" spans="1:4" x14ac:dyDescent="0.3">
      <c r="B133" s="1" t="s">
        <v>782</v>
      </c>
      <c r="C133" s="37">
        <f>C132/C120</f>
        <v>2</v>
      </c>
      <c r="D133" s="1" t="s">
        <v>781</v>
      </c>
    </row>
    <row r="135" spans="1:4" x14ac:dyDescent="0.3">
      <c r="A135" s="8" t="s">
        <v>459</v>
      </c>
      <c r="B135" s="1" t="s">
        <v>787</v>
      </c>
      <c r="C135" s="43">
        <f>C133/(C121-C118)</f>
        <v>23.809523809523807</v>
      </c>
    </row>
    <row r="137" spans="1:4" x14ac:dyDescent="0.3">
      <c r="B137" s="315" t="s">
        <v>786</v>
      </c>
    </row>
    <row r="138" spans="1:4" x14ac:dyDescent="0.3">
      <c r="B138" s="1" t="s">
        <v>785</v>
      </c>
      <c r="C138" s="37">
        <f>C123*C125</f>
        <v>110000</v>
      </c>
    </row>
    <row r="139" spans="1:4" x14ac:dyDescent="0.3">
      <c r="B139" s="1" t="s">
        <v>179</v>
      </c>
      <c r="C139" s="37">
        <f>C114-C138</f>
        <v>890000</v>
      </c>
      <c r="D139" s="1" t="s">
        <v>784</v>
      </c>
    </row>
    <row r="141" spans="1:4" x14ac:dyDescent="0.3">
      <c r="B141" s="1" t="s">
        <v>783</v>
      </c>
      <c r="C141" s="37">
        <f>C139*C116</f>
        <v>356000</v>
      </c>
    </row>
    <row r="143" spans="1:4" x14ac:dyDescent="0.3">
      <c r="B143" s="1" t="s">
        <v>782</v>
      </c>
      <c r="C143" s="5">
        <f>C141/C120</f>
        <v>1.78</v>
      </c>
      <c r="D143" s="1" t="s">
        <v>781</v>
      </c>
    </row>
    <row r="145" spans="2:3" x14ac:dyDescent="0.3">
      <c r="B145" s="1" t="s">
        <v>780</v>
      </c>
      <c r="C145" s="43">
        <f>C143/(C124-C118)</f>
        <v>18.736842105263161</v>
      </c>
    </row>
  </sheetData>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315"/>
  <sheetViews>
    <sheetView topLeftCell="A28" zoomScale="85" zoomScaleNormal="85" workbookViewId="0">
      <selection activeCell="C73" sqref="C73"/>
    </sheetView>
  </sheetViews>
  <sheetFormatPr defaultColWidth="8.85546875" defaultRowHeight="18.75" x14ac:dyDescent="0.3"/>
  <cols>
    <col min="1" max="1" width="14.28515625" style="1" bestFit="1" customWidth="1"/>
    <col min="2" max="2" width="37" style="1" customWidth="1"/>
    <col min="3" max="3" width="35.28515625" style="1" customWidth="1"/>
    <col min="4" max="4" width="20.28515625" style="1" customWidth="1"/>
    <col min="5" max="5" width="19.5703125" style="1" customWidth="1"/>
    <col min="6" max="6" width="20.28515625" style="1" customWidth="1"/>
    <col min="7" max="7" width="21.7109375" style="1" customWidth="1"/>
    <col min="8" max="8" width="21.42578125" style="1" customWidth="1"/>
    <col min="9" max="9" width="20.28515625" style="1" customWidth="1"/>
    <col min="10" max="10" width="17" style="1" customWidth="1"/>
    <col min="11" max="11" width="16.7109375" style="1" customWidth="1"/>
    <col min="12" max="12" width="19.28515625" style="1" customWidth="1"/>
    <col min="13" max="13" width="17.7109375" style="1" customWidth="1"/>
    <col min="14" max="14" width="18.7109375" style="1" customWidth="1"/>
    <col min="15" max="15" width="17.42578125" style="1" customWidth="1"/>
    <col min="16" max="25" width="8.85546875" style="1"/>
    <col min="26" max="26" width="11.28515625" style="1" customWidth="1"/>
    <col min="27" max="27" width="12.140625" style="1" customWidth="1"/>
    <col min="28" max="28" width="12" style="1" customWidth="1"/>
    <col min="29" max="29" width="12.28515625" style="1" customWidth="1"/>
    <col min="30" max="30" width="12.85546875" style="1" customWidth="1"/>
    <col min="31" max="16384" width="8.85546875" style="1"/>
  </cols>
  <sheetData>
    <row r="2" spans="1:11" x14ac:dyDescent="0.3">
      <c r="A2" s="472">
        <v>1</v>
      </c>
      <c r="B2" s="2" t="s">
        <v>1121</v>
      </c>
    </row>
    <row r="3" spans="1:11" x14ac:dyDescent="0.3">
      <c r="B3" s="2" t="s">
        <v>1120</v>
      </c>
      <c r="E3" s="9"/>
    </row>
    <row r="4" spans="1:11" x14ac:dyDescent="0.3">
      <c r="B4" s="2"/>
    </row>
    <row r="5" spans="1:11" x14ac:dyDescent="0.3">
      <c r="B5" s="529" t="s">
        <v>1019</v>
      </c>
      <c r="C5" s="530">
        <v>0</v>
      </c>
      <c r="D5" s="530">
        <v>1</v>
      </c>
      <c r="E5" s="530">
        <v>2</v>
      </c>
      <c r="F5" s="22"/>
    </row>
    <row r="6" spans="1:11" x14ac:dyDescent="0.3">
      <c r="B6" s="529" t="s">
        <v>104</v>
      </c>
      <c r="C6" s="528">
        <v>-10000000</v>
      </c>
      <c r="D6" s="528">
        <v>30000000</v>
      </c>
      <c r="E6" s="7">
        <v>5000000</v>
      </c>
      <c r="F6" s="5"/>
    </row>
    <row r="7" spans="1:11" x14ac:dyDescent="0.3">
      <c r="B7" s="529" t="s">
        <v>105</v>
      </c>
      <c r="C7" s="528">
        <v>-5000000</v>
      </c>
      <c r="D7" s="528">
        <v>5000000</v>
      </c>
      <c r="E7" s="528">
        <v>20000000</v>
      </c>
      <c r="F7" s="545"/>
    </row>
    <row r="8" spans="1:11" x14ac:dyDescent="0.3">
      <c r="B8" s="529" t="s">
        <v>1100</v>
      </c>
      <c r="C8" s="528">
        <v>-5000000</v>
      </c>
      <c r="D8" s="528">
        <v>5000000</v>
      </c>
      <c r="E8" s="528">
        <v>15000000</v>
      </c>
      <c r="F8" s="545"/>
    </row>
    <row r="9" spans="1:11" x14ac:dyDescent="0.3">
      <c r="B9" s="466"/>
      <c r="C9" s="5"/>
      <c r="E9" s="8"/>
      <c r="F9" s="8"/>
    </row>
    <row r="10" spans="1:11" x14ac:dyDescent="0.3">
      <c r="B10" s="45" t="s">
        <v>1119</v>
      </c>
      <c r="C10" s="509">
        <v>10000000</v>
      </c>
      <c r="D10" s="22"/>
      <c r="E10" s="22"/>
      <c r="F10" s="22"/>
    </row>
    <row r="11" spans="1:11" x14ac:dyDescent="0.3">
      <c r="B11" s="466"/>
      <c r="C11" s="46"/>
      <c r="D11" s="544"/>
      <c r="E11" s="433"/>
      <c r="F11" s="433"/>
    </row>
    <row r="12" spans="1:11" x14ac:dyDescent="0.3">
      <c r="B12" s="1" t="s">
        <v>83</v>
      </c>
      <c r="C12" s="95">
        <v>0.1</v>
      </c>
      <c r="D12" s="440"/>
      <c r="E12" s="440"/>
      <c r="F12"/>
    </row>
    <row r="13" spans="1:11" x14ac:dyDescent="0.3">
      <c r="C13" s="5"/>
      <c r="D13" s="493"/>
      <c r="E13" s="64"/>
      <c r="F13" s="64"/>
      <c r="G13" s="90"/>
    </row>
    <row r="14" spans="1:11" x14ac:dyDescent="0.3">
      <c r="B14" s="45" t="s">
        <v>15</v>
      </c>
      <c r="C14" s="5"/>
    </row>
    <row r="15" spans="1:11" x14ac:dyDescent="0.3">
      <c r="C15" s="9"/>
      <c r="D15" s="441"/>
      <c r="E15" s="8"/>
      <c r="F15"/>
      <c r="G15" s="8"/>
      <c r="K15"/>
    </row>
    <row r="16" spans="1:11" x14ac:dyDescent="0.3">
      <c r="C16" s="529" t="s">
        <v>314</v>
      </c>
      <c r="D16" s="530">
        <v>0</v>
      </c>
      <c r="E16" s="530">
        <v>1</v>
      </c>
      <c r="F16" s="530">
        <v>2</v>
      </c>
      <c r="G16" s="492"/>
    </row>
    <row r="17" spans="2:35" x14ac:dyDescent="0.3">
      <c r="C17" s="529" t="s">
        <v>104</v>
      </c>
      <c r="D17" s="528">
        <v>-10000000</v>
      </c>
      <c r="E17" s="528">
        <v>30000000</v>
      </c>
      <c r="F17" s="7">
        <v>5000000</v>
      </c>
      <c r="G17" s="491"/>
      <c r="H17" s="454"/>
      <c r="I17" s="454"/>
    </row>
    <row r="18" spans="2:35" x14ac:dyDescent="0.3">
      <c r="C18" s="529" t="s">
        <v>105</v>
      </c>
      <c r="D18" s="528">
        <v>-5000000</v>
      </c>
      <c r="E18" s="528">
        <v>5000000</v>
      </c>
      <c r="F18" s="528">
        <v>20000000</v>
      </c>
      <c r="G18" s="15"/>
      <c r="H18" s="454"/>
      <c r="I18" s="454"/>
    </row>
    <row r="19" spans="2:35" x14ac:dyDescent="0.3">
      <c r="C19" s="529" t="s">
        <v>1100</v>
      </c>
      <c r="D19" s="528">
        <v>-5000000</v>
      </c>
      <c r="E19" s="528">
        <v>5000000</v>
      </c>
      <c r="F19" s="528">
        <v>15000000</v>
      </c>
      <c r="H19" s="477"/>
      <c r="I19" s="477"/>
    </row>
    <row r="20" spans="2:35" x14ac:dyDescent="0.3">
      <c r="C20" s="7" t="s">
        <v>1118</v>
      </c>
      <c r="D20" s="65">
        <f>1/(1+$C$12)^D16</f>
        <v>1</v>
      </c>
      <c r="E20" s="13">
        <f>1/(1+$C$12)^E16</f>
        <v>0.90909090909090906</v>
      </c>
      <c r="F20" s="13">
        <f>1/(1+$C$12)^F16</f>
        <v>0.82644628099173545</v>
      </c>
      <c r="H20" s="451"/>
      <c r="I20" s="451"/>
    </row>
    <row r="21" spans="2:35" x14ac:dyDescent="0.3">
      <c r="C21" s="6" t="s">
        <v>1098</v>
      </c>
      <c r="D21" s="7">
        <f>D20*D17</f>
        <v>-10000000</v>
      </c>
      <c r="E21" s="7">
        <f>E20*E17</f>
        <v>27272727.272727273</v>
      </c>
      <c r="F21" s="7">
        <f>F20*F17</f>
        <v>4132231.4049586775</v>
      </c>
    </row>
    <row r="22" spans="2:35" x14ac:dyDescent="0.3">
      <c r="C22" s="6" t="s">
        <v>1097</v>
      </c>
      <c r="D22" s="7">
        <f>D20*D18</f>
        <v>-5000000</v>
      </c>
      <c r="E22" s="7">
        <f>E20*E18</f>
        <v>4545454.5454545449</v>
      </c>
      <c r="F22" s="7">
        <f>F20*F18</f>
        <v>16528925.61983471</v>
      </c>
    </row>
    <row r="23" spans="2:35" x14ac:dyDescent="0.3">
      <c r="C23" s="6" t="s">
        <v>1096</v>
      </c>
      <c r="D23" s="7">
        <f>D20*D19</f>
        <v>-5000000</v>
      </c>
      <c r="E23" s="7">
        <f>E20*E19</f>
        <v>4545454.5454545449</v>
      </c>
      <c r="F23" s="7">
        <f>F20*F19</f>
        <v>12396694.214876032</v>
      </c>
    </row>
    <row r="24" spans="2:35" x14ac:dyDescent="0.3">
      <c r="C24" s="484"/>
      <c r="D24" s="484"/>
      <c r="E24" s="483"/>
      <c r="Y24" s="1">
        <v>0</v>
      </c>
      <c r="AE24" s="120"/>
      <c r="AH24" s="120"/>
      <c r="AI24" s="120"/>
    </row>
    <row r="25" spans="2:35" x14ac:dyDescent="0.3">
      <c r="C25" s="7" t="s">
        <v>1117</v>
      </c>
      <c r="D25" s="7">
        <f>SUM(D21:F21)</f>
        <v>21404958.67768595</v>
      </c>
    </row>
    <row r="26" spans="2:35" x14ac:dyDescent="0.3">
      <c r="B26" s="2"/>
      <c r="C26" s="6" t="s">
        <v>1116</v>
      </c>
      <c r="D26" s="7">
        <f>SUM(D22:F22)</f>
        <v>16074380.165289255</v>
      </c>
    </row>
    <row r="27" spans="2:35" x14ac:dyDescent="0.3">
      <c r="B27" s="2"/>
      <c r="C27" s="7" t="s">
        <v>1115</v>
      </c>
      <c r="D27" s="7">
        <f>SUM(D23:F23)</f>
        <v>11942148.760330576</v>
      </c>
      <c r="G27"/>
    </row>
    <row r="28" spans="2:35" x14ac:dyDescent="0.3">
      <c r="B28" s="2"/>
      <c r="C28" s="16"/>
    </row>
    <row r="29" spans="2:35" x14ac:dyDescent="0.3">
      <c r="C29" s="529" t="s">
        <v>314</v>
      </c>
      <c r="D29" s="65" t="s">
        <v>1114</v>
      </c>
      <c r="E29" s="65" t="s">
        <v>123</v>
      </c>
      <c r="F29" s="65" t="s">
        <v>1113</v>
      </c>
      <c r="G29" s="444"/>
      <c r="H29" s="444"/>
      <c r="I29" s="444"/>
      <c r="J29" s="444"/>
      <c r="K29" s="444"/>
      <c r="L29" s="444"/>
      <c r="M29" s="444"/>
      <c r="N29" s="444"/>
    </row>
    <row r="30" spans="2:35" x14ac:dyDescent="0.3">
      <c r="B30" s="45"/>
      <c r="C30" s="529" t="s">
        <v>104</v>
      </c>
      <c r="D30" s="7">
        <f>D17</f>
        <v>-10000000</v>
      </c>
      <c r="E30" s="7">
        <f>D25</f>
        <v>21404958.67768595</v>
      </c>
      <c r="F30" s="543">
        <f>ABS(E30/D30)</f>
        <v>2.1404958677685948</v>
      </c>
      <c r="H30" s="444"/>
      <c r="I30" s="444"/>
      <c r="J30" s="444"/>
      <c r="K30" s="444"/>
      <c r="L30" s="444"/>
      <c r="M30" s="444"/>
      <c r="N30" s="444"/>
    </row>
    <row r="31" spans="2:35" x14ac:dyDescent="0.3">
      <c r="B31" s="466"/>
      <c r="C31" s="529" t="s">
        <v>105</v>
      </c>
      <c r="D31" s="7">
        <f>D18</f>
        <v>-5000000</v>
      </c>
      <c r="E31" s="7">
        <f>D26</f>
        <v>16074380.165289255</v>
      </c>
      <c r="F31" s="543">
        <f>ABS(E31/D31)</f>
        <v>3.214876033057851</v>
      </c>
      <c r="G31" s="444"/>
      <c r="H31" s="444"/>
      <c r="I31" s="444"/>
      <c r="J31" s="444"/>
      <c r="K31" s="444"/>
      <c r="L31" s="444"/>
      <c r="M31" s="444"/>
      <c r="N31" s="444"/>
    </row>
    <row r="32" spans="2:35" x14ac:dyDescent="0.3">
      <c r="C32" s="529" t="s">
        <v>1100</v>
      </c>
      <c r="D32" s="7">
        <f>D19</f>
        <v>-5000000</v>
      </c>
      <c r="E32" s="7">
        <f>D27</f>
        <v>11942148.760330576</v>
      </c>
      <c r="F32" s="543">
        <f>ABS(E32/D32)</f>
        <v>2.3884297520661151</v>
      </c>
      <c r="G32" s="444"/>
      <c r="H32" s="444"/>
      <c r="I32" s="444"/>
      <c r="J32" s="444"/>
      <c r="K32" s="444"/>
      <c r="L32" s="444"/>
      <c r="M32" s="444"/>
      <c r="N32" s="444"/>
    </row>
    <row r="33" spans="1:14" x14ac:dyDescent="0.3">
      <c r="C33" s="5"/>
      <c r="D33" s="441"/>
      <c r="E33" s="5"/>
      <c r="F33" s="444"/>
      <c r="H33" s="444"/>
      <c r="I33" s="444"/>
      <c r="J33" s="444"/>
      <c r="K33" s="444"/>
      <c r="L33" s="444"/>
      <c r="M33" s="444"/>
      <c r="N33" s="444"/>
    </row>
    <row r="34" spans="1:14" x14ac:dyDescent="0.3">
      <c r="D34" s="441"/>
      <c r="E34" s="5"/>
      <c r="F34" s="444"/>
      <c r="G34" s="444"/>
      <c r="H34" s="444"/>
      <c r="I34" s="444"/>
      <c r="J34" s="444"/>
      <c r="K34" s="444"/>
      <c r="L34" s="444"/>
      <c r="M34" s="444"/>
      <c r="N34" s="444"/>
    </row>
    <row r="35" spans="1:14" x14ac:dyDescent="0.3">
      <c r="A35" s="542">
        <v>43467</v>
      </c>
      <c r="B35" s="1" t="s">
        <v>1112</v>
      </c>
      <c r="C35" s="9"/>
      <c r="F35" s="444"/>
      <c r="G35" s="444"/>
      <c r="H35" s="444"/>
      <c r="I35" s="444"/>
      <c r="J35" s="444"/>
      <c r="K35" s="444"/>
      <c r="L35" s="444"/>
      <c r="M35" s="444"/>
      <c r="N35" s="444"/>
    </row>
    <row r="36" spans="1:14" x14ac:dyDescent="0.3">
      <c r="A36" s="120"/>
      <c r="B36" s="529" t="s">
        <v>1019</v>
      </c>
      <c r="C36" s="530">
        <v>0</v>
      </c>
      <c r="D36" s="530">
        <v>1</v>
      </c>
      <c r="E36" s="530">
        <v>2</v>
      </c>
      <c r="F36" s="530">
        <v>3</v>
      </c>
      <c r="H36" s="444"/>
      <c r="I36" s="444"/>
      <c r="J36" s="444"/>
      <c r="K36" s="444"/>
      <c r="L36" s="444"/>
      <c r="M36" s="444"/>
      <c r="N36" s="444"/>
    </row>
    <row r="37" spans="1:14" x14ac:dyDescent="0.3">
      <c r="B37" s="529" t="s">
        <v>104</v>
      </c>
      <c r="C37" s="528">
        <v>-2000</v>
      </c>
      <c r="D37" s="528">
        <v>500</v>
      </c>
      <c r="E37" s="7">
        <v>500</v>
      </c>
      <c r="F37" s="7">
        <v>5000</v>
      </c>
      <c r="G37" s="444"/>
      <c r="H37" s="444"/>
      <c r="I37" s="444"/>
      <c r="J37" s="444"/>
      <c r="K37" s="444"/>
      <c r="L37" s="444"/>
      <c r="M37" s="444"/>
      <c r="N37" s="444"/>
    </row>
    <row r="38" spans="1:14" x14ac:dyDescent="0.3">
      <c r="B38" s="529" t="s">
        <v>105</v>
      </c>
      <c r="C38" s="528">
        <v>-2000</v>
      </c>
      <c r="D38" s="528">
        <v>500</v>
      </c>
      <c r="E38" s="528">
        <v>1800</v>
      </c>
      <c r="F38" s="7"/>
      <c r="H38" s="444"/>
      <c r="I38" s="444"/>
      <c r="J38" s="444"/>
      <c r="K38" s="444"/>
      <c r="L38" s="444"/>
      <c r="M38" s="444"/>
      <c r="N38" s="444"/>
    </row>
    <row r="39" spans="1:14" x14ac:dyDescent="0.3">
      <c r="B39" s="529" t="s">
        <v>1100</v>
      </c>
      <c r="C39" s="528">
        <v>-2000</v>
      </c>
      <c r="D39" s="528">
        <v>1800</v>
      </c>
      <c r="E39" s="528">
        <v>500</v>
      </c>
      <c r="F39" s="527"/>
      <c r="G39" s="444"/>
      <c r="H39" s="444"/>
      <c r="I39" s="444"/>
      <c r="J39" s="444"/>
      <c r="K39" s="444"/>
      <c r="L39" s="444"/>
      <c r="M39" s="444"/>
      <c r="N39" s="444"/>
    </row>
    <row r="40" spans="1:14" x14ac:dyDescent="0.3">
      <c r="D40" s="441"/>
      <c r="E40" s="444"/>
      <c r="F40" s="444"/>
      <c r="G40" s="444"/>
      <c r="H40" s="444"/>
      <c r="I40" s="444"/>
      <c r="J40" s="444"/>
      <c r="K40" s="444"/>
      <c r="L40" s="444"/>
      <c r="M40" s="444"/>
      <c r="N40" s="444"/>
    </row>
    <row r="41" spans="1:14" x14ac:dyDescent="0.3">
      <c r="B41" s="1" t="s">
        <v>83</v>
      </c>
      <c r="C41" s="95">
        <v>0.1</v>
      </c>
      <c r="E41" s="444"/>
      <c r="F41" s="444"/>
      <c r="G41" s="444"/>
      <c r="H41" s="444"/>
      <c r="I41" s="444"/>
      <c r="J41" s="444"/>
      <c r="K41" s="444"/>
      <c r="L41" s="444"/>
      <c r="M41" s="444"/>
      <c r="N41" s="444"/>
    </row>
    <row r="42" spans="1:14" x14ac:dyDescent="0.3">
      <c r="E42" s="27"/>
      <c r="F42" s="27"/>
      <c r="G42" s="27"/>
      <c r="H42" s="27"/>
      <c r="I42" s="27"/>
      <c r="J42" s="27"/>
      <c r="K42" s="27"/>
      <c r="L42" s="27"/>
      <c r="M42" s="27"/>
      <c r="N42" s="27"/>
    </row>
    <row r="43" spans="1:14" x14ac:dyDescent="0.3">
      <c r="B43" s="1" t="s">
        <v>1102</v>
      </c>
      <c r="C43" s="46">
        <v>2</v>
      </c>
      <c r="D43" s="441" t="s">
        <v>6</v>
      </c>
      <c r="H43" s="27"/>
      <c r="I43" s="27"/>
      <c r="J43" s="27"/>
      <c r="K43" s="27"/>
      <c r="L43" s="27"/>
      <c r="M43" s="27"/>
      <c r="N43" s="27"/>
    </row>
    <row r="44" spans="1:14" x14ac:dyDescent="0.3">
      <c r="I44" s="27"/>
      <c r="J44" s="27"/>
      <c r="K44" s="27"/>
      <c r="L44" s="27"/>
      <c r="M44" s="27"/>
      <c r="N44" s="27"/>
    </row>
    <row r="45" spans="1:14" x14ac:dyDescent="0.3">
      <c r="B45" s="45" t="s">
        <v>1111</v>
      </c>
      <c r="C45" s="446"/>
      <c r="D45" s="27"/>
      <c r="E45" s="27"/>
      <c r="F45" s="27"/>
      <c r="G45" s="27"/>
      <c r="I45" s="27"/>
      <c r="J45" s="27"/>
      <c r="K45" s="27"/>
      <c r="L45" s="27"/>
      <c r="M45" s="27"/>
      <c r="N45" s="27"/>
    </row>
    <row r="46" spans="1:14" x14ac:dyDescent="0.3">
      <c r="I46" s="27"/>
      <c r="J46" s="27"/>
      <c r="K46" s="27"/>
      <c r="L46" s="27"/>
      <c r="M46" s="27"/>
      <c r="N46" s="27"/>
    </row>
    <row r="47" spans="1:14" x14ac:dyDescent="0.3">
      <c r="C47" s="27"/>
      <c r="D47" s="455"/>
      <c r="E47" s="455"/>
      <c r="F47" s="455"/>
      <c r="G47" s="455"/>
      <c r="I47" s="27"/>
      <c r="J47" s="27"/>
      <c r="K47" s="27"/>
      <c r="L47" s="27"/>
      <c r="M47" s="27"/>
      <c r="N47" s="27"/>
    </row>
    <row r="48" spans="1:14" x14ac:dyDescent="0.3">
      <c r="C48" s="529" t="s">
        <v>1019</v>
      </c>
      <c r="D48" s="530">
        <v>0</v>
      </c>
      <c r="E48" s="530">
        <v>1</v>
      </c>
      <c r="F48" s="530">
        <v>2</v>
      </c>
      <c r="G48" s="530">
        <v>3</v>
      </c>
      <c r="I48" s="455"/>
      <c r="J48" s="27"/>
      <c r="K48" s="27"/>
      <c r="L48" s="27"/>
      <c r="M48" s="27"/>
      <c r="N48" s="27"/>
    </row>
    <row r="49" spans="2:14" x14ac:dyDescent="0.3">
      <c r="C49" s="529" t="s">
        <v>104</v>
      </c>
      <c r="D49" s="528">
        <v>-2000</v>
      </c>
      <c r="E49" s="528">
        <v>500</v>
      </c>
      <c r="F49" s="7">
        <v>500</v>
      </c>
      <c r="G49" s="541">
        <v>5000</v>
      </c>
      <c r="I49" s="455"/>
      <c r="J49" s="27"/>
      <c r="K49" s="27"/>
      <c r="L49" s="27"/>
      <c r="M49" s="27"/>
      <c r="N49" s="27"/>
    </row>
    <row r="50" spans="2:14" x14ac:dyDescent="0.3">
      <c r="C50" s="529" t="s">
        <v>105</v>
      </c>
      <c r="D50" s="528">
        <v>-2000</v>
      </c>
      <c r="E50" s="528">
        <v>500</v>
      </c>
      <c r="F50" s="540">
        <v>1800</v>
      </c>
      <c r="G50" s="7"/>
      <c r="I50" s="532"/>
      <c r="J50" s="27"/>
      <c r="K50" s="27"/>
      <c r="L50" s="27"/>
      <c r="M50" s="27"/>
      <c r="N50" s="27"/>
    </row>
    <row r="51" spans="2:14" x14ac:dyDescent="0.3">
      <c r="C51" s="529" t="s">
        <v>1100</v>
      </c>
      <c r="D51" s="539">
        <v>-2000</v>
      </c>
      <c r="E51" s="539">
        <v>1800</v>
      </c>
      <c r="F51" s="538">
        <v>500</v>
      </c>
      <c r="G51" s="537"/>
      <c r="I51"/>
      <c r="J51" s="27"/>
      <c r="K51" s="27"/>
      <c r="L51" s="27"/>
      <c r="M51" s="27"/>
      <c r="N51" s="27"/>
    </row>
    <row r="52" spans="2:14" x14ac:dyDescent="0.3">
      <c r="C52" s="536" t="s">
        <v>1110</v>
      </c>
      <c r="D52" s="535">
        <f>D49</f>
        <v>-2000</v>
      </c>
      <c r="E52" s="535">
        <f>E49+D52</f>
        <v>-1500</v>
      </c>
      <c r="F52" s="535">
        <f>F49+E52</f>
        <v>-1000</v>
      </c>
      <c r="G52" s="535">
        <f>G49+F52</f>
        <v>4000</v>
      </c>
      <c r="I52" s="532"/>
      <c r="J52" s="27"/>
      <c r="K52" s="27"/>
      <c r="L52" s="27"/>
      <c r="M52" s="27"/>
      <c r="N52" s="27"/>
    </row>
    <row r="53" spans="2:14" x14ac:dyDescent="0.3">
      <c r="C53" s="536" t="s">
        <v>1109</v>
      </c>
      <c r="D53" s="518">
        <f>D50</f>
        <v>-2000</v>
      </c>
      <c r="E53" s="535">
        <f>E50+D53</f>
        <v>-1500</v>
      </c>
      <c r="F53" s="535">
        <f>F50+E53</f>
        <v>300</v>
      </c>
      <c r="G53" s="535">
        <f>G50+F53</f>
        <v>300</v>
      </c>
      <c r="I53" s="452"/>
      <c r="J53" s="27"/>
      <c r="K53" s="27"/>
      <c r="L53" s="27"/>
      <c r="M53" s="27"/>
      <c r="N53" s="27"/>
    </row>
    <row r="54" spans="2:14" x14ac:dyDescent="0.3">
      <c r="C54" s="536" t="s">
        <v>1108</v>
      </c>
      <c r="D54" s="518">
        <f>D51</f>
        <v>-2000</v>
      </c>
      <c r="E54" s="535">
        <f>E51+D54</f>
        <v>-200</v>
      </c>
      <c r="F54" s="535">
        <f>F51+E54</f>
        <v>300</v>
      </c>
      <c r="G54" s="535">
        <f>G51+F54</f>
        <v>300</v>
      </c>
      <c r="H54" s="27"/>
      <c r="I54" s="452"/>
      <c r="J54" s="27"/>
      <c r="K54" s="27"/>
      <c r="L54" s="27"/>
      <c r="M54" s="27"/>
      <c r="N54" s="27"/>
    </row>
    <row r="55" spans="2:14" x14ac:dyDescent="0.3">
      <c r="C55" s="507"/>
      <c r="D55" s="506"/>
      <c r="E55" s="455"/>
      <c r="F55" s="27"/>
      <c r="G55" s="27"/>
      <c r="H55" s="27"/>
      <c r="I55" s="452"/>
      <c r="J55" s="27"/>
      <c r="K55" s="27"/>
      <c r="L55" s="27"/>
      <c r="M55" s="27"/>
      <c r="N55" s="27"/>
    </row>
    <row r="56" spans="2:14" x14ac:dyDescent="0.3">
      <c r="B56" s="27"/>
      <c r="E56" s="6" t="s">
        <v>1092</v>
      </c>
      <c r="F56" s="6" t="s">
        <v>1091</v>
      </c>
      <c r="H56" s="27"/>
      <c r="I56" s="27"/>
      <c r="J56" s="27"/>
      <c r="K56" s="27"/>
      <c r="L56" s="27"/>
      <c r="M56" s="27"/>
      <c r="N56" s="27"/>
    </row>
    <row r="57" spans="2:14" x14ac:dyDescent="0.3">
      <c r="B57" s="27"/>
      <c r="C57" s="6" t="s">
        <v>1107</v>
      </c>
      <c r="D57" s="533">
        <f>F48+ABS(F52/G49)</f>
        <v>2.2000000000000002</v>
      </c>
      <c r="E57" s="6">
        <v>2</v>
      </c>
      <c r="F57" s="514">
        <f>(D57-E57)*365</f>
        <v>73.000000000000071</v>
      </c>
      <c r="H57" s="27"/>
      <c r="I57" s="27"/>
      <c r="J57" s="27"/>
      <c r="K57" s="27"/>
      <c r="L57" s="27"/>
      <c r="M57" s="27"/>
      <c r="N57" s="27"/>
    </row>
    <row r="58" spans="2:14" x14ac:dyDescent="0.3">
      <c r="B58" s="27"/>
      <c r="C58" s="6" t="s">
        <v>1106</v>
      </c>
      <c r="D58" s="534">
        <f>E48+ABS(E53/F50)</f>
        <v>1.8333333333333335</v>
      </c>
      <c r="E58" s="6">
        <v>1</v>
      </c>
      <c r="F58" s="514">
        <f>(D58-E58)*365</f>
        <v>304.16666666666674</v>
      </c>
      <c r="H58" s="455"/>
      <c r="I58" s="27"/>
      <c r="J58" s="27"/>
      <c r="K58" s="27"/>
      <c r="L58" s="27"/>
      <c r="M58" s="27"/>
      <c r="N58" s="27"/>
    </row>
    <row r="59" spans="2:14" x14ac:dyDescent="0.3">
      <c r="B59" s="27"/>
      <c r="C59" s="6" t="s">
        <v>1105</v>
      </c>
      <c r="D59" s="533">
        <f>E48+ABS(E54/F51)</f>
        <v>1.4</v>
      </c>
      <c r="E59" s="6">
        <v>1</v>
      </c>
      <c r="F59" s="514">
        <f>(D59-E59)*365</f>
        <v>145.99999999999997</v>
      </c>
      <c r="H59" s="455"/>
      <c r="I59"/>
      <c r="J59" s="27"/>
      <c r="K59" s="27"/>
      <c r="L59" s="27"/>
      <c r="M59" s="27"/>
      <c r="N59" s="27"/>
    </row>
    <row r="60" spans="2:14" x14ac:dyDescent="0.3">
      <c r="B60" s="27"/>
      <c r="C60" s="90"/>
      <c r="H60" s="27"/>
      <c r="I60" s="27"/>
      <c r="J60" s="27"/>
      <c r="K60" s="27"/>
      <c r="L60" s="27"/>
      <c r="M60" s="27"/>
      <c r="N60" s="27"/>
    </row>
    <row r="61" spans="2:14" x14ac:dyDescent="0.3">
      <c r="B61" s="27"/>
      <c r="H61" s="27"/>
      <c r="I61" s="27"/>
      <c r="J61" s="27"/>
      <c r="K61" s="27"/>
      <c r="L61" s="27"/>
      <c r="M61" s="27"/>
      <c r="N61" s="27"/>
    </row>
    <row r="62" spans="2:14" x14ac:dyDescent="0.3">
      <c r="B62" s="513" t="s">
        <v>1086</v>
      </c>
      <c r="C62" s="512" t="s">
        <v>1104</v>
      </c>
      <c r="D62" s="235"/>
      <c r="E62" s="235"/>
      <c r="F62" s="235"/>
      <c r="G62" s="235"/>
      <c r="H62" s="532"/>
      <c r="I62" s="27"/>
      <c r="J62" s="27"/>
      <c r="K62" s="27"/>
      <c r="L62" s="27"/>
      <c r="M62" s="27"/>
      <c r="N62" s="27"/>
    </row>
    <row r="63" spans="2:14" x14ac:dyDescent="0.3">
      <c r="B63" s="27"/>
      <c r="H63"/>
      <c r="I63" s="27"/>
      <c r="J63" s="27"/>
      <c r="K63" s="27"/>
      <c r="L63" s="27"/>
      <c r="M63" s="27"/>
      <c r="N63" s="27"/>
    </row>
    <row r="64" spans="2:14" x14ac:dyDescent="0.3">
      <c r="B64" s="503"/>
      <c r="C64" s="502"/>
      <c r="H64" s="452"/>
      <c r="I64" s="27"/>
      <c r="J64" s="27"/>
      <c r="K64" s="27"/>
      <c r="L64" s="27"/>
      <c r="M64" s="27"/>
      <c r="N64" s="27"/>
    </row>
    <row r="65" spans="1:14" x14ac:dyDescent="0.3">
      <c r="B65" s="531"/>
      <c r="C65" s="455"/>
      <c r="D65" s="452"/>
      <c r="E65" s="452"/>
      <c r="F65" s="452"/>
      <c r="G65" s="452"/>
      <c r="H65"/>
      <c r="I65" s="27"/>
      <c r="J65" s="27"/>
      <c r="K65" s="27"/>
      <c r="L65" s="27"/>
      <c r="M65" s="27"/>
      <c r="N65" s="27"/>
    </row>
    <row r="66" spans="1:14" x14ac:dyDescent="0.3">
      <c r="A66" s="120"/>
      <c r="B66" s="27"/>
      <c r="C66" s="469"/>
      <c r="D66" s="27"/>
      <c r="E66" s="27"/>
      <c r="F66" s="27"/>
      <c r="G66" s="27"/>
      <c r="H66" s="27"/>
      <c r="I66" s="443"/>
      <c r="J66" s="27"/>
      <c r="K66" s="27"/>
      <c r="L66" s="27"/>
      <c r="M66" s="28"/>
      <c r="N66" s="27"/>
    </row>
    <row r="67" spans="1:14" x14ac:dyDescent="0.3">
      <c r="A67" s="434" t="s">
        <v>397</v>
      </c>
      <c r="B67" s="1" t="s">
        <v>1103</v>
      </c>
      <c r="C67" s="9"/>
      <c r="F67" s="444"/>
      <c r="G67" s="27"/>
      <c r="H67" s="27"/>
      <c r="I67" s="27"/>
      <c r="J67" s="27"/>
      <c r="K67" s="27"/>
      <c r="L67" s="27"/>
      <c r="M67" s="27"/>
      <c r="N67" s="27"/>
    </row>
    <row r="68" spans="1:14" x14ac:dyDescent="0.3">
      <c r="B68" s="529" t="s">
        <v>1019</v>
      </c>
      <c r="C68" s="530">
        <v>0</v>
      </c>
      <c r="D68" s="530">
        <v>1</v>
      </c>
      <c r="E68" s="530">
        <v>2</v>
      </c>
      <c r="F68" s="530">
        <v>3</v>
      </c>
      <c r="G68" s="27"/>
      <c r="H68" s="27"/>
      <c r="I68" s="27"/>
      <c r="J68" s="27"/>
      <c r="K68" s="27"/>
      <c r="L68" s="27"/>
      <c r="M68" s="27"/>
      <c r="N68" s="27"/>
    </row>
    <row r="69" spans="1:14" x14ac:dyDescent="0.3">
      <c r="B69" s="529" t="s">
        <v>104</v>
      </c>
      <c r="C69" s="528">
        <v>-2000</v>
      </c>
      <c r="D69" s="528">
        <v>500</v>
      </c>
      <c r="E69" s="7">
        <v>500</v>
      </c>
      <c r="F69" s="7">
        <v>5000</v>
      </c>
      <c r="G69" s="27"/>
      <c r="H69" s="27"/>
      <c r="I69" s="27"/>
      <c r="J69" s="27"/>
      <c r="K69" s="27"/>
      <c r="L69" s="27"/>
      <c r="M69" s="27"/>
      <c r="N69" s="27"/>
    </row>
    <row r="70" spans="1:14" x14ac:dyDescent="0.3">
      <c r="B70" s="529" t="s">
        <v>105</v>
      </c>
      <c r="C70" s="528">
        <v>-2000</v>
      </c>
      <c r="D70" s="528">
        <v>500</v>
      </c>
      <c r="E70" s="528">
        <v>1800</v>
      </c>
      <c r="F70" s="7"/>
      <c r="G70" s="27"/>
      <c r="H70" s="27"/>
      <c r="I70" s="27"/>
      <c r="J70" s="27"/>
      <c r="K70" s="27"/>
      <c r="L70" s="27"/>
      <c r="M70" s="27"/>
      <c r="N70" s="27"/>
    </row>
    <row r="71" spans="1:14" x14ac:dyDescent="0.3">
      <c r="B71" s="529" t="s">
        <v>1100</v>
      </c>
      <c r="C71" s="528">
        <v>-2000</v>
      </c>
      <c r="D71" s="528">
        <v>1800</v>
      </c>
      <c r="E71" s="528">
        <v>500</v>
      </c>
      <c r="F71" s="527"/>
      <c r="G71" s="27"/>
      <c r="H71" s="27"/>
      <c r="I71" s="27"/>
      <c r="J71" s="27"/>
      <c r="K71" s="27"/>
      <c r="L71" s="27"/>
      <c r="M71" s="27"/>
      <c r="N71" s="27"/>
    </row>
    <row r="72" spans="1:14" x14ac:dyDescent="0.3">
      <c r="C72" s="9"/>
      <c r="E72" s="27"/>
      <c r="F72" s="27"/>
      <c r="G72" s="27"/>
      <c r="H72" s="27"/>
      <c r="I72" s="27"/>
      <c r="J72" s="27"/>
      <c r="K72" s="27"/>
      <c r="L72" s="27"/>
      <c r="M72" s="27"/>
      <c r="N72" s="27"/>
    </row>
    <row r="73" spans="1:14" x14ac:dyDescent="0.3">
      <c r="B73" s="1" t="s">
        <v>83</v>
      </c>
      <c r="C73" s="95">
        <v>0.1</v>
      </c>
      <c r="E73" s="27"/>
      <c r="F73" s="27"/>
      <c r="G73" s="27"/>
      <c r="H73" s="27"/>
      <c r="I73" s="27"/>
      <c r="J73" s="27"/>
      <c r="K73" s="27"/>
      <c r="L73" s="27"/>
      <c r="M73" s="27"/>
      <c r="N73" s="27"/>
    </row>
    <row r="74" spans="1:14" x14ac:dyDescent="0.3">
      <c r="E74" s="27"/>
      <c r="F74" s="27"/>
      <c r="G74" s="27"/>
      <c r="H74" s="27"/>
      <c r="I74" s="27"/>
      <c r="J74" s="27"/>
      <c r="K74" s="27"/>
      <c r="L74" s="27"/>
      <c r="M74" s="27"/>
      <c r="N74" s="27"/>
    </row>
    <row r="75" spans="1:14" x14ac:dyDescent="0.3">
      <c r="B75" s="1" t="s">
        <v>1102</v>
      </c>
      <c r="C75" s="46">
        <v>2</v>
      </c>
      <c r="D75" s="441" t="s">
        <v>6</v>
      </c>
      <c r="H75" s="444"/>
      <c r="I75" s="444"/>
      <c r="J75" s="444"/>
      <c r="K75" s="444"/>
      <c r="L75" s="444"/>
      <c r="M75" s="444"/>
      <c r="N75" s="444"/>
    </row>
    <row r="76" spans="1:14" x14ac:dyDescent="0.3">
      <c r="F76" s="444"/>
      <c r="G76" s="444"/>
      <c r="H76" s="444"/>
      <c r="I76" s="444"/>
      <c r="J76" s="444"/>
      <c r="K76" s="444"/>
      <c r="L76" s="444"/>
      <c r="M76" s="444"/>
      <c r="N76" s="444"/>
    </row>
    <row r="77" spans="1:14" x14ac:dyDescent="0.3">
      <c r="B77" s="45" t="s">
        <v>1101</v>
      </c>
      <c r="C77" s="446"/>
      <c r="D77" s="27"/>
      <c r="F77" s="444"/>
      <c r="G77" s="444"/>
      <c r="H77" s="444"/>
      <c r="I77" s="444"/>
      <c r="J77" s="444"/>
      <c r="K77" s="444"/>
      <c r="L77" s="444"/>
      <c r="M77" s="444"/>
      <c r="N77" s="444"/>
    </row>
    <row r="78" spans="1:14" x14ac:dyDescent="0.3">
      <c r="D78" s="441"/>
      <c r="E78" s="27"/>
      <c r="F78" s="444"/>
      <c r="G78" s="444"/>
      <c r="H78" s="444"/>
      <c r="I78" s="444"/>
      <c r="J78" s="444"/>
      <c r="K78" s="444"/>
      <c r="L78" s="444"/>
      <c r="M78" s="444"/>
      <c r="N78" s="444"/>
    </row>
    <row r="79" spans="1:14" x14ac:dyDescent="0.3">
      <c r="C79" s="9"/>
      <c r="F79" s="444"/>
      <c r="H79" s="444"/>
      <c r="I79" s="444"/>
      <c r="J79" s="444"/>
      <c r="K79" s="444"/>
      <c r="L79" s="444"/>
      <c r="M79" s="444"/>
      <c r="N79" s="444"/>
    </row>
    <row r="80" spans="1:14" x14ac:dyDescent="0.3">
      <c r="C80" s="529" t="s">
        <v>1019</v>
      </c>
      <c r="D80" s="530">
        <v>0</v>
      </c>
      <c r="E80" s="530">
        <v>1</v>
      </c>
      <c r="F80" s="530">
        <v>2</v>
      </c>
      <c r="G80" s="530">
        <v>3</v>
      </c>
      <c r="H80" s="444"/>
      <c r="I80" s="444"/>
      <c r="J80" s="444"/>
      <c r="K80" s="444"/>
      <c r="L80" s="444"/>
      <c r="M80" s="444"/>
      <c r="N80" s="444"/>
    </row>
    <row r="81" spans="1:14" x14ac:dyDescent="0.3">
      <c r="C81" s="529" t="s">
        <v>104</v>
      </c>
      <c r="D81" s="528">
        <v>-2000</v>
      </c>
      <c r="E81" s="528">
        <v>500</v>
      </c>
      <c r="F81" s="7">
        <v>500</v>
      </c>
      <c r="G81" s="7">
        <v>5000</v>
      </c>
      <c r="H81" s="444"/>
      <c r="I81" s="444"/>
      <c r="J81" s="444"/>
      <c r="K81" s="444"/>
      <c r="L81" s="444"/>
      <c r="M81" s="444"/>
      <c r="N81" s="444"/>
    </row>
    <row r="82" spans="1:14" x14ac:dyDescent="0.3">
      <c r="C82" s="529" t="s">
        <v>105</v>
      </c>
      <c r="D82" s="528">
        <v>-2000</v>
      </c>
      <c r="E82" s="528">
        <v>500</v>
      </c>
      <c r="F82" s="528">
        <v>1800</v>
      </c>
      <c r="G82" s="7"/>
      <c r="H82" s="444"/>
      <c r="I82"/>
      <c r="J82" s="444"/>
      <c r="K82" s="444"/>
      <c r="L82" s="444"/>
      <c r="M82" s="444"/>
      <c r="N82" s="444"/>
    </row>
    <row r="83" spans="1:14" x14ac:dyDescent="0.3">
      <c r="C83" s="529" t="s">
        <v>1100</v>
      </c>
      <c r="D83" s="528">
        <v>-2000</v>
      </c>
      <c r="E83" s="528">
        <v>1800</v>
      </c>
      <c r="F83" s="528">
        <v>500</v>
      </c>
      <c r="G83" s="527"/>
      <c r="H83" s="444"/>
      <c r="I83" s="444"/>
      <c r="J83" s="444"/>
      <c r="K83" s="444"/>
      <c r="L83" s="444"/>
      <c r="M83" s="444"/>
      <c r="N83" s="444"/>
    </row>
    <row r="84" spans="1:14" x14ac:dyDescent="0.3">
      <c r="C84" s="526" t="s">
        <v>1099</v>
      </c>
      <c r="D84" s="6">
        <f>1/(1+$C$73)^D80</f>
        <v>1</v>
      </c>
      <c r="E84" s="515">
        <f>1/(1+$C$73)^E80</f>
        <v>0.90909090909090906</v>
      </c>
      <c r="F84" s="515">
        <f>1/(1+$C$73)^F80</f>
        <v>0.82644628099173545</v>
      </c>
      <c r="G84" s="515">
        <f>1/(1+$C$73)^G80</f>
        <v>0.75131480090157754</v>
      </c>
      <c r="H84" s="444"/>
      <c r="I84" s="444"/>
      <c r="J84" s="444"/>
      <c r="K84" s="444"/>
      <c r="L84" s="444"/>
      <c r="M84" s="444"/>
      <c r="N84" s="444"/>
    </row>
    <row r="85" spans="1:14" x14ac:dyDescent="0.3">
      <c r="C85" s="517" t="s">
        <v>1098</v>
      </c>
      <c r="D85" s="525">
        <f>D84*D81</f>
        <v>-2000</v>
      </c>
      <c r="E85" s="525">
        <f>E84*E81</f>
        <v>454.5454545454545</v>
      </c>
      <c r="F85" s="525">
        <f>F84*F81</f>
        <v>413.22314049586771</v>
      </c>
      <c r="G85" s="524">
        <f>G84*G81</f>
        <v>3756.5740045078878</v>
      </c>
      <c r="H85" s="444"/>
      <c r="I85" s="444"/>
      <c r="J85" s="444"/>
      <c r="K85" s="444"/>
      <c r="L85" s="444"/>
      <c r="M85" s="444"/>
      <c r="N85" s="444"/>
    </row>
    <row r="86" spans="1:14" x14ac:dyDescent="0.3">
      <c r="C86" s="517" t="s">
        <v>1097</v>
      </c>
      <c r="D86" s="520">
        <f>D84*D82</f>
        <v>-2000</v>
      </c>
      <c r="E86" s="520">
        <f>E84*E82</f>
        <v>454.5454545454545</v>
      </c>
      <c r="F86" s="520">
        <f>F84*F82</f>
        <v>1487.6033057851239</v>
      </c>
      <c r="G86" s="520"/>
      <c r="H86" s="444"/>
      <c r="I86" s="444"/>
      <c r="J86" s="444"/>
      <c r="K86" s="444"/>
      <c r="L86" s="444"/>
      <c r="M86" s="444"/>
      <c r="N86" s="444"/>
    </row>
    <row r="87" spans="1:14" x14ac:dyDescent="0.3">
      <c r="B87" s="471"/>
      <c r="C87" s="517" t="s">
        <v>1096</v>
      </c>
      <c r="D87" s="522">
        <f>D84*D83</f>
        <v>-2000</v>
      </c>
      <c r="E87" s="522">
        <f>E84*E83</f>
        <v>1636.3636363636363</v>
      </c>
      <c r="F87" s="523">
        <f>F84*F83</f>
        <v>413.22314049586771</v>
      </c>
      <c r="G87" s="522"/>
      <c r="H87" s="444"/>
      <c r="I87" s="444"/>
      <c r="J87" s="444"/>
      <c r="K87" s="444"/>
      <c r="L87" s="444"/>
      <c r="M87" s="444"/>
      <c r="N87" s="444"/>
    </row>
    <row r="88" spans="1:14" x14ac:dyDescent="0.3">
      <c r="C88" s="517" t="s">
        <v>1095</v>
      </c>
      <c r="D88" s="518"/>
      <c r="E88" s="518">
        <f>E85+D85</f>
        <v>-1545.4545454545455</v>
      </c>
      <c r="F88" s="521">
        <f>F85+E88</f>
        <v>-1132.2314049586778</v>
      </c>
      <c r="G88" s="518">
        <f>G85+F88</f>
        <v>2624.3425995492098</v>
      </c>
      <c r="H88" s="444"/>
      <c r="I88" s="444"/>
      <c r="J88" s="444"/>
      <c r="K88" s="444"/>
      <c r="L88" s="444"/>
      <c r="M88" s="444"/>
      <c r="N88" s="444"/>
    </row>
    <row r="89" spans="1:14" x14ac:dyDescent="0.3">
      <c r="C89" s="517" t="s">
        <v>1094</v>
      </c>
      <c r="D89" s="520"/>
      <c r="E89" s="520">
        <f>E86+D86</f>
        <v>-1545.4545454545455</v>
      </c>
      <c r="F89" s="520">
        <f>F86+E89</f>
        <v>-57.851239669421602</v>
      </c>
      <c r="G89" s="520"/>
      <c r="H89" s="444"/>
      <c r="I89" s="444"/>
      <c r="J89" s="444"/>
      <c r="K89" s="444"/>
      <c r="L89" s="444"/>
      <c r="M89" s="444"/>
      <c r="N89" s="444"/>
    </row>
    <row r="90" spans="1:14" x14ac:dyDescent="0.3">
      <c r="C90" s="517" t="s">
        <v>1093</v>
      </c>
      <c r="D90" s="517"/>
      <c r="E90" s="519">
        <f>E87+D87</f>
        <v>-363.63636363636374</v>
      </c>
      <c r="F90" s="518">
        <f>F87+E90</f>
        <v>49.586776859503971</v>
      </c>
      <c r="G90" s="517"/>
      <c r="H90" s="444"/>
      <c r="I90" s="444"/>
      <c r="J90" s="444"/>
      <c r="K90" s="444"/>
      <c r="L90" s="444"/>
      <c r="M90" s="444"/>
      <c r="N90" s="444"/>
    </row>
    <row r="91" spans="1:14" x14ac:dyDescent="0.3">
      <c r="C91" s="27"/>
      <c r="D91" s="27"/>
      <c r="E91" s="446"/>
      <c r="F91" s="446"/>
      <c r="G91" s="27"/>
      <c r="H91" s="444"/>
      <c r="I91" s="444"/>
      <c r="J91" s="444"/>
      <c r="K91" s="444"/>
      <c r="L91" s="444"/>
      <c r="M91" s="444"/>
      <c r="N91" s="444"/>
    </row>
    <row r="92" spans="1:14" x14ac:dyDescent="0.3">
      <c r="F92" s="444"/>
      <c r="G92" s="444"/>
      <c r="H92" s="444"/>
      <c r="I92" s="444"/>
      <c r="J92" s="444"/>
      <c r="K92" s="444"/>
      <c r="L92" s="444"/>
      <c r="M92" s="444"/>
      <c r="N92" s="444"/>
    </row>
    <row r="93" spans="1:14" x14ac:dyDescent="0.3">
      <c r="B93" s="122"/>
      <c r="E93" s="6" t="s">
        <v>1092</v>
      </c>
      <c r="F93" s="6" t="s">
        <v>1091</v>
      </c>
      <c r="G93" s="444"/>
      <c r="H93" s="444"/>
      <c r="I93" s="444"/>
      <c r="J93" s="444"/>
      <c r="K93" s="444"/>
      <c r="L93" s="444"/>
      <c r="M93" s="444"/>
      <c r="N93" s="444"/>
    </row>
    <row r="94" spans="1:14" x14ac:dyDescent="0.3">
      <c r="A94" s="501"/>
      <c r="B94" s="45"/>
      <c r="C94" s="6" t="s">
        <v>1090</v>
      </c>
      <c r="D94" s="516">
        <f>F80+ABS(F88/G85)</f>
        <v>2.3014000000000001</v>
      </c>
      <c r="E94" s="6">
        <f>_xlfn.FLOOR.MATH(D94)</f>
        <v>2</v>
      </c>
      <c r="F94" s="514">
        <f>(D94-E94)*365</f>
        <v>110.01100000000004</v>
      </c>
      <c r="G94" s="444"/>
      <c r="H94" s="444"/>
      <c r="I94" s="444"/>
      <c r="J94" s="444"/>
      <c r="K94" s="444"/>
      <c r="L94" s="444"/>
      <c r="M94" s="444"/>
      <c r="N94" s="444"/>
    </row>
    <row r="95" spans="1:14" x14ac:dyDescent="0.3">
      <c r="B95" s="466"/>
      <c r="C95" s="6" t="s">
        <v>1089</v>
      </c>
      <c r="D95" s="515" t="s">
        <v>1088</v>
      </c>
      <c r="E95" s="515" t="s">
        <v>1088</v>
      </c>
      <c r="F95" s="515" t="s">
        <v>1088</v>
      </c>
      <c r="G95" s="444"/>
      <c r="H95" s="444"/>
      <c r="I95" s="444"/>
      <c r="J95" s="444"/>
      <c r="K95" s="444"/>
      <c r="L95" s="444"/>
      <c r="M95" s="444"/>
      <c r="N95" s="444"/>
    </row>
    <row r="96" spans="1:14" x14ac:dyDescent="0.3">
      <c r="C96" s="6" t="s">
        <v>1087</v>
      </c>
      <c r="D96" s="7">
        <f>E80+ABS(E90/F87)</f>
        <v>1.8800000000000003</v>
      </c>
      <c r="E96" s="6">
        <f>_xlfn.FLOOR.MATH(D96)</f>
        <v>1</v>
      </c>
      <c r="F96" s="514">
        <f>(D96-E96)*365</f>
        <v>321.2000000000001</v>
      </c>
      <c r="G96" s="444"/>
      <c r="H96" s="444"/>
      <c r="I96" s="444"/>
      <c r="J96" s="444"/>
      <c r="K96" s="444"/>
      <c r="L96" s="444"/>
      <c r="M96" s="444"/>
      <c r="N96" s="444"/>
    </row>
    <row r="97" spans="1:14" x14ac:dyDescent="0.3">
      <c r="C97" s="5"/>
      <c r="D97" s="441"/>
      <c r="E97" s="27"/>
      <c r="F97" s="444"/>
      <c r="G97"/>
      <c r="H97" s="444"/>
      <c r="I97" s="444"/>
      <c r="J97" s="444"/>
      <c r="K97" s="444"/>
      <c r="L97" s="444"/>
      <c r="M97" s="444"/>
      <c r="N97" s="444"/>
    </row>
    <row r="98" spans="1:14" x14ac:dyDescent="0.3">
      <c r="D98" s="441"/>
      <c r="E98" s="27"/>
      <c r="F98" s="444"/>
      <c r="G98" s="444"/>
      <c r="H98" s="444"/>
      <c r="I98" s="444"/>
      <c r="J98" s="444"/>
      <c r="K98" s="444"/>
      <c r="L98" s="444"/>
      <c r="M98" s="444"/>
      <c r="N98" s="444"/>
    </row>
    <row r="99" spans="1:14" x14ac:dyDescent="0.3">
      <c r="C99" s="9"/>
      <c r="E99" s="27"/>
      <c r="F99" s="444"/>
      <c r="G99" s="444"/>
      <c r="H99" s="444"/>
      <c r="I99" s="444"/>
      <c r="J99" s="444"/>
      <c r="K99" s="444"/>
      <c r="L99" s="444"/>
      <c r="M99" s="444"/>
      <c r="N99" s="444"/>
    </row>
    <row r="100" spans="1:14" x14ac:dyDescent="0.3">
      <c r="C100" s="9"/>
      <c r="E100" s="8"/>
      <c r="F100" s="444"/>
      <c r="G100" s="444"/>
      <c r="H100" s="444"/>
      <c r="I100" s="444"/>
      <c r="J100" s="444"/>
      <c r="K100" s="444"/>
      <c r="L100" s="444"/>
      <c r="M100" s="444"/>
      <c r="N100" s="444"/>
    </row>
    <row r="101" spans="1:14" x14ac:dyDescent="0.3">
      <c r="C101" s="9"/>
      <c r="E101" s="16"/>
      <c r="F101" s="444"/>
      <c r="G101" s="444"/>
      <c r="H101" s="444"/>
      <c r="I101" s="444"/>
      <c r="J101" s="444"/>
      <c r="K101" s="444"/>
      <c r="L101" s="444"/>
      <c r="M101" s="444"/>
      <c r="N101" s="444"/>
    </row>
    <row r="102" spans="1:14" x14ac:dyDescent="0.3">
      <c r="E102" s="16"/>
      <c r="F102" s="444"/>
      <c r="G102" s="444"/>
      <c r="H102" s="444"/>
      <c r="I102" s="444"/>
      <c r="J102" s="444"/>
      <c r="K102" s="444"/>
      <c r="L102" s="444"/>
      <c r="M102" s="444"/>
      <c r="N102" s="444"/>
    </row>
    <row r="103" spans="1:14" x14ac:dyDescent="0.3">
      <c r="A103" s="501"/>
      <c r="B103" s="513" t="s">
        <v>1086</v>
      </c>
      <c r="C103" s="512" t="s">
        <v>1085</v>
      </c>
      <c r="D103" s="235"/>
      <c r="E103" s="235"/>
      <c r="F103" s="235"/>
      <c r="G103" s="235"/>
      <c r="H103" s="444"/>
      <c r="I103" s="444"/>
      <c r="J103" s="444"/>
      <c r="K103" s="444"/>
      <c r="L103" s="444"/>
      <c r="M103" s="444"/>
      <c r="N103" s="444"/>
    </row>
    <row r="104" spans="1:14" x14ac:dyDescent="0.3">
      <c r="C104" s="5"/>
      <c r="D104" s="441"/>
      <c r="F104" s="444"/>
      <c r="G104" s="444"/>
      <c r="H104" s="444"/>
      <c r="I104" s="444"/>
      <c r="J104" s="444"/>
      <c r="K104" s="444"/>
      <c r="L104" s="444"/>
      <c r="M104" s="444"/>
      <c r="N104" s="444"/>
    </row>
    <row r="105" spans="1:14" x14ac:dyDescent="0.3">
      <c r="C105" s="5"/>
      <c r="D105" s="441"/>
      <c r="F105" s="444"/>
      <c r="G105" s="444"/>
      <c r="H105" s="444"/>
      <c r="I105" s="444"/>
      <c r="J105" s="444"/>
      <c r="K105" s="444"/>
      <c r="L105" s="444"/>
      <c r="M105" s="444"/>
      <c r="N105" s="444"/>
    </row>
    <row r="106" spans="1:14" x14ac:dyDescent="0.3">
      <c r="D106" s="441"/>
      <c r="E106" s="444"/>
      <c r="F106" s="444"/>
      <c r="G106" s="444"/>
      <c r="H106" s="444"/>
      <c r="I106" s="444"/>
      <c r="J106" s="444"/>
      <c r="K106" s="444"/>
      <c r="L106" s="444"/>
      <c r="M106" s="444"/>
      <c r="N106" s="444"/>
    </row>
    <row r="107" spans="1:14" x14ac:dyDescent="0.3">
      <c r="C107" s="9"/>
      <c r="E107" s="444"/>
      <c r="F107" s="444"/>
      <c r="G107" s="444"/>
      <c r="H107" s="444"/>
      <c r="I107" s="444"/>
      <c r="J107" s="444"/>
      <c r="K107" s="444"/>
      <c r="L107" s="444"/>
      <c r="M107" s="444"/>
      <c r="N107" s="444"/>
    </row>
    <row r="108" spans="1:14" x14ac:dyDescent="0.3">
      <c r="C108" s="9"/>
      <c r="D108" s="441"/>
      <c r="E108" s="444"/>
      <c r="F108" s="444"/>
      <c r="G108" s="444"/>
      <c r="H108" s="444"/>
      <c r="I108" s="444"/>
      <c r="J108" s="444"/>
      <c r="K108" s="444"/>
      <c r="L108" s="444"/>
      <c r="M108" s="444"/>
      <c r="N108" s="444"/>
    </row>
    <row r="109" spans="1:14" x14ac:dyDescent="0.3">
      <c r="C109" s="9"/>
      <c r="D109" s="16"/>
      <c r="E109" s="444"/>
      <c r="F109" s="444"/>
      <c r="G109" s="444"/>
      <c r="H109" s="444"/>
      <c r="I109" s="444"/>
      <c r="J109" s="444"/>
      <c r="K109" s="444"/>
      <c r="L109" s="444"/>
      <c r="M109" s="444"/>
      <c r="N109" s="444"/>
    </row>
    <row r="110" spans="1:14" x14ac:dyDescent="0.3">
      <c r="E110" s="444"/>
      <c r="F110" s="444"/>
      <c r="G110" s="444"/>
      <c r="H110" s="444"/>
      <c r="I110" s="444"/>
      <c r="J110" s="444"/>
      <c r="K110" s="444"/>
      <c r="L110" s="444"/>
      <c r="M110" s="444"/>
      <c r="N110" s="444"/>
    </row>
    <row r="111" spans="1:14" x14ac:dyDescent="0.3">
      <c r="B111" s="27"/>
      <c r="C111" s="443"/>
      <c r="D111" s="452"/>
      <c r="E111" s="444"/>
      <c r="F111" s="444"/>
      <c r="G111" s="444"/>
      <c r="H111" s="444"/>
      <c r="I111" s="444"/>
      <c r="J111" s="444"/>
      <c r="K111" s="444"/>
      <c r="L111" s="444"/>
      <c r="M111" s="444"/>
      <c r="N111" s="444"/>
    </row>
    <row r="112" spans="1:14" x14ac:dyDescent="0.3">
      <c r="C112" s="27"/>
      <c r="D112" s="455"/>
      <c r="E112" s="455"/>
      <c r="F112" s="455"/>
      <c r="G112" s="455"/>
      <c r="H112" s="444"/>
      <c r="I112" s="444"/>
      <c r="J112" s="444"/>
      <c r="K112" s="444"/>
      <c r="L112" s="444"/>
      <c r="M112" s="444"/>
      <c r="N112" s="444"/>
    </row>
    <row r="113" spans="1:14" x14ac:dyDescent="0.3">
      <c r="B113" s="443"/>
      <c r="C113" s="27"/>
      <c r="D113" s="446"/>
      <c r="E113" s="446"/>
      <c r="F113" s="446"/>
      <c r="G113" s="446"/>
      <c r="H113" s="444"/>
      <c r="I113" s="444"/>
      <c r="J113" s="444"/>
      <c r="K113" s="444"/>
      <c r="L113" s="444"/>
      <c r="M113" s="444"/>
      <c r="N113" s="444"/>
    </row>
    <row r="114" spans="1:14" x14ac:dyDescent="0.3">
      <c r="B114" s="27"/>
      <c r="C114" s="27"/>
      <c r="D114" s="511"/>
      <c r="E114" s="511"/>
      <c r="F114" s="511"/>
      <c r="G114" s="511"/>
      <c r="H114" s="444"/>
      <c r="I114" s="444"/>
      <c r="J114" s="444"/>
      <c r="K114" s="444"/>
      <c r="L114" s="444"/>
      <c r="M114" s="444"/>
      <c r="N114" s="444"/>
    </row>
    <row r="115" spans="1:14" x14ac:dyDescent="0.3">
      <c r="B115" s="122"/>
      <c r="D115" s="510"/>
      <c r="E115" s="510"/>
      <c r="F115" s="510"/>
      <c r="G115" s="510"/>
      <c r="H115" s="444"/>
      <c r="I115" s="444"/>
      <c r="J115" s="444"/>
      <c r="K115" s="444"/>
      <c r="L115" s="444"/>
      <c r="M115" s="444"/>
      <c r="N115" s="444"/>
    </row>
    <row r="116" spans="1:14" x14ac:dyDescent="0.3">
      <c r="B116" s="122"/>
      <c r="C116" s="27"/>
      <c r="D116" s="509"/>
      <c r="E116" s="509"/>
      <c r="F116" s="509"/>
      <c r="G116" s="509"/>
      <c r="H116" s="444"/>
      <c r="I116" s="444"/>
      <c r="J116" s="444"/>
      <c r="K116" s="444"/>
      <c r="L116" s="444"/>
      <c r="M116" s="444"/>
      <c r="N116" s="444"/>
    </row>
    <row r="117" spans="1:14" x14ac:dyDescent="0.3">
      <c r="B117" s="444"/>
      <c r="C117" s="27"/>
      <c r="D117" s="508"/>
      <c r="E117" s="508"/>
      <c r="F117" s="508"/>
      <c r="G117" s="508"/>
      <c r="H117" s="444"/>
      <c r="I117" s="444"/>
      <c r="J117" s="444"/>
      <c r="K117" s="444"/>
      <c r="L117" s="444"/>
      <c r="M117" s="444"/>
      <c r="N117" s="444"/>
    </row>
    <row r="118" spans="1:14" x14ac:dyDescent="0.3">
      <c r="B118" s="444"/>
      <c r="C118" s="27"/>
      <c r="D118" s="27"/>
      <c r="E118" s="455"/>
      <c r="F118" s="455"/>
      <c r="G118" s="27"/>
      <c r="H118" s="444"/>
      <c r="I118" s="444"/>
      <c r="J118" s="444"/>
      <c r="K118" s="444"/>
      <c r="L118" s="444"/>
      <c r="M118" s="444"/>
      <c r="N118" s="444"/>
    </row>
    <row r="119" spans="1:14" x14ac:dyDescent="0.3">
      <c r="B119" s="45"/>
      <c r="C119" s="27"/>
      <c r="D119" s="446"/>
      <c r="E119" s="27"/>
      <c r="F119" s="27"/>
      <c r="G119" s="27"/>
      <c r="H119" s="444"/>
      <c r="I119" s="444"/>
      <c r="J119" s="444"/>
      <c r="K119" s="444"/>
      <c r="L119" s="444"/>
      <c r="M119" s="444"/>
      <c r="N119" s="444"/>
    </row>
    <row r="120" spans="1:14" x14ac:dyDescent="0.3">
      <c r="B120" s="444"/>
      <c r="C120" s="507"/>
      <c r="D120" s="506"/>
      <c r="E120" s="455"/>
      <c r="F120" s="27"/>
      <c r="G120" s="27"/>
      <c r="H120" s="444"/>
      <c r="I120" s="444"/>
      <c r="J120" s="444"/>
      <c r="K120" s="444"/>
      <c r="L120" s="444"/>
      <c r="M120" s="444"/>
      <c r="N120" s="444"/>
    </row>
    <row r="121" spans="1:14" x14ac:dyDescent="0.3">
      <c r="B121" s="444"/>
      <c r="C121" s="27"/>
      <c r="D121" s="444"/>
      <c r="E121" s="444"/>
      <c r="F121" s="444"/>
      <c r="G121" s="444"/>
      <c r="H121" s="444"/>
      <c r="I121" s="444"/>
      <c r="J121" s="444"/>
      <c r="K121" s="444"/>
      <c r="L121" s="444"/>
      <c r="M121" s="444"/>
      <c r="N121" s="444"/>
    </row>
    <row r="122" spans="1:14" x14ac:dyDescent="0.3">
      <c r="B122" s="27"/>
      <c r="C122" s="443"/>
      <c r="D122" s="444"/>
      <c r="E122" s="444"/>
      <c r="F122" s="444"/>
      <c r="G122" s="444"/>
      <c r="H122" s="444"/>
      <c r="I122" s="444"/>
      <c r="J122" s="444"/>
      <c r="K122" s="444"/>
      <c r="L122" s="444"/>
      <c r="M122" s="444"/>
      <c r="N122" s="444"/>
    </row>
    <row r="123" spans="1:14" x14ac:dyDescent="0.3">
      <c r="B123" s="27"/>
      <c r="C123" s="90"/>
      <c r="E123" s="444"/>
      <c r="F123" s="444"/>
      <c r="G123" s="444"/>
      <c r="H123" s="444"/>
      <c r="I123" s="444"/>
      <c r="J123" s="444"/>
      <c r="K123" s="444"/>
      <c r="L123" s="444"/>
      <c r="M123" s="444"/>
      <c r="N123" s="444"/>
    </row>
    <row r="124" spans="1:14" x14ac:dyDescent="0.3">
      <c r="B124" s="27"/>
      <c r="E124" s="444"/>
      <c r="F124" s="444"/>
      <c r="G124" s="444"/>
      <c r="H124" s="444"/>
      <c r="I124" s="444"/>
      <c r="J124" s="444"/>
      <c r="K124" s="444"/>
      <c r="L124" s="444"/>
      <c r="M124" s="444"/>
      <c r="N124" s="444"/>
    </row>
    <row r="125" spans="1:14" x14ac:dyDescent="0.3">
      <c r="A125" s="120"/>
      <c r="B125" s="27"/>
      <c r="C125" s="90"/>
      <c r="D125" s="444"/>
      <c r="E125" s="444"/>
      <c r="F125" s="444"/>
      <c r="G125" s="444"/>
      <c r="H125" s="444"/>
      <c r="I125" s="444"/>
      <c r="J125" s="444"/>
      <c r="K125" s="444"/>
      <c r="L125" s="444"/>
      <c r="M125" s="444"/>
      <c r="N125" s="444"/>
    </row>
    <row r="126" spans="1:14" x14ac:dyDescent="0.3">
      <c r="B126" s="27"/>
      <c r="D126" s="444"/>
      <c r="E126" s="444"/>
      <c r="F126" s="444"/>
      <c r="G126" s="444"/>
      <c r="H126" s="444"/>
      <c r="I126" s="444"/>
      <c r="J126" s="444"/>
      <c r="K126" s="444"/>
      <c r="L126" s="444"/>
      <c r="M126" s="444"/>
      <c r="N126" s="444"/>
    </row>
    <row r="127" spans="1:14" x14ac:dyDescent="0.3">
      <c r="B127" s="505"/>
      <c r="C127" s="504"/>
      <c r="E127" s="444"/>
      <c r="G127" s="444"/>
      <c r="H127" s="444"/>
      <c r="I127" s="444"/>
      <c r="J127" s="444"/>
      <c r="K127" s="444"/>
      <c r="L127" s="444"/>
      <c r="M127" s="444"/>
      <c r="N127" s="444"/>
    </row>
    <row r="128" spans="1:14" x14ac:dyDescent="0.3">
      <c r="B128" s="27"/>
      <c r="E128" s="444"/>
      <c r="F128" s="444"/>
      <c r="G128" s="444"/>
      <c r="H128" s="444"/>
      <c r="I128" s="444"/>
      <c r="J128" s="444"/>
      <c r="K128" s="444"/>
      <c r="L128" s="444"/>
      <c r="M128" s="444"/>
      <c r="N128" s="444"/>
    </row>
    <row r="129" spans="1:14" x14ac:dyDescent="0.3">
      <c r="B129" s="503"/>
      <c r="C129" s="502"/>
      <c r="D129" s="444"/>
      <c r="E129" s="444"/>
      <c r="F129" s="444"/>
      <c r="G129" s="444"/>
      <c r="H129" s="444"/>
      <c r="I129" s="444"/>
      <c r="J129" s="444"/>
      <c r="K129" s="444"/>
      <c r="L129" s="444"/>
      <c r="M129" s="444"/>
      <c r="N129" s="444"/>
    </row>
    <row r="130" spans="1:14" x14ac:dyDescent="0.3">
      <c r="B130" s="444"/>
      <c r="C130" s="443"/>
      <c r="D130" s="444"/>
      <c r="E130" s="444"/>
      <c r="F130" s="444"/>
      <c r="G130" s="444"/>
      <c r="H130" s="444"/>
      <c r="I130" s="444"/>
      <c r="J130" s="444"/>
      <c r="K130" s="444"/>
      <c r="L130" s="444"/>
      <c r="M130" s="444"/>
      <c r="N130" s="444"/>
    </row>
    <row r="131" spans="1:14" x14ac:dyDescent="0.3">
      <c r="B131" s="444"/>
      <c r="C131" s="27"/>
      <c r="D131" s="444"/>
      <c r="E131" s="444"/>
      <c r="F131" s="444"/>
      <c r="G131" s="444"/>
      <c r="H131" s="444"/>
      <c r="I131" s="444"/>
      <c r="J131" s="444"/>
      <c r="K131" s="444"/>
      <c r="L131" s="444"/>
      <c r="M131" s="444"/>
      <c r="N131" s="444"/>
    </row>
    <row r="132" spans="1:14" x14ac:dyDescent="0.3">
      <c r="B132" s="445"/>
      <c r="C132" s="444"/>
      <c r="D132" s="444"/>
      <c r="E132" s="444"/>
      <c r="F132" s="444"/>
      <c r="G132" s="444"/>
      <c r="H132" s="444"/>
      <c r="I132" s="444"/>
      <c r="J132" s="444"/>
      <c r="K132" s="444"/>
      <c r="L132" s="444"/>
      <c r="M132" s="444"/>
      <c r="N132" s="444"/>
    </row>
    <row r="133" spans="1:14" x14ac:dyDescent="0.3">
      <c r="A133" s="501"/>
      <c r="B133" s="27"/>
      <c r="C133" s="443"/>
      <c r="D133" s="27"/>
      <c r="E133" s="27"/>
      <c r="F133" s="27"/>
      <c r="G133" s="27"/>
      <c r="H133" s="27"/>
      <c r="I133" s="27"/>
      <c r="J133" s="27"/>
      <c r="K133" s="444"/>
      <c r="L133" s="444"/>
      <c r="M133" s="444"/>
      <c r="N133" s="444"/>
    </row>
    <row r="134" spans="1:14" x14ac:dyDescent="0.3">
      <c r="B134" s="27"/>
      <c r="C134" s="27"/>
      <c r="D134" s="27"/>
      <c r="E134" s="27"/>
      <c r="F134" s="27"/>
      <c r="G134" s="27"/>
      <c r="H134" s="27"/>
      <c r="I134" s="27"/>
      <c r="J134" s="27"/>
      <c r="K134" s="444"/>
      <c r="L134" s="444"/>
      <c r="M134" s="444"/>
      <c r="N134" s="444"/>
    </row>
    <row r="135" spans="1:14" x14ac:dyDescent="0.3">
      <c r="B135" s="27"/>
      <c r="C135" s="27"/>
      <c r="D135" s="27"/>
      <c r="E135" s="27"/>
      <c r="F135" s="27"/>
      <c r="G135" s="27"/>
      <c r="H135" s="27"/>
      <c r="I135" s="27"/>
      <c r="J135" s="27"/>
      <c r="K135" s="444"/>
      <c r="L135" s="444"/>
      <c r="M135" s="444"/>
      <c r="N135" s="444"/>
    </row>
    <row r="136" spans="1:14" x14ac:dyDescent="0.3">
      <c r="B136" s="448"/>
      <c r="C136" s="27"/>
      <c r="D136" s="27"/>
      <c r="E136" s="27"/>
      <c r="F136" s="27"/>
      <c r="G136" s="27"/>
      <c r="H136" s="27"/>
      <c r="I136" s="27"/>
      <c r="J136" s="27"/>
      <c r="K136" s="444"/>
      <c r="L136" s="444"/>
      <c r="M136" s="444"/>
      <c r="N136" s="444"/>
    </row>
    <row r="137" spans="1:14" x14ac:dyDescent="0.3">
      <c r="B137" s="27"/>
      <c r="C137" s="443"/>
      <c r="D137" s="27"/>
      <c r="E137"/>
      <c r="F137" s="27"/>
      <c r="G137" s="27"/>
      <c r="H137" s="27"/>
      <c r="I137" s="27"/>
      <c r="J137" s="27"/>
      <c r="K137" s="444"/>
      <c r="L137" s="444"/>
      <c r="M137" s="444"/>
      <c r="N137" s="444"/>
    </row>
    <row r="138" spans="1:14" x14ac:dyDescent="0.3">
      <c r="B138" s="27"/>
      <c r="C138" s="443"/>
      <c r="D138" s="455"/>
      <c r="E138"/>
      <c r="F138" s="455"/>
      <c r="G138" s="455"/>
      <c r="H138" s="455"/>
      <c r="I138" s="455"/>
      <c r="J138" s="455"/>
      <c r="K138" s="454"/>
      <c r="L138" s="454"/>
      <c r="M138" s="454"/>
      <c r="N138" s="454"/>
    </row>
    <row r="139" spans="1:14" x14ac:dyDescent="0.3">
      <c r="B139" s="27"/>
      <c r="C139" s="443"/>
      <c r="D139" s="462"/>
      <c r="E139" s="462"/>
      <c r="F139" s="462"/>
      <c r="G139" s="462"/>
      <c r="H139" s="462"/>
      <c r="I139" s="462"/>
      <c r="J139" s="462"/>
      <c r="K139" s="461"/>
      <c r="L139" s="461"/>
      <c r="M139" s="461"/>
      <c r="N139" s="461"/>
    </row>
    <row r="140" spans="1:14" x14ac:dyDescent="0.3">
      <c r="B140" s="27"/>
      <c r="C140" s="460"/>
      <c r="D140" s="459"/>
      <c r="E140" s="459"/>
      <c r="F140" s="459"/>
      <c r="G140" s="459"/>
      <c r="H140" s="459"/>
      <c r="I140" s="459"/>
      <c r="J140" s="459"/>
      <c r="K140" s="458"/>
      <c r="L140" s="458"/>
      <c r="M140" s="458"/>
      <c r="N140" s="458"/>
    </row>
    <row r="141" spans="1:14" x14ac:dyDescent="0.3">
      <c r="B141" s="27"/>
      <c r="C141" s="457"/>
      <c r="D141" s="452"/>
      <c r="E141"/>
      <c r="F141" s="452"/>
      <c r="G141" s="452"/>
      <c r="H141" s="452"/>
      <c r="I141" s="452"/>
      <c r="J141" s="452"/>
      <c r="K141" s="451"/>
      <c r="L141" s="451"/>
      <c r="M141" s="451"/>
      <c r="N141" s="451"/>
    </row>
    <row r="142" spans="1:14" x14ac:dyDescent="0.3">
      <c r="B142" s="27"/>
      <c r="C142" s="27"/>
      <c r="D142" s="27"/>
      <c r="E142"/>
      <c r="F142" s="27"/>
      <c r="G142" s="27"/>
      <c r="H142" s="27"/>
      <c r="I142" s="27"/>
      <c r="J142" s="27"/>
      <c r="K142" s="444"/>
      <c r="L142" s="444"/>
      <c r="M142" s="444"/>
      <c r="N142" s="444"/>
    </row>
    <row r="143" spans="1:14" x14ac:dyDescent="0.3">
      <c r="D143" s="27"/>
      <c r="E143" s="27"/>
      <c r="F143" s="27"/>
      <c r="G143" s="27"/>
      <c r="H143" s="27"/>
      <c r="I143" s="27"/>
      <c r="J143" s="27"/>
      <c r="K143" s="444"/>
      <c r="L143" s="444"/>
      <c r="M143" s="444"/>
      <c r="N143" s="444"/>
    </row>
    <row r="144" spans="1:14" x14ac:dyDescent="0.3">
      <c r="B144" s="45"/>
      <c r="C144" s="27"/>
      <c r="D144" s="27"/>
      <c r="E144" s="27"/>
      <c r="F144" s="27"/>
      <c r="G144" s="27"/>
      <c r="H144" s="27"/>
      <c r="I144" s="27"/>
      <c r="J144" s="27"/>
      <c r="K144" s="444"/>
      <c r="L144" s="444"/>
      <c r="M144" s="444"/>
      <c r="N144" s="444"/>
    </row>
    <row r="145" spans="1:14" x14ac:dyDescent="0.3">
      <c r="B145" s="27"/>
      <c r="C145" s="27"/>
      <c r="D145" s="27"/>
      <c r="E145"/>
      <c r="F145" s="444"/>
      <c r="G145" s="444"/>
      <c r="H145" s="444"/>
      <c r="I145" s="444"/>
      <c r="J145" s="444"/>
      <c r="K145" s="444"/>
      <c r="L145" s="444"/>
      <c r="M145" s="444"/>
      <c r="N145" s="444"/>
    </row>
    <row r="146" spans="1:14" x14ac:dyDescent="0.3">
      <c r="B146" s="27"/>
      <c r="C146" s="443"/>
      <c r="D146" s="27"/>
      <c r="E146" s="27"/>
      <c r="F146" s="444"/>
      <c r="G146" s="444"/>
      <c r="H146" s="444"/>
      <c r="I146" s="444"/>
      <c r="J146" s="444"/>
      <c r="K146" s="444"/>
      <c r="L146" s="444"/>
      <c r="M146" s="444"/>
      <c r="N146" s="444"/>
    </row>
    <row r="147" spans="1:14" x14ac:dyDescent="0.3">
      <c r="B147" s="444"/>
      <c r="C147" s="27"/>
      <c r="D147" s="27"/>
      <c r="E147" s="27"/>
      <c r="F147" s="444"/>
      <c r="G147" s="444"/>
      <c r="H147" s="444"/>
      <c r="I147" s="444"/>
      <c r="J147" s="444"/>
      <c r="K147" s="444"/>
      <c r="L147" s="444"/>
      <c r="M147" s="444"/>
      <c r="N147" s="444"/>
    </row>
    <row r="148" spans="1:14" x14ac:dyDescent="0.3">
      <c r="B148" s="444"/>
      <c r="C148" s="27"/>
      <c r="D148" s="27"/>
      <c r="E148" s="27"/>
      <c r="F148" s="444"/>
      <c r="G148" s="444"/>
      <c r="H148" s="444"/>
      <c r="I148" s="444"/>
      <c r="J148" s="444"/>
      <c r="K148" s="444"/>
      <c r="L148" s="444"/>
      <c r="M148" s="444"/>
      <c r="N148" s="444"/>
    </row>
    <row r="149" spans="1:14" x14ac:dyDescent="0.3">
      <c r="B149" s="444"/>
      <c r="C149" s="446"/>
      <c r="D149" s="27"/>
      <c r="E149" s="27"/>
      <c r="F149" s="444"/>
      <c r="G149" s="444"/>
      <c r="H149" s="444"/>
      <c r="I149" s="444"/>
      <c r="J149" s="444"/>
      <c r="K149" s="444"/>
      <c r="L149" s="444"/>
      <c r="M149" s="444"/>
      <c r="N149" s="444"/>
    </row>
    <row r="150" spans="1:14" x14ac:dyDescent="0.3">
      <c r="A150" s="501"/>
      <c r="B150" s="66"/>
      <c r="C150" s="27"/>
      <c r="D150" s="27"/>
      <c r="E150" s="27"/>
      <c r="F150" s="444"/>
      <c r="G150" s="444"/>
      <c r="H150" s="444"/>
      <c r="I150" s="444"/>
      <c r="J150" s="444"/>
      <c r="K150" s="444"/>
      <c r="L150" s="444"/>
      <c r="M150" s="444"/>
      <c r="N150" s="444"/>
    </row>
    <row r="151" spans="1:14" x14ac:dyDescent="0.3">
      <c r="B151" s="66"/>
      <c r="C151" s="27"/>
      <c r="D151" s="27"/>
      <c r="E151" s="27"/>
      <c r="F151" s="444"/>
      <c r="G151" s="444"/>
      <c r="H151" s="444"/>
      <c r="I151" s="444"/>
      <c r="J151" s="444"/>
      <c r="K151" s="444"/>
      <c r="L151" s="444"/>
      <c r="M151" s="444"/>
      <c r="N151" s="444"/>
    </row>
    <row r="152" spans="1:14" x14ac:dyDescent="0.3">
      <c r="B152" s="444"/>
      <c r="C152" s="27"/>
      <c r="D152" s="27"/>
      <c r="E152" s="27"/>
      <c r="F152" s="444"/>
      <c r="G152" s="444"/>
      <c r="H152" s="444"/>
      <c r="I152" s="444"/>
      <c r="J152" s="444"/>
      <c r="K152" s="444"/>
      <c r="L152" s="444"/>
      <c r="M152" s="444"/>
      <c r="N152" s="444"/>
    </row>
    <row r="153" spans="1:14" x14ac:dyDescent="0.3">
      <c r="A153" s="120"/>
      <c r="D153" s="27"/>
      <c r="E153" s="27"/>
      <c r="F153" s="444"/>
      <c r="G153" s="444"/>
      <c r="H153" s="444"/>
      <c r="I153" s="444"/>
      <c r="J153" s="444"/>
      <c r="K153" s="444"/>
      <c r="L153" s="444"/>
      <c r="M153" s="444"/>
      <c r="N153" s="444"/>
    </row>
    <row r="154" spans="1:14" x14ac:dyDescent="0.3">
      <c r="A154" s="27"/>
      <c r="B154" s="448"/>
      <c r="C154" s="27"/>
      <c r="D154" s="27"/>
      <c r="E154" s="27"/>
      <c r="F154" s="444"/>
      <c r="G154" s="444"/>
      <c r="H154" s="444"/>
      <c r="I154" s="444"/>
      <c r="J154" s="444"/>
      <c r="K154" s="444"/>
      <c r="L154" s="444"/>
      <c r="M154" s="444"/>
      <c r="N154" s="444"/>
    </row>
    <row r="155" spans="1:14" x14ac:dyDescent="0.3">
      <c r="A155" s="27"/>
      <c r="B155" s="27"/>
      <c r="C155" s="27"/>
      <c r="D155" s="27"/>
      <c r="E155" s="27"/>
      <c r="F155" s="444"/>
      <c r="G155" s="444"/>
      <c r="H155" s="444"/>
      <c r="I155" s="444"/>
      <c r="J155" s="444"/>
      <c r="K155" s="444"/>
      <c r="L155" s="444"/>
      <c r="M155" s="444"/>
      <c r="N155" s="444"/>
    </row>
    <row r="156" spans="1:14" x14ac:dyDescent="0.3">
      <c r="A156" s="27"/>
      <c r="B156" s="27"/>
      <c r="C156" s="27"/>
      <c r="D156" s="27"/>
      <c r="E156" s="27"/>
      <c r="F156" s="444"/>
      <c r="G156" s="444"/>
      <c r="H156" s="444"/>
      <c r="I156" s="444"/>
      <c r="J156" s="444"/>
      <c r="K156" s="444"/>
      <c r="L156" s="444"/>
      <c r="M156" s="444"/>
      <c r="N156" s="444"/>
    </row>
    <row r="157" spans="1:14" x14ac:dyDescent="0.3">
      <c r="A157" s="27"/>
      <c r="B157" s="27"/>
      <c r="C157" s="446"/>
      <c r="D157" s="27"/>
      <c r="E157" s="27"/>
      <c r="F157" s="444"/>
      <c r="G157" s="444"/>
      <c r="H157" s="444"/>
      <c r="I157" s="444"/>
      <c r="J157" s="444"/>
      <c r="K157" s="444"/>
      <c r="L157" s="444"/>
      <c r="M157" s="444"/>
      <c r="N157" s="444"/>
    </row>
    <row r="158" spans="1:14" x14ac:dyDescent="0.3">
      <c r="A158" s="27"/>
      <c r="B158" s="447"/>
      <c r="C158" s="446"/>
      <c r="D158" s="27"/>
      <c r="E158" s="27"/>
      <c r="F158" s="444"/>
      <c r="G158" s="444"/>
      <c r="H158" s="444"/>
      <c r="I158" s="444"/>
      <c r="J158" s="444"/>
      <c r="K158" s="444"/>
      <c r="L158" s="444"/>
      <c r="M158" s="444"/>
      <c r="N158" s="444"/>
    </row>
    <row r="159" spans="1:14" x14ac:dyDescent="0.3">
      <c r="A159" s="27"/>
      <c r="B159" s="27"/>
      <c r="C159" s="27"/>
      <c r="D159" s="27"/>
      <c r="E159" s="27"/>
      <c r="F159" s="444"/>
      <c r="G159" s="444"/>
      <c r="H159" s="444"/>
      <c r="I159" s="444"/>
      <c r="J159" s="444"/>
      <c r="K159" s="444"/>
      <c r="L159" s="444"/>
      <c r="M159" s="444"/>
      <c r="N159" s="444"/>
    </row>
    <row r="160" spans="1:14" x14ac:dyDescent="0.3">
      <c r="A160" s="27"/>
      <c r="B160" s="27"/>
      <c r="C160" s="27"/>
      <c r="D160" s="27"/>
      <c r="E160" s="27"/>
      <c r="F160" s="444"/>
      <c r="G160" s="444"/>
      <c r="H160" s="444"/>
      <c r="I160" s="444"/>
      <c r="J160" s="444"/>
      <c r="K160" s="444"/>
      <c r="L160" s="444"/>
      <c r="M160" s="444"/>
      <c r="N160" s="444"/>
    </row>
    <row r="161" spans="1:14" x14ac:dyDescent="0.3">
      <c r="A161" s="27"/>
      <c r="B161" s="27"/>
      <c r="C161" s="27"/>
      <c r="D161" s="27"/>
      <c r="E161" s="27"/>
      <c r="F161" s="444"/>
      <c r="G161" s="444"/>
      <c r="H161" s="444"/>
      <c r="I161" s="444"/>
      <c r="J161" s="444"/>
      <c r="K161" s="444"/>
      <c r="L161" s="444"/>
      <c r="M161" s="444"/>
      <c r="N161" s="444"/>
    </row>
    <row r="162" spans="1:14" x14ac:dyDescent="0.3">
      <c r="A162" s="27"/>
      <c r="B162" s="27"/>
      <c r="C162" s="446"/>
      <c r="D162" s="27"/>
      <c r="E162"/>
      <c r="F162" s="444"/>
      <c r="G162" s="444"/>
      <c r="H162" s="444"/>
      <c r="I162" s="444"/>
      <c r="J162" s="444"/>
      <c r="K162" s="444"/>
      <c r="L162" s="444"/>
      <c r="M162" s="444"/>
      <c r="N162" s="444"/>
    </row>
    <row r="163" spans="1:14" x14ac:dyDescent="0.3">
      <c r="A163" s="27"/>
      <c r="B163" s="447"/>
      <c r="C163" s="446"/>
      <c r="D163" s="27"/>
      <c r="E163" s="27"/>
      <c r="F163" s="444"/>
      <c r="G163" s="444"/>
      <c r="H163" s="444"/>
      <c r="I163" s="444"/>
      <c r="J163" s="444"/>
      <c r="K163" s="444"/>
      <c r="L163" s="444"/>
      <c r="M163" s="444"/>
      <c r="N163" s="444"/>
    </row>
    <row r="164" spans="1:14" x14ac:dyDescent="0.3">
      <c r="A164" s="27"/>
      <c r="B164" s="27"/>
      <c r="C164" s="27"/>
      <c r="D164" s="27"/>
      <c r="E164" s="27"/>
      <c r="F164" s="444"/>
      <c r="G164" s="444"/>
      <c r="H164" s="444"/>
      <c r="I164" s="444"/>
      <c r="J164" s="444"/>
      <c r="K164" s="444"/>
      <c r="L164" s="444"/>
      <c r="M164" s="444"/>
      <c r="N164" s="444"/>
    </row>
    <row r="165" spans="1:14" x14ac:dyDescent="0.3">
      <c r="A165" s="27"/>
      <c r="B165" s="27"/>
      <c r="C165" s="27"/>
      <c r="D165" s="27"/>
      <c r="E165" s="27"/>
      <c r="F165" s="444"/>
      <c r="G165" s="444"/>
      <c r="H165" s="444"/>
      <c r="I165" s="444"/>
      <c r="J165" s="444"/>
      <c r="K165" s="444"/>
      <c r="L165" s="444"/>
      <c r="M165" s="444"/>
      <c r="N165" s="444"/>
    </row>
    <row r="166" spans="1:14" x14ac:dyDescent="0.3">
      <c r="A166" s="27"/>
      <c r="B166" s="27"/>
      <c r="C166" s="27"/>
      <c r="D166" s="455"/>
      <c r="E166" s="455"/>
      <c r="F166" s="454"/>
      <c r="G166" s="454"/>
      <c r="H166" s="454"/>
      <c r="I166" s="454"/>
      <c r="J166" s="454"/>
      <c r="K166" s="444"/>
      <c r="L166" s="444"/>
      <c r="M166" s="444"/>
      <c r="N166" s="444"/>
    </row>
    <row r="167" spans="1:14" x14ac:dyDescent="0.3">
      <c r="A167" s="27"/>
      <c r="B167" s="27"/>
      <c r="C167" s="27"/>
      <c r="D167" s="27"/>
      <c r="E167" s="455"/>
      <c r="F167" s="454"/>
      <c r="G167" s="454"/>
      <c r="H167" s="454"/>
      <c r="I167" s="454"/>
      <c r="J167" s="454"/>
      <c r="K167" s="444"/>
      <c r="L167" s="444"/>
      <c r="M167" s="444"/>
      <c r="N167" s="444"/>
    </row>
    <row r="168" spans="1:14" x14ac:dyDescent="0.3">
      <c r="A168" s="27"/>
      <c r="B168" s="27"/>
      <c r="C168" s="453"/>
      <c r="D168" s="452"/>
      <c r="E168" s="452"/>
      <c r="F168" s="451"/>
      <c r="G168" s="451"/>
      <c r="H168" s="451"/>
      <c r="I168" s="451"/>
      <c r="J168" s="451"/>
      <c r="K168" s="444"/>
      <c r="L168" s="444"/>
      <c r="M168" s="444"/>
      <c r="N168" s="444"/>
    </row>
    <row r="169" spans="1:14" x14ac:dyDescent="0.3">
      <c r="B169" s="45"/>
      <c r="C169" s="445"/>
      <c r="D169" s="451"/>
      <c r="E169" s="451"/>
      <c r="F169" s="451"/>
      <c r="G169" s="451"/>
      <c r="H169" s="451"/>
      <c r="I169" s="451"/>
      <c r="J169" s="451"/>
      <c r="K169" s="444"/>
      <c r="L169" s="444"/>
      <c r="M169" s="444"/>
      <c r="N169" s="444"/>
    </row>
    <row r="170" spans="1:14" x14ac:dyDescent="0.3">
      <c r="B170" s="27"/>
      <c r="C170" s="27"/>
      <c r="D170" s="444"/>
      <c r="E170" s="444"/>
      <c r="F170" s="444"/>
      <c r="G170" s="444"/>
      <c r="H170" s="444"/>
      <c r="I170" s="444"/>
      <c r="J170" s="444"/>
      <c r="K170" s="444"/>
      <c r="L170" s="444"/>
      <c r="M170" s="444"/>
      <c r="N170" s="444"/>
    </row>
    <row r="171" spans="1:14" x14ac:dyDescent="0.3">
      <c r="B171" s="27"/>
      <c r="C171" s="443"/>
      <c r="D171" s="444"/>
      <c r="E171" s="444"/>
      <c r="F171" s="444"/>
      <c r="G171" s="444"/>
      <c r="H171" s="444"/>
      <c r="I171" s="444"/>
      <c r="J171" s="444"/>
      <c r="K171" s="444"/>
      <c r="L171" s="444"/>
      <c r="M171" s="444"/>
      <c r="N171" s="444"/>
    </row>
    <row r="172" spans="1:14" x14ac:dyDescent="0.3">
      <c r="B172" s="27"/>
      <c r="C172" s="27"/>
      <c r="D172" s="444"/>
      <c r="E172"/>
      <c r="F172" s="444"/>
      <c r="G172" s="444"/>
      <c r="H172" s="444"/>
      <c r="I172" s="444"/>
      <c r="J172" s="444"/>
      <c r="K172" s="444"/>
      <c r="L172" s="444"/>
      <c r="M172" s="444"/>
      <c r="N172" s="444"/>
    </row>
    <row r="173" spans="1:14" x14ac:dyDescent="0.3">
      <c r="B173" s="27"/>
      <c r="C173" s="27"/>
      <c r="D173" s="444"/>
      <c r="E173" s="444"/>
      <c r="F173" s="444"/>
      <c r="G173" s="444"/>
      <c r="H173" s="444"/>
      <c r="I173" s="444"/>
      <c r="J173" s="444"/>
      <c r="K173" s="444"/>
      <c r="L173" s="444"/>
      <c r="M173" s="444"/>
      <c r="N173" s="444"/>
    </row>
    <row r="174" spans="1:14" x14ac:dyDescent="0.3">
      <c r="B174" s="27"/>
      <c r="C174" s="443"/>
      <c r="D174" s="444"/>
      <c r="E174" s="444"/>
      <c r="F174" s="444"/>
      <c r="G174" s="444"/>
      <c r="H174" s="444"/>
      <c r="I174" s="444"/>
      <c r="J174" s="444"/>
      <c r="K174" s="444"/>
      <c r="L174" s="444"/>
      <c r="M174" s="444"/>
      <c r="N174" s="444"/>
    </row>
    <row r="175" spans="1:14" x14ac:dyDescent="0.3">
      <c r="B175" s="27"/>
      <c r="C175" s="27"/>
      <c r="D175" s="444"/>
      <c r="E175"/>
      <c r="F175" s="444"/>
      <c r="G175" s="444"/>
      <c r="H175" s="444"/>
      <c r="I175" s="444"/>
      <c r="J175" s="444"/>
      <c r="K175" s="444"/>
      <c r="L175" s="444"/>
      <c r="M175" s="444"/>
      <c r="N175" s="444"/>
    </row>
    <row r="176" spans="1:14" x14ac:dyDescent="0.3">
      <c r="B176" s="27"/>
      <c r="C176" s="443"/>
      <c r="D176" s="444"/>
      <c r="E176"/>
      <c r="F176" s="444"/>
      <c r="G176" s="444"/>
      <c r="H176" s="444"/>
      <c r="I176" s="444"/>
      <c r="J176" s="444"/>
      <c r="K176" s="444"/>
      <c r="L176" s="444"/>
      <c r="M176" s="444"/>
      <c r="N176" s="444"/>
    </row>
    <row r="177" spans="1:14" x14ac:dyDescent="0.3">
      <c r="B177" s="27"/>
      <c r="C177" s="27"/>
      <c r="D177" s="444"/>
      <c r="E177" s="444"/>
      <c r="F177" s="444"/>
      <c r="G177" s="444"/>
      <c r="H177" s="444"/>
      <c r="I177" s="444"/>
      <c r="J177" s="444"/>
      <c r="K177" s="444"/>
      <c r="L177" s="444"/>
      <c r="M177" s="444"/>
      <c r="N177" s="444"/>
    </row>
    <row r="178" spans="1:14" x14ac:dyDescent="0.3">
      <c r="B178" s="27"/>
      <c r="C178" s="27"/>
      <c r="D178" s="444"/>
      <c r="E178" s="444"/>
      <c r="F178" s="444"/>
      <c r="G178" s="444"/>
      <c r="H178" s="444"/>
      <c r="I178" s="444"/>
      <c r="J178" s="444"/>
      <c r="K178" s="444"/>
      <c r="L178" s="444"/>
      <c r="M178" s="444"/>
      <c r="N178" s="444"/>
    </row>
    <row r="179" spans="1:14" x14ac:dyDescent="0.3">
      <c r="B179" s="27"/>
      <c r="C179" s="27"/>
      <c r="D179" s="444"/>
      <c r="E179" s="444"/>
      <c r="F179" s="444"/>
      <c r="G179" s="444"/>
      <c r="H179" s="444"/>
      <c r="I179" s="444"/>
      <c r="J179" s="444"/>
      <c r="K179" s="444"/>
      <c r="L179" s="444"/>
      <c r="M179" s="444"/>
      <c r="N179" s="444"/>
    </row>
    <row r="180" spans="1:14" x14ac:dyDescent="0.3">
      <c r="B180" s="27"/>
      <c r="C180" s="446"/>
      <c r="D180" s="444"/>
      <c r="E180" s="444"/>
      <c r="F180" s="444"/>
      <c r="G180" s="444"/>
      <c r="H180" s="444"/>
      <c r="I180" s="444"/>
      <c r="J180" s="444"/>
      <c r="K180" s="444"/>
      <c r="L180" s="444"/>
      <c r="M180" s="444"/>
      <c r="N180" s="444"/>
    </row>
    <row r="181" spans="1:14" x14ac:dyDescent="0.3">
      <c r="B181" s="27"/>
      <c r="C181" s="27"/>
      <c r="D181" s="444"/>
      <c r="E181" s="444"/>
      <c r="F181" s="444"/>
      <c r="G181" s="444"/>
      <c r="H181" s="444"/>
      <c r="I181" s="444"/>
      <c r="J181" s="444"/>
      <c r="K181" s="444"/>
      <c r="L181" s="444"/>
      <c r="M181" s="444"/>
      <c r="N181" s="444"/>
    </row>
    <row r="182" spans="1:14" x14ac:dyDescent="0.3">
      <c r="A182" s="501"/>
      <c r="B182" s="66"/>
      <c r="C182" s="27"/>
      <c r="D182" s="444"/>
      <c r="E182" s="444"/>
      <c r="F182" s="444"/>
      <c r="G182" s="444"/>
      <c r="H182" s="444"/>
      <c r="I182" s="444"/>
      <c r="J182" s="444"/>
      <c r="K182" s="444"/>
      <c r="L182" s="444"/>
      <c r="M182" s="444"/>
      <c r="N182" s="444"/>
    </row>
    <row r="183" spans="1:14" x14ac:dyDescent="0.3">
      <c r="A183" s="120"/>
      <c r="B183" s="27"/>
      <c r="C183" s="444"/>
      <c r="D183" s="444"/>
      <c r="E183" s="444"/>
      <c r="F183" s="444"/>
      <c r="G183" s="444"/>
      <c r="H183" s="444"/>
      <c r="I183" s="444"/>
      <c r="J183" s="444"/>
      <c r="K183" s="444"/>
      <c r="L183" s="444"/>
      <c r="M183" s="444"/>
      <c r="N183" s="444"/>
    </row>
    <row r="184" spans="1:14" x14ac:dyDescent="0.3">
      <c r="B184" s="450"/>
      <c r="C184" s="27"/>
      <c r="D184" s="27"/>
      <c r="E184" s="27"/>
      <c r="F184" s="27"/>
      <c r="G184" s="444"/>
      <c r="H184" s="444"/>
      <c r="I184" s="444"/>
      <c r="J184" s="444"/>
      <c r="K184" s="444"/>
      <c r="L184" s="444"/>
      <c r="M184" s="444"/>
      <c r="N184" s="444"/>
    </row>
    <row r="185" spans="1:14" x14ac:dyDescent="0.3">
      <c r="B185" s="449"/>
      <c r="C185" s="27"/>
      <c r="D185" s="27"/>
      <c r="E185" s="27"/>
      <c r="F185" s="27"/>
      <c r="G185" s="444"/>
      <c r="H185" s="444"/>
      <c r="I185" s="444"/>
      <c r="J185" s="444"/>
      <c r="K185" s="444"/>
      <c r="L185" s="444"/>
      <c r="M185" s="444"/>
      <c r="N185" s="444"/>
    </row>
    <row r="186" spans="1:14" x14ac:dyDescent="0.3">
      <c r="C186" s="27"/>
      <c r="D186" s="27"/>
      <c r="E186" s="27"/>
      <c r="F186" s="27"/>
      <c r="G186" s="444"/>
      <c r="H186" s="444"/>
      <c r="I186" s="444"/>
      <c r="J186" s="444"/>
      <c r="K186" s="444"/>
      <c r="L186" s="444"/>
      <c r="M186" s="444"/>
      <c r="N186" s="444"/>
    </row>
    <row r="187" spans="1:14" x14ac:dyDescent="0.3">
      <c r="B187" s="448"/>
      <c r="C187" s="27"/>
      <c r="D187" s="27"/>
      <c r="E187" s="27"/>
      <c r="F187" s="27"/>
      <c r="G187" s="444"/>
      <c r="H187" s="444"/>
      <c r="I187" s="444"/>
      <c r="J187" s="444"/>
      <c r="K187" s="444"/>
      <c r="L187" s="444"/>
      <c r="M187" s="444"/>
      <c r="N187" s="444"/>
    </row>
    <row r="188" spans="1:14" x14ac:dyDescent="0.3">
      <c r="B188" s="27"/>
      <c r="C188" s="27"/>
      <c r="D188" s="27"/>
      <c r="E188" s="27"/>
      <c r="F188" s="27"/>
      <c r="G188" s="444"/>
      <c r="H188" s="444"/>
      <c r="I188" s="444"/>
      <c r="J188" s="444"/>
      <c r="K188" s="444"/>
      <c r="L188" s="444"/>
      <c r="M188" s="444"/>
      <c r="N188" s="444"/>
    </row>
    <row r="189" spans="1:14" x14ac:dyDescent="0.3">
      <c r="B189" s="27"/>
      <c r="C189" s="27"/>
      <c r="D189" s="27"/>
      <c r="E189"/>
      <c r="F189" s="27"/>
      <c r="G189" s="444"/>
      <c r="H189" s="444"/>
      <c r="I189" s="444"/>
      <c r="J189" s="444"/>
      <c r="K189" s="444"/>
      <c r="L189" s="444"/>
      <c r="M189" s="444"/>
      <c r="N189" s="444"/>
    </row>
    <row r="190" spans="1:14" x14ac:dyDescent="0.3">
      <c r="B190" s="27"/>
      <c r="C190" s="446"/>
      <c r="D190" s="27"/>
      <c r="E190" s="27"/>
      <c r="F190" s="27"/>
      <c r="G190" s="444"/>
      <c r="H190" s="444"/>
      <c r="I190" s="444"/>
      <c r="J190" s="444"/>
      <c r="K190" s="444"/>
      <c r="L190" s="444"/>
      <c r="M190" s="444"/>
      <c r="N190" s="444"/>
    </row>
    <row r="191" spans="1:14" x14ac:dyDescent="0.3">
      <c r="B191" s="447"/>
      <c r="C191" s="446"/>
      <c r="D191" s="27"/>
      <c r="E191" s="27"/>
      <c r="F191" s="27"/>
      <c r="G191" s="444"/>
      <c r="H191" s="444"/>
      <c r="I191" s="444"/>
      <c r="J191" s="444"/>
      <c r="K191" s="444"/>
      <c r="L191" s="444"/>
      <c r="M191" s="444"/>
      <c r="N191" s="444"/>
    </row>
    <row r="192" spans="1:14" x14ac:dyDescent="0.3">
      <c r="B192" s="27"/>
      <c r="C192" s="27"/>
      <c r="D192" s="27"/>
      <c r="E192" s="27"/>
      <c r="F192" s="27"/>
      <c r="G192" s="444"/>
      <c r="H192" s="444"/>
      <c r="I192" s="444"/>
      <c r="J192" s="444"/>
      <c r="K192" s="444"/>
      <c r="L192" s="444"/>
      <c r="M192" s="444"/>
      <c r="N192" s="444"/>
    </row>
    <row r="193" spans="2:14" x14ac:dyDescent="0.3">
      <c r="B193" s="27"/>
      <c r="C193" s="27"/>
      <c r="D193" s="27"/>
      <c r="E193" s="27"/>
      <c r="F193" s="27"/>
      <c r="G193" s="444"/>
      <c r="H193" s="444"/>
      <c r="I193" s="444"/>
      <c r="J193" s="444"/>
      <c r="K193" s="444"/>
      <c r="L193" s="444"/>
      <c r="M193" s="444"/>
      <c r="N193" s="444"/>
    </row>
    <row r="194" spans="2:14" x14ac:dyDescent="0.3">
      <c r="B194" s="27"/>
      <c r="C194" s="27"/>
      <c r="D194" s="27"/>
      <c r="E194" s="27"/>
      <c r="F194"/>
      <c r="G194" s="444"/>
      <c r="H194" s="444"/>
      <c r="I194" s="444"/>
      <c r="J194" s="444"/>
      <c r="K194" s="444"/>
      <c r="L194" s="444"/>
      <c r="M194" s="444"/>
      <c r="N194" s="444"/>
    </row>
    <row r="195" spans="2:14" x14ac:dyDescent="0.3">
      <c r="B195" s="27"/>
      <c r="C195" s="446"/>
      <c r="D195" s="27"/>
      <c r="E195" s="27"/>
      <c r="F195" s="27"/>
      <c r="G195" s="444"/>
      <c r="H195" s="444"/>
      <c r="I195" s="444"/>
      <c r="J195" s="444"/>
      <c r="K195" s="444"/>
      <c r="L195" s="444"/>
      <c r="M195" s="444"/>
      <c r="N195" s="444"/>
    </row>
    <row r="196" spans="2:14" x14ac:dyDescent="0.3">
      <c r="B196" s="447"/>
      <c r="C196" s="446"/>
      <c r="D196" s="27"/>
      <c r="E196" s="27"/>
      <c r="F196" s="27"/>
      <c r="G196" s="444"/>
      <c r="H196" s="444"/>
      <c r="I196" s="444"/>
      <c r="J196" s="444"/>
      <c r="K196" s="444"/>
      <c r="L196" s="444"/>
      <c r="M196" s="444"/>
      <c r="N196" s="444"/>
    </row>
    <row r="197" spans="2:14" x14ac:dyDescent="0.3">
      <c r="B197" s="27"/>
      <c r="C197" s="27"/>
      <c r="D197" s="27"/>
      <c r="E197" s="27"/>
      <c r="F197" s="27"/>
      <c r="G197" s="444"/>
      <c r="H197" s="444"/>
      <c r="I197" s="444"/>
      <c r="J197" s="444"/>
      <c r="K197" s="444"/>
      <c r="L197" s="444"/>
      <c r="M197" s="444"/>
      <c r="N197" s="444"/>
    </row>
    <row r="198" spans="2:14" x14ac:dyDescent="0.3">
      <c r="B198" s="27"/>
      <c r="C198" s="27"/>
      <c r="D198" s="27"/>
      <c r="E198" s="27"/>
      <c r="F198" s="27"/>
      <c r="G198" s="444"/>
      <c r="H198" s="444"/>
      <c r="I198" s="444"/>
      <c r="J198" s="444"/>
      <c r="K198" s="444"/>
      <c r="L198" s="444"/>
      <c r="M198" s="444"/>
      <c r="N198" s="444"/>
    </row>
    <row r="199" spans="2:14" x14ac:dyDescent="0.3">
      <c r="B199" s="27"/>
      <c r="C199" s="27"/>
      <c r="D199" s="27"/>
      <c r="E199" s="27"/>
      <c r="F199" s="27"/>
      <c r="G199" s="444"/>
      <c r="H199" s="444"/>
      <c r="I199" s="444"/>
      <c r="J199" s="444"/>
      <c r="K199" s="444"/>
      <c r="L199" s="444"/>
      <c r="M199" s="444"/>
      <c r="N199" s="444"/>
    </row>
    <row r="200" spans="2:14" x14ac:dyDescent="0.3">
      <c r="B200" s="27"/>
      <c r="C200" s="27"/>
      <c r="D200" s="27"/>
      <c r="E200" s="27"/>
      <c r="F200" s="27"/>
      <c r="G200" s="444"/>
      <c r="H200" s="444"/>
      <c r="I200" s="444"/>
      <c r="J200" s="444"/>
      <c r="K200" s="444"/>
      <c r="L200" s="444"/>
      <c r="M200" s="444"/>
      <c r="N200" s="444"/>
    </row>
    <row r="201" spans="2:14" x14ac:dyDescent="0.3">
      <c r="B201" s="27"/>
      <c r="C201" s="28"/>
      <c r="D201" s="27"/>
      <c r="E201"/>
      <c r="F201" s="27"/>
      <c r="G201" s="444"/>
      <c r="H201" s="444"/>
      <c r="I201" s="444"/>
      <c r="J201" s="444"/>
      <c r="K201" s="444"/>
      <c r="L201" s="444"/>
      <c r="M201" s="444"/>
      <c r="N201" s="444"/>
    </row>
    <row r="202" spans="2:14" x14ac:dyDescent="0.3">
      <c r="B202" s="27"/>
      <c r="C202" s="27"/>
      <c r="D202" s="27"/>
      <c r="E202" s="27"/>
      <c r="F202" s="27"/>
      <c r="G202" s="444"/>
      <c r="H202" s="444"/>
      <c r="I202" s="444"/>
      <c r="J202" s="444"/>
      <c r="K202" s="444"/>
      <c r="L202" s="444"/>
      <c r="M202" s="444"/>
      <c r="N202" s="444"/>
    </row>
    <row r="203" spans="2:14" x14ac:dyDescent="0.3">
      <c r="B203" s="27"/>
      <c r="C203" s="27"/>
      <c r="D203" s="27"/>
      <c r="E203" s="27"/>
      <c r="F203" s="27"/>
      <c r="G203" s="444"/>
      <c r="H203" s="444"/>
      <c r="I203" s="444"/>
      <c r="J203" s="444"/>
      <c r="K203" s="444"/>
      <c r="L203" s="444"/>
      <c r="M203" s="444"/>
      <c r="N203" s="444"/>
    </row>
    <row r="204" spans="2:14" x14ac:dyDescent="0.3">
      <c r="B204" s="45"/>
      <c r="C204" s="445"/>
      <c r="D204" s="27"/>
      <c r="E204" s="27"/>
      <c r="F204" s="27"/>
      <c r="G204" s="444"/>
      <c r="H204" s="444"/>
      <c r="I204" s="444"/>
      <c r="J204" s="444"/>
      <c r="K204" s="444"/>
      <c r="L204" s="444"/>
      <c r="M204" s="444"/>
      <c r="N204" s="444"/>
    </row>
    <row r="205" spans="2:14" x14ac:dyDescent="0.3">
      <c r="B205" s="27"/>
      <c r="C205" s="27"/>
      <c r="D205" s="27"/>
      <c r="E205" s="27"/>
      <c r="F205" s="27"/>
      <c r="G205" s="444"/>
      <c r="H205" s="444"/>
      <c r="I205" s="444"/>
      <c r="J205" s="444"/>
      <c r="K205" s="444"/>
      <c r="L205" s="444"/>
      <c r="M205" s="444"/>
      <c r="N205" s="444"/>
    </row>
    <row r="206" spans="2:14" x14ac:dyDescent="0.3">
      <c r="B206" s="27"/>
      <c r="C206" s="443"/>
      <c r="D206" s="27"/>
      <c r="E206" s="27"/>
      <c r="F206" s="27"/>
      <c r="G206" s="444"/>
      <c r="H206" s="444"/>
      <c r="I206" s="444"/>
      <c r="J206" s="444"/>
      <c r="K206" s="444"/>
      <c r="L206" s="444"/>
      <c r="M206" s="444"/>
      <c r="N206" s="444"/>
    </row>
    <row r="207" spans="2:14" x14ac:dyDescent="0.3">
      <c r="B207" s="27"/>
      <c r="C207" s="27"/>
      <c r="D207" s="27"/>
      <c r="E207" s="27"/>
      <c r="F207" s="27"/>
      <c r="G207" s="444"/>
      <c r="H207" s="444"/>
      <c r="I207" s="444"/>
      <c r="J207" s="444"/>
      <c r="K207" s="444"/>
      <c r="L207" s="444"/>
      <c r="M207" s="444"/>
      <c r="N207" s="444"/>
    </row>
    <row r="208" spans="2:14" x14ac:dyDescent="0.3">
      <c r="B208" s="27"/>
      <c r="C208" s="27"/>
    </row>
    <row r="209" spans="1:5" x14ac:dyDescent="0.3">
      <c r="B209" s="27"/>
      <c r="C209" s="443"/>
    </row>
    <row r="210" spans="1:5" x14ac:dyDescent="0.3">
      <c r="B210" s="27"/>
      <c r="C210" s="27"/>
    </row>
    <row r="211" spans="1:5" x14ac:dyDescent="0.3">
      <c r="B211" s="27"/>
      <c r="C211" s="443"/>
    </row>
    <row r="218" spans="1:5" x14ac:dyDescent="0.3">
      <c r="A218" s="501"/>
      <c r="B218" s="66"/>
    </row>
    <row r="219" spans="1:5" x14ac:dyDescent="0.3">
      <c r="B219" s="66"/>
      <c r="E219" s="9"/>
    </row>
    <row r="221" spans="1:5" x14ac:dyDescent="0.3">
      <c r="B221" s="3"/>
    </row>
    <row r="222" spans="1:5" x14ac:dyDescent="0.3">
      <c r="D222" s="441"/>
    </row>
    <row r="223" spans="1:5" x14ac:dyDescent="0.3">
      <c r="D223" s="441"/>
    </row>
    <row r="224" spans="1:5" x14ac:dyDescent="0.3">
      <c r="D224" s="441"/>
    </row>
    <row r="225" spans="2:7" x14ac:dyDescent="0.3">
      <c r="D225" s="441"/>
      <c r="E225" s="8"/>
      <c r="F225" s="8"/>
    </row>
    <row r="226" spans="2:7" x14ac:dyDescent="0.3">
      <c r="D226" s="22"/>
      <c r="E226" s="22"/>
      <c r="F226" s="22"/>
    </row>
    <row r="227" spans="2:7" x14ac:dyDescent="0.3">
      <c r="C227" s="9"/>
      <c r="D227" s="433"/>
      <c r="E227" s="433"/>
      <c r="F227" s="433"/>
    </row>
    <row r="228" spans="2:7" x14ac:dyDescent="0.3">
      <c r="D228" s="440"/>
      <c r="E228" s="440"/>
      <c r="F228" s="440"/>
    </row>
    <row r="229" spans="2:7" x14ac:dyDescent="0.3">
      <c r="B229" s="45"/>
      <c r="D229" s="64"/>
      <c r="E229" s="64"/>
      <c r="F229" s="64"/>
      <c r="G229" s="90"/>
    </row>
    <row r="231" spans="2:7" x14ac:dyDescent="0.3">
      <c r="D231" s="8"/>
      <c r="E231" s="8"/>
      <c r="F231" s="8"/>
      <c r="G231" s="8"/>
    </row>
    <row r="232" spans="2:7" x14ac:dyDescent="0.3">
      <c r="D232" s="441"/>
      <c r="E232" s="492"/>
      <c r="F232" s="492"/>
      <c r="G232" s="492"/>
    </row>
    <row r="235" spans="2:7" x14ac:dyDescent="0.3">
      <c r="C235" s="437"/>
    </row>
    <row r="244" spans="3:7" x14ac:dyDescent="0.3">
      <c r="C244" s="437"/>
    </row>
    <row r="246" spans="3:7" x14ac:dyDescent="0.3">
      <c r="C246" s="437"/>
    </row>
    <row r="248" spans="3:7" x14ac:dyDescent="0.3">
      <c r="C248" s="437"/>
    </row>
    <row r="251" spans="3:7" x14ac:dyDescent="0.3">
      <c r="D251" s="8"/>
      <c r="E251" s="8"/>
      <c r="F251" s="8"/>
      <c r="G251" s="8"/>
    </row>
    <row r="252" spans="3:7" x14ac:dyDescent="0.3">
      <c r="D252" s="441"/>
      <c r="E252" s="441"/>
      <c r="F252" s="441"/>
      <c r="G252" s="441"/>
    </row>
    <row r="253" spans="3:7" x14ac:dyDescent="0.3">
      <c r="D253" s="15"/>
      <c r="E253" s="15"/>
      <c r="F253" s="15"/>
      <c r="G253" s="15"/>
    </row>
    <row r="254" spans="3:7" x14ac:dyDescent="0.3">
      <c r="D254" s="15"/>
      <c r="E254" s="15"/>
      <c r="F254" s="15"/>
      <c r="G254" s="15"/>
    </row>
    <row r="255" spans="3:7" x14ac:dyDescent="0.3">
      <c r="D255" s="15"/>
      <c r="E255" s="15"/>
      <c r="F255" s="15"/>
      <c r="G255" s="15"/>
    </row>
    <row r="256" spans="3:7" x14ac:dyDescent="0.3">
      <c r="D256" s="441"/>
      <c r="E256" s="441"/>
      <c r="F256" s="441"/>
      <c r="G256" s="441"/>
    </row>
    <row r="257" spans="1:7" x14ac:dyDescent="0.3">
      <c r="D257" s="441"/>
      <c r="E257" s="441"/>
      <c r="F257" s="441"/>
      <c r="G257" s="441"/>
    </row>
    <row r="258" spans="1:7" x14ac:dyDescent="0.3">
      <c r="D258" s="441"/>
      <c r="E258" s="441"/>
      <c r="F258" s="441"/>
      <c r="G258" s="441"/>
    </row>
    <row r="260" spans="1:7" x14ac:dyDescent="0.3">
      <c r="D260" s="469"/>
    </row>
    <row r="261" spans="1:7" x14ac:dyDescent="0.3">
      <c r="D261" s="469"/>
    </row>
    <row r="262" spans="1:7" x14ac:dyDescent="0.3">
      <c r="D262" s="469"/>
    </row>
    <row r="266" spans="1:7" x14ac:dyDescent="0.3">
      <c r="A266" s="501"/>
      <c r="B266" s="233"/>
    </row>
    <row r="269" spans="1:7" x14ac:dyDescent="0.3">
      <c r="B269" s="3"/>
    </row>
    <row r="270" spans="1:7" x14ac:dyDescent="0.3">
      <c r="C270" s="5"/>
    </row>
    <row r="272" spans="1:7" x14ac:dyDescent="0.3">
      <c r="C272" s="9"/>
    </row>
    <row r="273" spans="2:5" x14ac:dyDescent="0.3">
      <c r="C273" s="120"/>
    </row>
    <row r="274" spans="2:5" x14ac:dyDescent="0.3">
      <c r="D274" s="22"/>
    </row>
    <row r="275" spans="2:5" x14ac:dyDescent="0.3">
      <c r="C275" s="9"/>
      <c r="D275" s="433"/>
    </row>
    <row r="278" spans="2:5" x14ac:dyDescent="0.3">
      <c r="B278" s="45"/>
    </row>
    <row r="281" spans="2:5" x14ac:dyDescent="0.3">
      <c r="C281" s="9"/>
    </row>
    <row r="283" spans="2:5" x14ac:dyDescent="0.3">
      <c r="B283"/>
    </row>
    <row r="286" spans="2:5" x14ac:dyDescent="0.3">
      <c r="B286"/>
      <c r="C286" s="432"/>
      <c r="E286"/>
    </row>
    <row r="288" spans="2:5" x14ac:dyDescent="0.3">
      <c r="C288" s="500"/>
    </row>
    <row r="293" spans="2:9" x14ac:dyDescent="0.3">
      <c r="B293" s="499"/>
      <c r="C293" s="499"/>
      <c r="D293" s="499"/>
      <c r="E293" s="499"/>
      <c r="F293" s="499"/>
      <c r="G293" s="499"/>
    </row>
    <row r="294" spans="2:9" x14ac:dyDescent="0.3">
      <c r="B294" s="498"/>
      <c r="C294" s="497"/>
      <c r="D294" s="497"/>
      <c r="E294" s="497"/>
      <c r="F294" s="497"/>
      <c r="G294" s="497"/>
    </row>
    <row r="295" spans="2:9" x14ac:dyDescent="0.3">
      <c r="B295" s="498"/>
      <c r="C295" s="497"/>
      <c r="D295" s="497"/>
      <c r="E295" s="497"/>
      <c r="F295" s="497"/>
      <c r="G295" s="497"/>
      <c r="H295"/>
      <c r="I295"/>
    </row>
    <row r="296" spans="2:9" x14ac:dyDescent="0.3">
      <c r="B296" s="498"/>
      <c r="C296" s="497"/>
      <c r="D296" s="497"/>
      <c r="E296" s="497"/>
      <c r="F296" s="497"/>
      <c r="G296" s="497"/>
    </row>
    <row r="297" spans="2:9" x14ac:dyDescent="0.3">
      <c r="B297" s="498"/>
      <c r="C297" s="497"/>
      <c r="D297" s="497"/>
      <c r="E297" s="497"/>
      <c r="F297" s="497"/>
      <c r="G297" s="497"/>
      <c r="H297"/>
    </row>
    <row r="298" spans="2:9" x14ac:dyDescent="0.3">
      <c r="B298" s="498"/>
      <c r="C298" s="497"/>
      <c r="D298" s="497"/>
      <c r="E298" s="497"/>
      <c r="F298" s="497"/>
      <c r="G298" s="497"/>
    </row>
    <row r="299" spans="2:9" x14ac:dyDescent="0.3">
      <c r="B299" s="498"/>
      <c r="C299" s="497"/>
      <c r="D299" s="497"/>
      <c r="E299" s="497"/>
      <c r="F299" s="497"/>
      <c r="G299" s="497"/>
      <c r="H299"/>
    </row>
    <row r="300" spans="2:9" x14ac:dyDescent="0.3">
      <c r="B300" s="498"/>
      <c r="C300" s="497"/>
      <c r="D300" s="497"/>
      <c r="E300" s="497"/>
      <c r="F300" s="497"/>
      <c r="G300" s="497"/>
    </row>
    <row r="301" spans="2:9" x14ac:dyDescent="0.3">
      <c r="B301" s="498"/>
      <c r="C301" s="497"/>
      <c r="D301" s="497"/>
      <c r="E301" s="497"/>
      <c r="F301" s="497"/>
      <c r="G301" s="497"/>
    </row>
    <row r="302" spans="2:9" x14ac:dyDescent="0.3">
      <c r="B302" s="498"/>
      <c r="C302" s="497"/>
      <c r="D302" s="497"/>
      <c r="E302" s="497"/>
      <c r="F302" s="497"/>
      <c r="G302" s="497"/>
      <c r="H302"/>
    </row>
    <row r="303" spans="2:9" x14ac:dyDescent="0.3">
      <c r="B303" s="498"/>
      <c r="C303" s="497"/>
      <c r="D303" s="497"/>
      <c r="E303" s="497"/>
      <c r="F303" s="497"/>
      <c r="G303" s="497"/>
    </row>
    <row r="304" spans="2:9" x14ac:dyDescent="0.3">
      <c r="B304" s="498"/>
      <c r="C304" s="497"/>
      <c r="D304" s="497"/>
      <c r="E304" s="497"/>
      <c r="F304" s="497"/>
      <c r="G304" s="497"/>
    </row>
    <row r="305" spans="2:7" x14ac:dyDescent="0.3">
      <c r="B305" s="498"/>
      <c r="C305" s="497"/>
      <c r="D305" s="497"/>
      <c r="E305" s="497"/>
      <c r="F305" s="497"/>
      <c r="G305" s="497"/>
    </row>
    <row r="306" spans="2:7" x14ac:dyDescent="0.3">
      <c r="B306" s="498"/>
      <c r="C306" s="497"/>
      <c r="D306" s="497"/>
      <c r="E306" s="497"/>
      <c r="F306" s="497"/>
      <c r="G306" s="497"/>
    </row>
    <row r="307" spans="2:7" x14ac:dyDescent="0.3">
      <c r="B307" s="498"/>
      <c r="C307" s="497"/>
      <c r="D307" s="497"/>
      <c r="E307" s="497"/>
      <c r="F307" s="497"/>
      <c r="G307" s="497"/>
    </row>
    <row r="308" spans="2:7" x14ac:dyDescent="0.3">
      <c r="B308" s="498"/>
      <c r="C308" s="497"/>
      <c r="D308" s="497"/>
      <c r="E308" s="497"/>
      <c r="F308" s="497"/>
      <c r="G308" s="497"/>
    </row>
    <row r="309" spans="2:7" x14ac:dyDescent="0.3">
      <c r="B309" s="498"/>
      <c r="C309" s="497"/>
      <c r="D309" s="497"/>
      <c r="E309" s="497"/>
      <c r="F309" s="497"/>
      <c r="G309" s="497"/>
    </row>
    <row r="310" spans="2:7" x14ac:dyDescent="0.3">
      <c r="B310" s="498"/>
      <c r="C310" s="497"/>
      <c r="D310" s="497"/>
      <c r="E310" s="497"/>
      <c r="F310" s="497"/>
      <c r="G310" s="497"/>
    </row>
    <row r="311" spans="2:7" x14ac:dyDescent="0.3">
      <c r="B311" s="498"/>
      <c r="C311" s="497"/>
      <c r="D311" s="497"/>
      <c r="E311" s="497"/>
      <c r="F311" s="497"/>
      <c r="G311" s="497"/>
    </row>
    <row r="312" spans="2:7" x14ac:dyDescent="0.3">
      <c r="B312" s="498"/>
      <c r="C312" s="497"/>
      <c r="D312" s="497"/>
      <c r="E312" s="497"/>
      <c r="F312" s="497"/>
      <c r="G312" s="497"/>
    </row>
    <row r="313" spans="2:7" x14ac:dyDescent="0.3">
      <c r="B313" s="498"/>
      <c r="C313" s="497"/>
      <c r="D313" s="497"/>
      <c r="E313" s="497"/>
      <c r="F313" s="497"/>
      <c r="G313" s="497"/>
    </row>
    <row r="315" spans="2:7" x14ac:dyDescent="0.3">
      <c r="D315" s="5"/>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315"/>
  <sheetViews>
    <sheetView topLeftCell="A85" zoomScaleNormal="100" workbookViewId="0">
      <selection activeCell="C59" sqref="C59"/>
    </sheetView>
  </sheetViews>
  <sheetFormatPr defaultColWidth="8.85546875" defaultRowHeight="18.75" x14ac:dyDescent="0.3"/>
  <cols>
    <col min="1" max="1" width="14.28515625" style="1" bestFit="1" customWidth="1"/>
    <col min="2" max="2" width="37" style="1" customWidth="1"/>
    <col min="3" max="3" width="28.85546875" style="1" customWidth="1"/>
    <col min="4" max="4" width="20.28515625" style="1" customWidth="1"/>
    <col min="5" max="5" width="19.5703125" style="1" customWidth="1"/>
    <col min="6" max="6" width="20.28515625" style="1" customWidth="1"/>
    <col min="7" max="7" width="21.7109375" style="1" customWidth="1"/>
    <col min="8" max="8" width="15.7109375" style="1" customWidth="1"/>
    <col min="9" max="34" width="21.7109375" style="1" customWidth="1"/>
    <col min="35" max="16384" width="8.85546875" style="1"/>
  </cols>
  <sheetData>
    <row r="2" spans="1:34" x14ac:dyDescent="0.3">
      <c r="A2" s="472">
        <v>1</v>
      </c>
      <c r="B2" s="2" t="s">
        <v>1156</v>
      </c>
    </row>
    <row r="3" spans="1:34" x14ac:dyDescent="0.3">
      <c r="B3" s="2" t="s">
        <v>1155</v>
      </c>
      <c r="E3" s="9"/>
    </row>
    <row r="4" spans="1:34" x14ac:dyDescent="0.3">
      <c r="B4" s="2" t="s">
        <v>1154</v>
      </c>
    </row>
    <row r="5" spans="1:34" x14ac:dyDescent="0.3">
      <c r="B5" s="2" t="s">
        <v>1153</v>
      </c>
    </row>
    <row r="6" spans="1:34" x14ac:dyDescent="0.3">
      <c r="B6" s="2" t="s">
        <v>1152</v>
      </c>
      <c r="C6" s="5"/>
      <c r="D6" s="441"/>
    </row>
    <row r="7" spans="1:34" x14ac:dyDescent="0.3">
      <c r="C7" s="5"/>
      <c r="D7" s="441"/>
      <c r="F7"/>
    </row>
    <row r="8" spans="1:34" x14ac:dyDescent="0.3">
      <c r="B8" s="45" t="s">
        <v>4</v>
      </c>
      <c r="D8" s="441"/>
    </row>
    <row r="9" spans="1:34" x14ac:dyDescent="0.3">
      <c r="B9" s="466" t="s">
        <v>97</v>
      </c>
      <c r="C9" s="5">
        <v>400000000</v>
      </c>
      <c r="E9" s="8"/>
      <c r="F9" s="8"/>
    </row>
    <row r="10" spans="1:34" x14ac:dyDescent="0.3">
      <c r="B10" s="1" t="s">
        <v>83</v>
      </c>
      <c r="C10" s="557">
        <v>7.0000000000000007E-2</v>
      </c>
      <c r="D10" s="22"/>
      <c r="E10" s="22"/>
      <c r="F10" s="22"/>
      <c r="H10" s="6"/>
      <c r="I10" s="65">
        <v>0</v>
      </c>
      <c r="J10" s="65">
        <v>1</v>
      </c>
      <c r="K10" s="65">
        <v>2</v>
      </c>
      <c r="L10" s="65">
        <v>3</v>
      </c>
      <c r="M10" s="65">
        <v>4</v>
      </c>
      <c r="N10" s="65">
        <v>5</v>
      </c>
      <c r="O10" s="65">
        <v>6</v>
      </c>
      <c r="P10" s="65">
        <v>7</v>
      </c>
      <c r="Q10" s="65">
        <v>8</v>
      </c>
      <c r="R10" s="65">
        <v>9</v>
      </c>
      <c r="S10" s="65">
        <v>10</v>
      </c>
      <c r="T10" s="65">
        <v>11</v>
      </c>
      <c r="U10" s="65">
        <v>12</v>
      </c>
      <c r="V10" s="65">
        <v>13</v>
      </c>
      <c r="W10" s="65">
        <v>14</v>
      </c>
      <c r="X10" s="65">
        <v>15</v>
      </c>
      <c r="Y10" s="65">
        <v>16</v>
      </c>
      <c r="Z10" s="65">
        <v>17</v>
      </c>
      <c r="AA10" s="65">
        <v>18</v>
      </c>
      <c r="AB10" s="65">
        <v>19</v>
      </c>
      <c r="AC10" s="65">
        <v>20</v>
      </c>
      <c r="AD10" s="65">
        <v>21</v>
      </c>
      <c r="AE10" s="65">
        <v>22</v>
      </c>
      <c r="AF10" s="65">
        <v>23</v>
      </c>
      <c r="AG10" s="65">
        <v>24</v>
      </c>
      <c r="AH10" s="65">
        <v>25</v>
      </c>
    </row>
    <row r="11" spans="1:34" x14ac:dyDescent="0.3">
      <c r="B11" s="1" t="s">
        <v>5</v>
      </c>
      <c r="C11" s="46">
        <v>25</v>
      </c>
      <c r="D11" s="544" t="s">
        <v>6</v>
      </c>
      <c r="E11" s="433"/>
      <c r="F11" s="433"/>
      <c r="H11" s="6" t="s">
        <v>17</v>
      </c>
      <c r="I11" s="7">
        <f>-C9</f>
        <v>-400000000</v>
      </c>
      <c r="J11" s="11">
        <f>$C$20</f>
        <v>34324206.88826625</v>
      </c>
      <c r="K11" s="11">
        <f>$C$20</f>
        <v>34324206.88826625</v>
      </c>
      <c r="L11" s="11">
        <f>$C$20</f>
        <v>34324206.88826625</v>
      </c>
      <c r="M11" s="11">
        <f>$C$20</f>
        <v>34324206.88826625</v>
      </c>
      <c r="N11" s="11">
        <f>$C$20</f>
        <v>34324206.88826625</v>
      </c>
      <c r="O11" s="11">
        <f>$C$20</f>
        <v>34324206.88826625</v>
      </c>
      <c r="P11" s="11">
        <f>$C$20</f>
        <v>34324206.88826625</v>
      </c>
      <c r="Q11" s="11">
        <f>$C$20</f>
        <v>34324206.88826625</v>
      </c>
      <c r="R11" s="11">
        <f>$C$20</f>
        <v>34324206.88826625</v>
      </c>
      <c r="S11" s="11">
        <f>$C$20</f>
        <v>34324206.88826625</v>
      </c>
      <c r="T11" s="11">
        <f>$C$20</f>
        <v>34324206.88826625</v>
      </c>
      <c r="U11" s="11">
        <f>$C$20</f>
        <v>34324206.88826625</v>
      </c>
      <c r="V11" s="11">
        <f>$C$20</f>
        <v>34324206.88826625</v>
      </c>
      <c r="W11" s="11">
        <f>$C$20</f>
        <v>34324206.88826625</v>
      </c>
      <c r="X11" s="11">
        <f>$C$20</f>
        <v>34324206.88826625</v>
      </c>
      <c r="Y11" s="11">
        <f>$C$20</f>
        <v>34324206.88826625</v>
      </c>
      <c r="Z11" s="11">
        <f>$C$20</f>
        <v>34324206.88826625</v>
      </c>
      <c r="AA11" s="11">
        <f>$C$20</f>
        <v>34324206.88826625</v>
      </c>
      <c r="AB11" s="11">
        <f>$C$20</f>
        <v>34324206.88826625</v>
      </c>
      <c r="AC11" s="11">
        <f>$C$20</f>
        <v>34324206.88826625</v>
      </c>
      <c r="AD11" s="11">
        <f>$C$20</f>
        <v>34324206.88826625</v>
      </c>
      <c r="AE11" s="11">
        <f>$C$20</f>
        <v>34324206.88826625</v>
      </c>
      <c r="AF11" s="11">
        <f>$C$20</f>
        <v>34324206.88826625</v>
      </c>
      <c r="AG11" s="11">
        <f>$C$20</f>
        <v>34324206.88826625</v>
      </c>
      <c r="AH11" s="11">
        <f>$C$20</f>
        <v>34324206.88826625</v>
      </c>
    </row>
    <row r="12" spans="1:34" x14ac:dyDescent="0.3">
      <c r="D12" s="440"/>
      <c r="E12" s="440"/>
      <c r="F12"/>
      <c r="H12" s="6" t="s">
        <v>38</v>
      </c>
      <c r="I12" s="65">
        <f>1/(1+$C$10)^I10</f>
        <v>1</v>
      </c>
      <c r="J12" s="65">
        <f>1/(1+$C$10)^J10</f>
        <v>0.93457943925233644</v>
      </c>
      <c r="K12" s="65">
        <f>1/(1+$C$10)^K10</f>
        <v>0.87343872827321156</v>
      </c>
      <c r="L12" s="65">
        <f>1/(1+$C$10)^L10</f>
        <v>0.81629787689085187</v>
      </c>
      <c r="M12" s="65">
        <f>1/(1+$C$10)^M10</f>
        <v>0.7628952120475252</v>
      </c>
      <c r="N12" s="65">
        <f>1/(1+$C$10)^N10</f>
        <v>0.71298617948366838</v>
      </c>
      <c r="O12" s="65">
        <f>1/(1+$C$10)^O10</f>
        <v>0.66634222381651254</v>
      </c>
      <c r="P12" s="65">
        <f>1/(1+$C$10)^P10</f>
        <v>0.62274974188459109</v>
      </c>
      <c r="Q12" s="65">
        <f>1/(1+$C$10)^Q10</f>
        <v>0.5820091045650384</v>
      </c>
      <c r="R12" s="65">
        <f>1/(1+$C$10)^R10</f>
        <v>0.54393374258414806</v>
      </c>
      <c r="S12" s="65">
        <f>1/(1+$C$10)^S10</f>
        <v>0.5083492921347178</v>
      </c>
      <c r="T12" s="65">
        <f>1/(1+$C$10)^T10</f>
        <v>0.47509279638758667</v>
      </c>
      <c r="U12" s="65">
        <f>1/(1+$C$10)^U10</f>
        <v>0.44401195924073528</v>
      </c>
      <c r="V12" s="65">
        <f>1/(1+$C$10)^V10</f>
        <v>0.41496444788853759</v>
      </c>
      <c r="W12" s="65">
        <f>1/(1+$C$10)^W10</f>
        <v>0.3878172410173249</v>
      </c>
      <c r="X12" s="65">
        <f>1/(1+$C$10)^X10</f>
        <v>0.36244601964235967</v>
      </c>
      <c r="Y12" s="65">
        <f>1/(1+$C$10)^Y10</f>
        <v>0.33873459779659787</v>
      </c>
      <c r="Z12" s="65">
        <f>1/(1+$C$10)^Z10</f>
        <v>0.31657439046411018</v>
      </c>
      <c r="AA12" s="65">
        <f>1/(1+$C$10)^AA10</f>
        <v>0.29586391632159825</v>
      </c>
      <c r="AB12" s="65">
        <f>1/(1+$C$10)^AB10</f>
        <v>0.27650833301083949</v>
      </c>
      <c r="AC12" s="65">
        <f>1/(1+$C$10)^AC10</f>
        <v>0.2584190028138687</v>
      </c>
      <c r="AD12" s="65">
        <f>1/(1+$C$10)^AD10</f>
        <v>0.24151308674193336</v>
      </c>
      <c r="AE12" s="65">
        <f>1/(1+$C$10)^AE10</f>
        <v>0.22571316517937698</v>
      </c>
      <c r="AF12" s="65">
        <f>1/(1+$C$10)^AF10</f>
        <v>0.21094688334521211</v>
      </c>
      <c r="AG12" s="65">
        <f>1/(1+$C$10)^AG10</f>
        <v>0.19714661994879637</v>
      </c>
      <c r="AH12" s="65">
        <f>1/(1+$C$10)^AH10</f>
        <v>0.18424917752223957</v>
      </c>
    </row>
    <row r="13" spans="1:34" x14ac:dyDescent="0.3">
      <c r="B13" s="1" t="s">
        <v>938</v>
      </c>
      <c r="C13" s="5"/>
      <c r="D13" s="493"/>
      <c r="E13" s="64"/>
      <c r="F13" s="64"/>
      <c r="G13" s="90"/>
      <c r="H13" s="6" t="s">
        <v>39</v>
      </c>
      <c r="I13" s="7">
        <f>I12*I11</f>
        <v>-400000000</v>
      </c>
      <c r="J13" s="7">
        <f>J12*J11</f>
        <v>32078698.026417058</v>
      </c>
      <c r="K13" s="7">
        <f>K12*K11</f>
        <v>29980091.613473881</v>
      </c>
      <c r="L13" s="7">
        <f>L12*L11</f>
        <v>28018777.208854094</v>
      </c>
      <c r="M13" s="7">
        <f>M12*M11</f>
        <v>26185773.092387006</v>
      </c>
      <c r="N13" s="7">
        <f>N12*N11</f>
        <v>24472685.133071966</v>
      </c>
      <c r="O13" s="7">
        <f>O12*O11</f>
        <v>22871668.34866539</v>
      </c>
      <c r="P13" s="7">
        <f>P12*P11</f>
        <v>21375390.98006111</v>
      </c>
      <c r="Q13" s="7">
        <f>Q12*Q11</f>
        <v>19977000.915944964</v>
      </c>
      <c r="R13" s="7">
        <f>R12*R11</f>
        <v>18670094.313967258</v>
      </c>
      <c r="S13" s="7">
        <f>S12*S11</f>
        <v>17448686.274735752</v>
      </c>
      <c r="T13" s="7">
        <f>T12*T11</f>
        <v>16307183.434332477</v>
      </c>
      <c r="U13" s="7">
        <f>U12*U11</f>
        <v>15240358.349843439</v>
      </c>
      <c r="V13" s="7">
        <f>V12*V11</f>
        <v>14243325.560601344</v>
      </c>
      <c r="W13" s="7">
        <f>W12*W11</f>
        <v>13311519.215515276</v>
      </c>
      <c r="X13" s="7">
        <f>X12*X11</f>
        <v>12440672.164032966</v>
      </c>
      <c r="Y13" s="7">
        <f>Y12*Y11</f>
        <v>11626796.414984083</v>
      </c>
      <c r="Z13" s="7">
        <f>Z12*Z11</f>
        <v>10866164.8738169</v>
      </c>
      <c r="AA13" s="7">
        <f>AA12*AA11</f>
        <v>10155294.274595233</v>
      </c>
      <c r="AB13" s="7">
        <f>AB12*AB11</f>
        <v>9490929.2285936754</v>
      </c>
      <c r="AC13" s="7">
        <f>AC12*AC11</f>
        <v>8870027.3164426871</v>
      </c>
      <c r="AD13" s="7">
        <f>AD12*AD11</f>
        <v>8289745.1555539137</v>
      </c>
      <c r="AE13" s="7">
        <f>AE12*AE11</f>
        <v>7747425.3790223496</v>
      </c>
      <c r="AF13" s="7">
        <f>AF12*AF11</f>
        <v>7240584.4663760271</v>
      </c>
      <c r="AG13" s="7">
        <f>AG12*AG11</f>
        <v>6766901.3704448845</v>
      </c>
      <c r="AH13" s="7">
        <f>AH12*AH11</f>
        <v>6324206.8882662468</v>
      </c>
    </row>
    <row r="14" spans="1:34" x14ac:dyDescent="0.3">
      <c r="C14" s="5"/>
    </row>
    <row r="15" spans="1:34" x14ac:dyDescent="0.3">
      <c r="B15" s="45" t="s">
        <v>15</v>
      </c>
      <c r="C15" s="9"/>
      <c r="D15" s="441"/>
      <c r="E15" s="8"/>
      <c r="F15"/>
      <c r="G15" s="8"/>
      <c r="H15" s="1" t="s">
        <v>97</v>
      </c>
      <c r="I15" s="5">
        <f>SUM(J13:AH13)</f>
        <v>400000000.00000006</v>
      </c>
      <c r="K15"/>
    </row>
    <row r="16" spans="1:34" x14ac:dyDescent="0.3">
      <c r="B16" s="45"/>
      <c r="C16" s="466"/>
      <c r="D16" s="8"/>
      <c r="E16" s="492"/>
      <c r="F16" s="492"/>
      <c r="G16" s="492"/>
      <c r="H16" s="1" t="s">
        <v>1151</v>
      </c>
      <c r="I16" s="5">
        <f>I15+I13</f>
        <v>0</v>
      </c>
    </row>
    <row r="17" spans="1:35" x14ac:dyDescent="0.3">
      <c r="C17" s="90">
        <f>((1/C10)-(1/(C10*(C10+1)^C11)))</f>
        <v>11.653583178253719</v>
      </c>
      <c r="E17" s="491"/>
      <c r="F17"/>
      <c r="G17" s="491"/>
      <c r="H17" s="454"/>
      <c r="I17" s="454"/>
    </row>
    <row r="18" spans="1:35" x14ac:dyDescent="0.3">
      <c r="D18" s="15"/>
      <c r="E18" s="15"/>
      <c r="F18" s="15"/>
      <c r="G18" s="15"/>
      <c r="H18" s="454"/>
      <c r="I18" s="454"/>
    </row>
    <row r="19" spans="1:35" x14ac:dyDescent="0.3">
      <c r="F19"/>
      <c r="H19" s="477"/>
      <c r="I19" s="477"/>
    </row>
    <row r="20" spans="1:35" x14ac:dyDescent="0.3">
      <c r="B20" s="235" t="s">
        <v>927</v>
      </c>
      <c r="C20" s="43">
        <f>C9/C17</f>
        <v>34324206.88826625</v>
      </c>
      <c r="H20" s="451"/>
      <c r="I20" s="451"/>
    </row>
    <row r="21" spans="1:35" x14ac:dyDescent="0.3">
      <c r="B21" s="45"/>
      <c r="C21" s="490"/>
      <c r="D21" s="490"/>
      <c r="E21" s="489"/>
    </row>
    <row r="22" spans="1:35" x14ac:dyDescent="0.3">
      <c r="C22" s="488"/>
      <c r="D22" s="488"/>
      <c r="E22"/>
    </row>
    <row r="23" spans="1:35" x14ac:dyDescent="0.3">
      <c r="B23" s="457"/>
      <c r="C23" s="486"/>
      <c r="D23" s="486"/>
      <c r="E23" s="485"/>
    </row>
    <row r="24" spans="1:35" x14ac:dyDescent="0.3">
      <c r="B24" s="484"/>
      <c r="C24" s="484"/>
      <c r="D24" s="484"/>
      <c r="E24" s="483"/>
      <c r="AE24" s="120"/>
      <c r="AH24" s="120"/>
      <c r="AI24" s="120"/>
    </row>
    <row r="25" spans="1:35" x14ac:dyDescent="0.3">
      <c r="A25" s="472">
        <v>2</v>
      </c>
      <c r="B25" s="2" t="s">
        <v>1150</v>
      </c>
      <c r="C25" s="5"/>
    </row>
    <row r="26" spans="1:35" x14ac:dyDescent="0.3">
      <c r="B26" s="2" t="s">
        <v>1149</v>
      </c>
    </row>
    <row r="27" spans="1:35" x14ac:dyDescent="0.3">
      <c r="B27" s="2" t="s">
        <v>1148</v>
      </c>
      <c r="C27" s="5"/>
    </row>
    <row r="28" spans="1:35" x14ac:dyDescent="0.3">
      <c r="B28" s="2" t="s">
        <v>1147</v>
      </c>
    </row>
    <row r="29" spans="1:35" x14ac:dyDescent="0.3">
      <c r="C29" s="16"/>
      <c r="L29" s="444"/>
      <c r="M29" s="444"/>
      <c r="N29" s="444"/>
    </row>
    <row r="30" spans="1:35" x14ac:dyDescent="0.3">
      <c r="C30" s="482"/>
      <c r="E30" s="444"/>
      <c r="F30"/>
      <c r="G30" s="444"/>
      <c r="H30" s="444"/>
      <c r="I30" s="444"/>
      <c r="J30" s="444"/>
      <c r="K30" s="444"/>
      <c r="L30" s="444"/>
      <c r="M30" s="444"/>
      <c r="N30" s="444"/>
    </row>
    <row r="31" spans="1:35" x14ac:dyDescent="0.3">
      <c r="B31" s="45" t="s">
        <v>4</v>
      </c>
      <c r="E31" s="444"/>
      <c r="F31" s="444"/>
      <c r="H31" s="444"/>
      <c r="I31" s="444"/>
      <c r="J31" s="444"/>
      <c r="K31" s="444"/>
      <c r="L31" s="444"/>
      <c r="M31" s="444"/>
      <c r="N31" s="444"/>
    </row>
    <row r="32" spans="1:35" x14ac:dyDescent="0.3">
      <c r="B32" s="466" t="s">
        <v>1140</v>
      </c>
      <c r="C32" s="5"/>
      <c r="D32" s="441"/>
      <c r="F32" s="444"/>
      <c r="G32" s="444"/>
      <c r="H32" s="444"/>
      <c r="I32" s="444"/>
      <c r="J32" s="444"/>
      <c r="K32" s="444"/>
      <c r="L32" s="444"/>
      <c r="M32" s="444"/>
      <c r="N32" s="444"/>
    </row>
    <row r="33" spans="1:14" x14ac:dyDescent="0.3">
      <c r="B33" s="1" t="s">
        <v>1138</v>
      </c>
      <c r="C33" s="5">
        <v>15000</v>
      </c>
      <c r="D33" s="441"/>
      <c r="E33" s="44"/>
      <c r="F33" s="444"/>
      <c r="G33" s="444"/>
      <c r="H33" s="444"/>
      <c r="I33" s="444"/>
      <c r="J33" s="444"/>
      <c r="K33" s="444"/>
      <c r="L33" s="444"/>
      <c r="M33" s="444"/>
      <c r="N33" s="444"/>
    </row>
    <row r="34" spans="1:14" x14ac:dyDescent="0.3">
      <c r="B34" s="1" t="s">
        <v>1137</v>
      </c>
      <c r="C34" s="5">
        <v>5000</v>
      </c>
      <c r="D34" s="441"/>
      <c r="E34" s="5"/>
      <c r="F34" s="444"/>
      <c r="H34" s="444"/>
      <c r="I34" s="444"/>
      <c r="J34" s="444"/>
      <c r="K34" s="444"/>
      <c r="L34" s="444"/>
      <c r="M34" s="444"/>
      <c r="N34" s="444"/>
    </row>
    <row r="35" spans="1:14" x14ac:dyDescent="0.3">
      <c r="B35" s="1" t="s">
        <v>1136</v>
      </c>
      <c r="C35" s="1">
        <v>3</v>
      </c>
      <c r="D35" s="441" t="s">
        <v>6</v>
      </c>
      <c r="E35" s="5"/>
      <c r="F35" s="444"/>
      <c r="G35" s="444"/>
      <c r="H35" s="444"/>
      <c r="I35" s="444"/>
      <c r="J35" s="444"/>
      <c r="K35" s="444"/>
      <c r="L35" s="444"/>
      <c r="M35" s="444"/>
      <c r="N35" s="444"/>
    </row>
    <row r="36" spans="1:14" x14ac:dyDescent="0.3">
      <c r="A36" s="120"/>
      <c r="B36" s="1" t="s">
        <v>1135</v>
      </c>
      <c r="C36" s="9">
        <v>0.06</v>
      </c>
      <c r="F36" s="444"/>
      <c r="G36" s="444"/>
      <c r="H36" s="444"/>
      <c r="I36" s="444"/>
      <c r="J36" s="444"/>
      <c r="K36" s="444"/>
      <c r="L36" s="444"/>
      <c r="M36" s="444"/>
      <c r="N36" s="444"/>
    </row>
    <row r="37" spans="1:14" x14ac:dyDescent="0.3">
      <c r="C37" s="9"/>
      <c r="E37" s="5"/>
      <c r="F37" s="444"/>
      <c r="H37" s="444"/>
      <c r="I37" s="444"/>
      <c r="J37" s="444"/>
      <c r="K37" s="444"/>
      <c r="L37" s="444"/>
      <c r="M37" s="444"/>
      <c r="N37" s="444"/>
    </row>
    <row r="38" spans="1:14" x14ac:dyDescent="0.3">
      <c r="B38" s="466" t="s">
        <v>1139</v>
      </c>
      <c r="C38" s="5"/>
      <c r="D38" s="441"/>
      <c r="F38" s="444"/>
      <c r="G38" s="444"/>
      <c r="H38" s="444"/>
      <c r="I38" s="444"/>
      <c r="J38" s="444"/>
      <c r="K38" s="444"/>
      <c r="L38" s="444"/>
      <c r="M38" s="444"/>
      <c r="N38" s="444"/>
    </row>
    <row r="39" spans="1:14" x14ac:dyDescent="0.3">
      <c r="B39" s="1" t="s">
        <v>1138</v>
      </c>
      <c r="C39" s="5">
        <v>10000</v>
      </c>
      <c r="D39" s="441"/>
      <c r="E39" s="446"/>
      <c r="F39" s="444"/>
      <c r="H39" s="444"/>
      <c r="I39" s="444"/>
      <c r="J39" s="444"/>
      <c r="K39" s="444"/>
      <c r="L39" s="444"/>
      <c r="M39" s="444"/>
      <c r="N39" s="444"/>
    </row>
    <row r="40" spans="1:14" x14ac:dyDescent="0.3">
      <c r="B40" s="1" t="s">
        <v>1137</v>
      </c>
      <c r="C40" s="5">
        <v>6000</v>
      </c>
      <c r="D40" s="441"/>
      <c r="F40"/>
      <c r="G40" s="444"/>
      <c r="H40" s="444"/>
      <c r="I40" s="444"/>
      <c r="J40" s="444"/>
      <c r="K40" s="444"/>
      <c r="L40" s="444"/>
      <c r="M40" s="444"/>
      <c r="N40" s="444"/>
    </row>
    <row r="41" spans="1:14" x14ac:dyDescent="0.3">
      <c r="B41" s="1" t="s">
        <v>1136</v>
      </c>
      <c r="C41" s="1">
        <v>2</v>
      </c>
      <c r="D41" s="441" t="s">
        <v>6</v>
      </c>
      <c r="E41" s="444"/>
      <c r="F41" s="444"/>
      <c r="G41" s="444"/>
      <c r="H41" s="444"/>
      <c r="I41" s="444"/>
      <c r="J41" s="444"/>
      <c r="K41" s="444"/>
      <c r="L41" s="444"/>
      <c r="M41" s="444"/>
      <c r="N41" s="444"/>
    </row>
    <row r="42" spans="1:14" x14ac:dyDescent="0.3">
      <c r="B42" s="1" t="s">
        <v>1135</v>
      </c>
      <c r="C42" s="9">
        <v>0.06</v>
      </c>
      <c r="E42" s="444"/>
      <c r="F42" s="444"/>
      <c r="G42" s="444"/>
      <c r="H42" s="444"/>
      <c r="I42" s="444"/>
      <c r="J42" s="444"/>
      <c r="K42" s="444"/>
      <c r="L42" s="27"/>
      <c r="M42" s="27"/>
      <c r="N42" s="27"/>
    </row>
    <row r="43" spans="1:14" x14ac:dyDescent="0.3">
      <c r="E43" s="27"/>
      <c r="F43" s="27"/>
      <c r="G43" s="27"/>
      <c r="H43" s="27"/>
      <c r="I43" s="27"/>
      <c r="J43" s="27"/>
      <c r="K43" s="27"/>
      <c r="L43" s="27"/>
      <c r="M43" s="27"/>
      <c r="N43" s="27"/>
    </row>
    <row r="44" spans="1:14" x14ac:dyDescent="0.3">
      <c r="C44" s="9"/>
      <c r="D44" s="441"/>
      <c r="H44" s="27"/>
      <c r="I44" s="27"/>
      <c r="J44" s="27"/>
      <c r="K44" s="27"/>
      <c r="L44" s="27"/>
      <c r="M44" s="27"/>
      <c r="N44" s="27"/>
    </row>
    <row r="45" spans="1:14" x14ac:dyDescent="0.3">
      <c r="I45" s="27"/>
      <c r="J45" s="27"/>
      <c r="K45" s="27"/>
      <c r="L45" s="27"/>
      <c r="M45" s="27"/>
      <c r="N45" s="27"/>
    </row>
    <row r="46" spans="1:14" x14ac:dyDescent="0.3">
      <c r="B46" s="45" t="s">
        <v>15</v>
      </c>
      <c r="C46" s="446"/>
      <c r="D46" s="27"/>
      <c r="E46" s="27"/>
      <c r="F46" s="27"/>
      <c r="G46" s="27"/>
      <c r="I46" s="27"/>
      <c r="J46" s="27"/>
      <c r="K46" s="27"/>
      <c r="L46" s="27"/>
      <c r="M46" s="27"/>
      <c r="N46" s="27"/>
    </row>
    <row r="47" spans="1:14" x14ac:dyDescent="0.3">
      <c r="I47" s="27"/>
      <c r="J47" s="27"/>
      <c r="K47" s="27"/>
      <c r="L47" s="27"/>
      <c r="M47" s="27"/>
      <c r="N47" s="27"/>
    </row>
    <row r="48" spans="1:14" x14ac:dyDescent="0.3">
      <c r="C48" s="517" t="s">
        <v>911</v>
      </c>
      <c r="D48" s="553">
        <v>0</v>
      </c>
      <c r="E48" s="553">
        <v>1</v>
      </c>
      <c r="F48" s="553">
        <v>2</v>
      </c>
      <c r="G48" s="553">
        <v>3</v>
      </c>
      <c r="I48" s="27"/>
      <c r="J48" s="27"/>
      <c r="K48" s="27"/>
      <c r="L48" s="27"/>
      <c r="M48" s="27"/>
      <c r="N48" s="27"/>
    </row>
    <row r="49" spans="2:14" x14ac:dyDescent="0.3">
      <c r="C49" s="517" t="s">
        <v>1132</v>
      </c>
      <c r="D49" s="518">
        <v>15000</v>
      </c>
      <c r="E49" s="518">
        <v>5000</v>
      </c>
      <c r="F49" s="518">
        <v>5000</v>
      </c>
      <c r="G49" s="518">
        <v>5000</v>
      </c>
      <c r="I49" s="455"/>
      <c r="J49" s="27"/>
      <c r="K49" s="27"/>
      <c r="L49" s="27"/>
      <c r="M49" s="27"/>
      <c r="N49" s="27"/>
    </row>
    <row r="50" spans="2:14" x14ac:dyDescent="0.3">
      <c r="C50" s="517" t="s">
        <v>1131</v>
      </c>
      <c r="D50" s="520">
        <v>10000</v>
      </c>
      <c r="E50" s="520">
        <v>6000</v>
      </c>
      <c r="F50" s="520">
        <v>6000</v>
      </c>
      <c r="G50" s="520"/>
      <c r="I50" s="455"/>
      <c r="J50" s="27"/>
      <c r="K50" s="27"/>
      <c r="L50" s="27"/>
      <c r="M50" s="27"/>
      <c r="N50" s="27"/>
    </row>
    <row r="51" spans="2:14" x14ac:dyDescent="0.3">
      <c r="C51" s="6" t="s">
        <v>1146</v>
      </c>
      <c r="D51" s="552">
        <f>1/(1+$C$36)^D48</f>
        <v>1</v>
      </c>
      <c r="E51" s="552">
        <f>1/(1+$C$36)^E48</f>
        <v>0.94339622641509424</v>
      </c>
      <c r="F51" s="552">
        <f>1/(1+$C$36)^F48</f>
        <v>0.88999644001423983</v>
      </c>
      <c r="G51" s="552">
        <f>1/(1+$C$36)^G48</f>
        <v>0.8396192830323016</v>
      </c>
      <c r="I51" s="532"/>
      <c r="J51" s="27"/>
      <c r="K51" s="27"/>
      <c r="L51" s="27"/>
      <c r="M51" s="27"/>
      <c r="N51" s="27"/>
    </row>
    <row r="52" spans="2:14" x14ac:dyDescent="0.3">
      <c r="C52" s="517" t="s">
        <v>1129</v>
      </c>
      <c r="D52" s="525">
        <f>D49*D51</f>
        <v>15000</v>
      </c>
      <c r="E52" s="525">
        <f>E49*E51</f>
        <v>4716.9811320754716</v>
      </c>
      <c r="F52" s="525">
        <f>F49*F51</f>
        <v>4449.9822000711993</v>
      </c>
      <c r="G52" s="525">
        <f>G49*G51</f>
        <v>4198.096415161508</v>
      </c>
      <c r="I52"/>
      <c r="J52" s="27"/>
      <c r="K52" s="27"/>
      <c r="L52" s="27"/>
      <c r="M52" s="27"/>
      <c r="N52" s="27"/>
    </row>
    <row r="53" spans="2:14" x14ac:dyDescent="0.3">
      <c r="C53" s="517" t="s">
        <v>1128</v>
      </c>
      <c r="D53" s="535">
        <f>D51*D50</f>
        <v>10000</v>
      </c>
      <c r="E53" s="535">
        <f>E51*E50</f>
        <v>5660.3773584905657</v>
      </c>
      <c r="F53" s="535">
        <f>F51*F50</f>
        <v>5339.9786400854391</v>
      </c>
      <c r="G53" s="535">
        <f>G51*G50</f>
        <v>0</v>
      </c>
      <c r="I53" s="532"/>
      <c r="J53" s="27"/>
      <c r="K53" s="27"/>
      <c r="L53" s="27"/>
      <c r="M53" s="27"/>
      <c r="N53" s="27"/>
    </row>
    <row r="54" spans="2:14" x14ac:dyDescent="0.3">
      <c r="C54" s="27"/>
      <c r="D54" s="27"/>
      <c r="E54" s="455"/>
      <c r="F54" s="455"/>
      <c r="G54" s="27"/>
      <c r="I54" s="452"/>
      <c r="J54" s="27"/>
      <c r="K54" s="27"/>
      <c r="L54" s="27"/>
      <c r="M54" s="27"/>
      <c r="N54" s="27"/>
    </row>
    <row r="55" spans="2:14" x14ac:dyDescent="0.3">
      <c r="C55" s="517" t="s">
        <v>1127</v>
      </c>
      <c r="D55" s="518">
        <f>SUM(D52:G52)</f>
        <v>28365.059747308176</v>
      </c>
      <c r="E55" s="27"/>
      <c r="F55" s="27"/>
      <c r="G55" s="27"/>
      <c r="H55" s="27"/>
      <c r="I55" s="452"/>
      <c r="J55" s="27"/>
      <c r="K55" s="27"/>
      <c r="L55" s="27"/>
      <c r="M55" s="27"/>
      <c r="N55" s="27"/>
    </row>
    <row r="56" spans="2:14" x14ac:dyDescent="0.3">
      <c r="C56" s="551" t="s">
        <v>1126</v>
      </c>
      <c r="D56" s="550">
        <f>SUM(D53:G53)</f>
        <v>21000.355998576004</v>
      </c>
      <c r="E56" s="455"/>
      <c r="F56" s="27"/>
      <c r="G56" s="27"/>
      <c r="H56" s="27"/>
      <c r="I56" s="452"/>
      <c r="J56" s="27"/>
      <c r="K56" s="27"/>
      <c r="L56" s="27"/>
      <c r="M56" s="27"/>
      <c r="N56" s="27"/>
    </row>
    <row r="57" spans="2:14" x14ac:dyDescent="0.3">
      <c r="B57" s="27"/>
      <c r="H57" s="27"/>
      <c r="I57" s="27"/>
      <c r="J57" s="27"/>
      <c r="K57" s="27"/>
      <c r="L57" s="27"/>
      <c r="M57" s="27"/>
      <c r="N57" s="27"/>
    </row>
    <row r="58" spans="2:14" x14ac:dyDescent="0.3">
      <c r="B58" s="27"/>
      <c r="H58" s="27"/>
      <c r="I58" s="27"/>
      <c r="J58" s="27"/>
      <c r="K58" s="27"/>
      <c r="L58" s="27"/>
      <c r="M58" s="27"/>
      <c r="N58" s="27"/>
    </row>
    <row r="59" spans="2:14" x14ac:dyDescent="0.3">
      <c r="B59" s="27" t="s">
        <v>1125</v>
      </c>
      <c r="C59" s="90">
        <f>(1/C42)-(1/(C42*((1+C42)^C35)))</f>
        <v>2.6730119494616407</v>
      </c>
      <c r="F59"/>
      <c r="H59" s="455"/>
      <c r="I59" s="27"/>
      <c r="J59" s="27"/>
      <c r="K59" s="27"/>
      <c r="L59" s="27"/>
      <c r="M59" s="27"/>
      <c r="N59" s="27"/>
    </row>
    <row r="60" spans="2:14" x14ac:dyDescent="0.3">
      <c r="B60" s="27"/>
      <c r="H60" s="455"/>
      <c r="I60" s="27"/>
      <c r="J60" s="27"/>
      <c r="K60" s="27"/>
      <c r="L60" s="27"/>
      <c r="M60" s="27"/>
      <c r="N60" s="27"/>
    </row>
    <row r="61" spans="2:14" x14ac:dyDescent="0.3">
      <c r="B61" s="27" t="s">
        <v>1124</v>
      </c>
      <c r="C61" s="90">
        <f>(1/C42)-(1/(C42*((1+C42)^C41)))</f>
        <v>1.8333926664293365</v>
      </c>
      <c r="H61" s="27"/>
      <c r="I61" s="27"/>
      <c r="J61" s="27"/>
      <c r="K61" s="27"/>
      <c r="L61" s="27"/>
      <c r="M61" s="27"/>
      <c r="N61" s="27"/>
    </row>
    <row r="62" spans="2:14" x14ac:dyDescent="0.3">
      <c r="B62" s="27"/>
      <c r="H62" s="27"/>
      <c r="I62" s="27"/>
      <c r="J62" s="27"/>
      <c r="K62" s="27"/>
      <c r="L62" s="27"/>
      <c r="M62" s="27"/>
      <c r="N62" s="27"/>
    </row>
    <row r="63" spans="2:14" x14ac:dyDescent="0.3">
      <c r="B63" s="549" t="s">
        <v>1123</v>
      </c>
      <c r="C63" s="548">
        <f>D55/C59</f>
        <v>10611.647191858254</v>
      </c>
      <c r="H63" s="532"/>
      <c r="I63" s="27"/>
      <c r="J63" s="27"/>
      <c r="K63" s="27"/>
      <c r="L63" s="27"/>
      <c r="M63" s="27"/>
      <c r="N63" s="27"/>
    </row>
    <row r="64" spans="2:14" x14ac:dyDescent="0.3">
      <c r="B64" s="27"/>
      <c r="H64" s="452"/>
      <c r="I64" s="27"/>
      <c r="J64" s="27"/>
      <c r="K64" s="27"/>
      <c r="L64" s="27"/>
      <c r="M64" s="27"/>
      <c r="N64" s="27"/>
    </row>
    <row r="65" spans="1:14" x14ac:dyDescent="0.3">
      <c r="B65" s="547" t="s">
        <v>1122</v>
      </c>
      <c r="C65" s="546">
        <f>D56/C61</f>
        <v>11454.36893203882</v>
      </c>
      <c r="H65" s="452"/>
      <c r="I65" s="27"/>
      <c r="J65" s="27"/>
      <c r="K65" s="27"/>
      <c r="L65" s="27"/>
      <c r="M65" s="27"/>
      <c r="N65" s="27"/>
    </row>
    <row r="66" spans="1:14" x14ac:dyDescent="0.3">
      <c r="A66" s="120"/>
      <c r="B66" s="531"/>
      <c r="C66" s="455"/>
      <c r="D66" s="452"/>
      <c r="E66" s="452"/>
      <c r="F66" s="452"/>
      <c r="G66" s="452"/>
      <c r="H66" s="452"/>
      <c r="I66" s="27"/>
      <c r="J66" s="27"/>
      <c r="K66" s="27"/>
      <c r="L66" s="27"/>
      <c r="M66" s="28"/>
      <c r="N66" s="27"/>
    </row>
    <row r="67" spans="1:14" x14ac:dyDescent="0.3">
      <c r="A67" s="434" t="s">
        <v>397</v>
      </c>
      <c r="B67" s="27"/>
      <c r="C67" s="469"/>
      <c r="D67" s="27"/>
      <c r="E67" s="27"/>
      <c r="F67" s="27"/>
      <c r="G67" s="27"/>
      <c r="H67" s="27"/>
      <c r="I67" s="443"/>
      <c r="J67" s="27"/>
      <c r="K67" s="27"/>
      <c r="L67" s="27"/>
      <c r="M67" s="27"/>
      <c r="N67" s="27"/>
    </row>
    <row r="68" spans="1:14" x14ac:dyDescent="0.3">
      <c r="B68" s="45" t="s">
        <v>4</v>
      </c>
      <c r="E68" s="27"/>
      <c r="F68" s="27"/>
      <c r="G68" s="27"/>
      <c r="H68" s="27"/>
      <c r="I68" s="27"/>
      <c r="J68" s="27"/>
      <c r="K68" s="27"/>
      <c r="L68" s="27"/>
      <c r="M68" s="27"/>
      <c r="N68" s="27"/>
    </row>
    <row r="69" spans="1:14" x14ac:dyDescent="0.3">
      <c r="B69" s="466" t="s">
        <v>1140</v>
      </c>
      <c r="C69" s="5"/>
      <c r="D69" s="441"/>
      <c r="E69" s="27"/>
      <c r="F69" s="27"/>
      <c r="G69" s="27"/>
      <c r="H69" s="27"/>
      <c r="I69" s="27"/>
      <c r="J69" s="27"/>
      <c r="K69" s="27"/>
      <c r="L69" s="27"/>
      <c r="M69" s="27"/>
      <c r="N69" s="27"/>
    </row>
    <row r="70" spans="1:14" x14ac:dyDescent="0.3">
      <c r="B70" s="1" t="s">
        <v>1138</v>
      </c>
      <c r="C70" s="5">
        <v>15000</v>
      </c>
      <c r="D70" s="441"/>
      <c r="E70" s="27"/>
      <c r="F70" s="27"/>
      <c r="G70" s="27"/>
      <c r="H70" s="27"/>
      <c r="I70" s="27"/>
      <c r="J70" s="27"/>
      <c r="K70" s="27"/>
      <c r="L70" s="27"/>
      <c r="M70" s="27"/>
      <c r="N70" s="27"/>
    </row>
    <row r="71" spans="1:14" x14ac:dyDescent="0.3">
      <c r="B71" s="1" t="s">
        <v>1137</v>
      </c>
      <c r="C71" s="5">
        <v>5000</v>
      </c>
      <c r="D71" s="441"/>
      <c r="E71" s="27"/>
      <c r="F71" s="27"/>
      <c r="G71" s="27"/>
      <c r="H71" s="27"/>
      <c r="I71" s="27"/>
      <c r="J71" s="27"/>
      <c r="K71" s="27"/>
      <c r="L71" s="27"/>
      <c r="M71" s="27"/>
      <c r="N71" s="27"/>
    </row>
    <row r="72" spans="1:14" x14ac:dyDescent="0.3">
      <c r="B72" s="1" t="s">
        <v>1136</v>
      </c>
      <c r="C72" s="1">
        <v>3</v>
      </c>
      <c r="D72" s="441" t="s">
        <v>6</v>
      </c>
      <c r="E72" s="27"/>
      <c r="F72" s="27"/>
      <c r="G72" s="27"/>
      <c r="H72" s="27"/>
      <c r="I72" s="27"/>
      <c r="J72" s="27"/>
      <c r="K72" s="27"/>
      <c r="L72" s="27"/>
      <c r="M72" s="27"/>
      <c r="N72" s="27"/>
    </row>
    <row r="73" spans="1:14" x14ac:dyDescent="0.3">
      <c r="B73" s="1" t="s">
        <v>1135</v>
      </c>
      <c r="C73" s="9">
        <v>0.06</v>
      </c>
      <c r="E73" s="27"/>
      <c r="F73" s="27"/>
      <c r="G73" s="27"/>
      <c r="H73" s="27"/>
      <c r="I73" s="27"/>
      <c r="J73" s="27"/>
      <c r="K73" s="27"/>
      <c r="L73" s="27"/>
      <c r="M73" s="27"/>
      <c r="N73" s="27"/>
    </row>
    <row r="74" spans="1:14" x14ac:dyDescent="0.3">
      <c r="B74" s="1" t="s">
        <v>1134</v>
      </c>
      <c r="C74" s="9">
        <v>0.05</v>
      </c>
      <c r="E74" s="27"/>
      <c r="F74" s="27"/>
      <c r="G74" s="27"/>
      <c r="H74" s="27"/>
      <c r="I74" s="27"/>
      <c r="J74" s="27"/>
      <c r="K74" s="27"/>
      <c r="L74" s="27"/>
      <c r="M74" s="27"/>
      <c r="N74" s="27"/>
    </row>
    <row r="75" spans="1:14" x14ac:dyDescent="0.3">
      <c r="E75" s="27"/>
      <c r="F75" s="27"/>
      <c r="G75" s="27"/>
      <c r="H75" s="27"/>
      <c r="I75" s="27"/>
      <c r="J75" s="27"/>
      <c r="K75" s="27"/>
      <c r="L75" s="444"/>
      <c r="M75" s="444"/>
      <c r="N75" s="444"/>
    </row>
    <row r="76" spans="1:14" x14ac:dyDescent="0.3">
      <c r="B76" s="466" t="s">
        <v>1139</v>
      </c>
      <c r="C76" s="5"/>
      <c r="D76" s="441"/>
      <c r="H76" s="444"/>
      <c r="I76" s="444"/>
      <c r="J76" s="444"/>
      <c r="K76" s="444"/>
      <c r="L76" s="444"/>
      <c r="M76" s="444"/>
      <c r="N76" s="444"/>
    </row>
    <row r="77" spans="1:14" x14ac:dyDescent="0.3">
      <c r="B77" s="1" t="s">
        <v>1138</v>
      </c>
      <c r="C77" s="5">
        <v>10000</v>
      </c>
      <c r="D77" s="441"/>
      <c r="F77" s="444"/>
      <c r="G77" s="444"/>
      <c r="H77" s="444"/>
      <c r="I77" s="444"/>
      <c r="J77" s="444"/>
      <c r="K77" s="444"/>
      <c r="L77" s="444"/>
      <c r="M77" s="444"/>
      <c r="N77" s="444"/>
    </row>
    <row r="78" spans="1:14" x14ac:dyDescent="0.3">
      <c r="B78" s="1" t="s">
        <v>1137</v>
      </c>
      <c r="C78" s="5">
        <v>6000</v>
      </c>
      <c r="D78" s="441"/>
      <c r="F78" s="444"/>
      <c r="G78" s="444"/>
      <c r="H78" s="444"/>
      <c r="I78" s="444"/>
      <c r="J78" s="444"/>
      <c r="K78" s="444"/>
      <c r="L78" s="444"/>
      <c r="M78" s="444"/>
      <c r="N78" s="444"/>
    </row>
    <row r="79" spans="1:14" x14ac:dyDescent="0.3">
      <c r="B79" s="1" t="s">
        <v>1136</v>
      </c>
      <c r="C79" s="1">
        <v>2</v>
      </c>
      <c r="D79" s="441" t="s">
        <v>6</v>
      </c>
      <c r="E79" s="27"/>
      <c r="F79" s="444"/>
      <c r="G79" s="444"/>
      <c r="H79" s="444"/>
      <c r="I79" s="444"/>
      <c r="J79" s="444"/>
      <c r="K79" s="444"/>
      <c r="L79" s="444"/>
      <c r="M79" s="444"/>
      <c r="N79" s="444"/>
    </row>
    <row r="80" spans="1:14" x14ac:dyDescent="0.3">
      <c r="B80" s="1" t="s">
        <v>1135</v>
      </c>
      <c r="C80" s="9">
        <v>0.06</v>
      </c>
      <c r="F80" s="444"/>
      <c r="H80" s="444"/>
      <c r="I80" s="444"/>
      <c r="J80" s="444"/>
      <c r="K80" s="444"/>
      <c r="L80" s="444"/>
      <c r="M80" s="444"/>
      <c r="N80" s="444"/>
    </row>
    <row r="81" spans="1:14" x14ac:dyDescent="0.3">
      <c r="B81" s="1" t="s">
        <v>1134</v>
      </c>
      <c r="C81" s="9">
        <v>0.05</v>
      </c>
      <c r="D81" s="441"/>
      <c r="F81" s="444"/>
      <c r="G81" s="444"/>
      <c r="H81" s="444"/>
      <c r="I81" s="444"/>
      <c r="J81" s="444"/>
      <c r="K81" s="444"/>
      <c r="L81" s="444"/>
      <c r="M81" s="444"/>
      <c r="N81" s="444"/>
    </row>
    <row r="82" spans="1:14" x14ac:dyDescent="0.3">
      <c r="F82" s="444"/>
      <c r="G82" s="444"/>
      <c r="H82" s="444"/>
      <c r="I82" s="444"/>
      <c r="J82" s="444"/>
      <c r="K82" s="444"/>
      <c r="L82" s="444"/>
      <c r="M82" s="444"/>
      <c r="N82" s="444"/>
    </row>
    <row r="83" spans="1:14" x14ac:dyDescent="0.3">
      <c r="F83" s="444"/>
      <c r="G83" s="444"/>
      <c r="H83" s="444"/>
      <c r="I83" s="444"/>
      <c r="J83" s="444"/>
      <c r="K83" s="444"/>
      <c r="L83" s="444"/>
      <c r="M83" s="444"/>
      <c r="N83" s="444"/>
    </row>
    <row r="84" spans="1:14" x14ac:dyDescent="0.3">
      <c r="H84" s="444"/>
      <c r="I84" s="444"/>
      <c r="J84" s="444"/>
      <c r="K84" s="444"/>
      <c r="L84" s="444"/>
      <c r="M84" s="444"/>
      <c r="N84" s="444"/>
    </row>
    <row r="85" spans="1:14" x14ac:dyDescent="0.3">
      <c r="B85" s="1" t="s">
        <v>1145</v>
      </c>
      <c r="C85" s="469"/>
      <c r="F85" s="444"/>
      <c r="G85" s="444"/>
      <c r="H85" s="444"/>
      <c r="I85" s="444"/>
      <c r="J85" s="444"/>
      <c r="K85" s="444"/>
      <c r="L85" s="444"/>
      <c r="M85" s="444"/>
      <c r="N85" s="444"/>
    </row>
    <row r="86" spans="1:14" x14ac:dyDescent="0.3">
      <c r="C86" s="27"/>
      <c r="F86" s="444"/>
      <c r="H86" s="444"/>
      <c r="I86" s="444"/>
      <c r="J86" s="444"/>
      <c r="K86" s="444"/>
      <c r="L86" s="444"/>
      <c r="M86" s="444"/>
      <c r="N86" s="444"/>
    </row>
    <row r="87" spans="1:14" x14ac:dyDescent="0.3">
      <c r="C87" s="517" t="s">
        <v>911</v>
      </c>
      <c r="D87" s="553">
        <v>0</v>
      </c>
      <c r="E87" s="553">
        <v>1</v>
      </c>
      <c r="F87" s="553">
        <v>2</v>
      </c>
      <c r="G87" s="553">
        <v>3</v>
      </c>
      <c r="H87" s="444"/>
      <c r="I87" s="444"/>
      <c r="J87" s="444"/>
      <c r="K87" s="444"/>
      <c r="L87" s="444"/>
      <c r="M87" s="444"/>
      <c r="N87" s="444"/>
    </row>
    <row r="88" spans="1:14" x14ac:dyDescent="0.3">
      <c r="B88" s="471"/>
      <c r="C88" s="517" t="s">
        <v>1144</v>
      </c>
      <c r="D88" s="556">
        <f>1/(1+$C$74)^D87</f>
        <v>1</v>
      </c>
      <c r="E88" s="556">
        <f>1/(1+$C$74)^E87</f>
        <v>0.95238095238095233</v>
      </c>
      <c r="F88" s="556">
        <f>1/(1+$C$74)^F87</f>
        <v>0.90702947845804982</v>
      </c>
      <c r="G88" s="556">
        <f>1/(1+$C$74)^G87</f>
        <v>0.86383759853147601</v>
      </c>
      <c r="H88" s="444"/>
      <c r="I88" s="444"/>
      <c r="J88" s="444"/>
      <c r="K88" s="444"/>
      <c r="L88" s="444"/>
      <c r="M88" s="444"/>
      <c r="N88" s="444"/>
    </row>
    <row r="89" spans="1:14" x14ac:dyDescent="0.3">
      <c r="B89" s="1" t="s">
        <v>104</v>
      </c>
      <c r="C89" s="517" t="s">
        <v>1143</v>
      </c>
      <c r="D89" s="518"/>
      <c r="E89" s="518">
        <f>C63</f>
        <v>10611.647191858254</v>
      </c>
      <c r="F89" s="518">
        <f>C63</f>
        <v>10611.647191858254</v>
      </c>
      <c r="G89" s="518">
        <f>C63</f>
        <v>10611.647191858254</v>
      </c>
      <c r="H89" s="444"/>
      <c r="I89" s="444"/>
      <c r="J89" s="444"/>
      <c r="K89" s="444"/>
      <c r="L89" s="444"/>
      <c r="M89" s="444"/>
      <c r="N89" s="444"/>
    </row>
    <row r="90" spans="1:14" x14ac:dyDescent="0.3">
      <c r="B90" s="1" t="s">
        <v>104</v>
      </c>
      <c r="C90" s="517" t="s">
        <v>1142</v>
      </c>
      <c r="D90" s="520"/>
      <c r="E90" s="555">
        <f>E89*E88</f>
        <v>10106.330658912622</v>
      </c>
      <c r="F90" s="555">
        <f>F89*F88</f>
        <v>9625.0768180120212</v>
      </c>
      <c r="G90" s="555">
        <f>G89*G88</f>
        <v>9166.7398266781147</v>
      </c>
      <c r="H90" s="444"/>
      <c r="I90" s="444"/>
      <c r="J90" s="444"/>
      <c r="K90" s="444"/>
      <c r="L90" s="444"/>
      <c r="M90" s="444"/>
      <c r="N90" s="444"/>
    </row>
    <row r="91" spans="1:14" x14ac:dyDescent="0.3">
      <c r="B91" s="1" t="s">
        <v>105</v>
      </c>
      <c r="C91" s="517" t="s">
        <v>1143</v>
      </c>
      <c r="D91" s="517"/>
      <c r="E91" s="518">
        <f>C65</f>
        <v>11454.36893203882</v>
      </c>
      <c r="F91" s="518">
        <f>C65</f>
        <v>11454.36893203882</v>
      </c>
      <c r="G91" s="517"/>
      <c r="H91" s="444"/>
      <c r="I91" s="444"/>
      <c r="J91" s="444"/>
      <c r="K91" s="444"/>
      <c r="L91" s="444"/>
      <c r="M91" s="444"/>
      <c r="N91" s="444"/>
    </row>
    <row r="92" spans="1:14" x14ac:dyDescent="0.3">
      <c r="B92" s="1" t="s">
        <v>105</v>
      </c>
      <c r="C92" s="517" t="s">
        <v>1142</v>
      </c>
      <c r="D92" s="517"/>
      <c r="E92" s="554">
        <f>E91*E88</f>
        <v>10908.922792417923</v>
      </c>
      <c r="F92" s="554">
        <f>F91*F88</f>
        <v>10389.450278493261</v>
      </c>
      <c r="G92" s="517"/>
      <c r="H92" s="444"/>
      <c r="I92" s="444"/>
      <c r="J92" s="444"/>
      <c r="K92" s="444"/>
      <c r="L92" s="444"/>
      <c r="M92" s="444"/>
      <c r="N92" s="444"/>
    </row>
    <row r="93" spans="1:14" x14ac:dyDescent="0.3">
      <c r="F93" s="444"/>
      <c r="G93" s="444"/>
      <c r="H93" s="444"/>
      <c r="I93" s="444"/>
      <c r="J93" s="444"/>
      <c r="K93" s="444"/>
      <c r="L93" s="444"/>
      <c r="M93" s="444"/>
      <c r="N93" s="444"/>
    </row>
    <row r="94" spans="1:14" x14ac:dyDescent="0.3">
      <c r="A94" s="434" t="s">
        <v>1141</v>
      </c>
      <c r="B94" s="122"/>
      <c r="F94" s="444"/>
      <c r="G94" s="444"/>
      <c r="H94" s="444"/>
      <c r="I94" s="444"/>
      <c r="J94" s="444"/>
      <c r="K94" s="444"/>
      <c r="L94" s="444"/>
      <c r="M94" s="444"/>
      <c r="N94" s="444"/>
    </row>
    <row r="95" spans="1:14" x14ac:dyDescent="0.3">
      <c r="B95" s="45" t="s">
        <v>4</v>
      </c>
      <c r="E95" s="468"/>
      <c r="F95" s="444"/>
      <c r="G95" s="444"/>
      <c r="H95" s="444"/>
      <c r="I95" s="444"/>
      <c r="J95" s="444"/>
      <c r="K95" s="444"/>
      <c r="L95" s="444"/>
      <c r="M95" s="444"/>
      <c r="N95" s="444"/>
    </row>
    <row r="96" spans="1:14" x14ac:dyDescent="0.3">
      <c r="B96" s="466" t="s">
        <v>1140</v>
      </c>
      <c r="C96" s="5"/>
      <c r="D96" s="441"/>
      <c r="E96" s="467"/>
      <c r="F96" s="444"/>
      <c r="G96" s="444"/>
      <c r="H96" s="444"/>
      <c r="I96" s="444"/>
      <c r="J96" s="444"/>
      <c r="K96" s="444"/>
      <c r="L96" s="444"/>
      <c r="M96" s="444"/>
      <c r="N96" s="444"/>
    </row>
    <row r="97" spans="1:14" x14ac:dyDescent="0.3">
      <c r="B97" s="1" t="s">
        <v>1138</v>
      </c>
      <c r="C97" s="5">
        <v>15000</v>
      </c>
      <c r="D97" s="441"/>
      <c r="E97" s="27"/>
      <c r="F97" s="444"/>
      <c r="G97" s="444"/>
      <c r="H97" s="444"/>
      <c r="I97" s="444"/>
      <c r="J97" s="444"/>
      <c r="K97" s="444"/>
      <c r="L97" s="444"/>
      <c r="M97" s="444"/>
      <c r="N97" s="444"/>
    </row>
    <row r="98" spans="1:14" x14ac:dyDescent="0.3">
      <c r="B98" s="1" t="s">
        <v>1137</v>
      </c>
      <c r="C98" s="5">
        <v>5000</v>
      </c>
      <c r="D98" s="441"/>
      <c r="E98" s="27"/>
      <c r="F98" s="444"/>
      <c r="G98" s="444"/>
      <c r="H98" s="444"/>
      <c r="I98" s="444"/>
      <c r="J98" s="444"/>
      <c r="K98" s="444"/>
      <c r="L98" s="444"/>
      <c r="M98" s="444"/>
      <c r="N98" s="444"/>
    </row>
    <row r="99" spans="1:14" x14ac:dyDescent="0.3">
      <c r="B99" s="1" t="s">
        <v>1136</v>
      </c>
      <c r="C99" s="1">
        <v>3</v>
      </c>
      <c r="D99" s="441" t="s">
        <v>6</v>
      </c>
      <c r="E99" s="27"/>
      <c r="F99" s="444"/>
      <c r="G99" s="444"/>
      <c r="H99" s="444"/>
      <c r="I99" s="444"/>
      <c r="J99" s="444"/>
      <c r="K99" s="444"/>
      <c r="L99" s="444"/>
      <c r="M99" s="444"/>
      <c r="N99" s="444"/>
    </row>
    <row r="100" spans="1:14" x14ac:dyDescent="0.3">
      <c r="B100" s="1" t="s">
        <v>1135</v>
      </c>
      <c r="C100" s="9">
        <v>0.06</v>
      </c>
      <c r="E100" s="27"/>
      <c r="F100" s="444"/>
      <c r="G100" s="444"/>
      <c r="H100" s="444"/>
      <c r="I100" s="444"/>
      <c r="J100" s="444"/>
      <c r="K100" s="444"/>
      <c r="L100" s="444"/>
      <c r="M100" s="444"/>
      <c r="N100" s="444"/>
    </row>
    <row r="101" spans="1:14" x14ac:dyDescent="0.3">
      <c r="B101" s="1" t="s">
        <v>1134</v>
      </c>
      <c r="C101" s="9">
        <v>0.05</v>
      </c>
      <c r="E101" s="8"/>
      <c r="F101" s="444"/>
      <c r="G101" s="444"/>
      <c r="H101" s="444"/>
      <c r="I101" s="444"/>
      <c r="J101" s="444"/>
      <c r="K101" s="444"/>
      <c r="L101" s="444"/>
      <c r="M101" s="444"/>
      <c r="N101" s="444"/>
    </row>
    <row r="102" spans="1:14" x14ac:dyDescent="0.3">
      <c r="B102" s="1" t="s">
        <v>1133</v>
      </c>
      <c r="C102" s="9">
        <f>C101+C100</f>
        <v>0.11</v>
      </c>
      <c r="E102" s="16"/>
      <c r="F102" s="444"/>
      <c r="G102" s="444"/>
      <c r="H102" s="444"/>
      <c r="I102" s="444"/>
      <c r="J102" s="444"/>
      <c r="K102" s="444"/>
      <c r="L102" s="444"/>
      <c r="M102" s="444"/>
      <c r="N102" s="444"/>
    </row>
    <row r="103" spans="1:14" x14ac:dyDescent="0.3">
      <c r="A103" s="501"/>
      <c r="E103" s="16"/>
      <c r="F103" s="444"/>
      <c r="G103" s="444"/>
      <c r="H103" s="444"/>
      <c r="I103" s="444"/>
      <c r="J103" s="444"/>
      <c r="K103" s="444"/>
      <c r="L103" s="444"/>
      <c r="M103" s="444"/>
      <c r="N103" s="444"/>
    </row>
    <row r="104" spans="1:14" x14ac:dyDescent="0.3">
      <c r="B104" s="466" t="s">
        <v>1139</v>
      </c>
      <c r="C104" s="5"/>
      <c r="D104" s="441"/>
      <c r="E104" s="16"/>
      <c r="F104" s="444"/>
      <c r="G104" s="444"/>
      <c r="H104" s="444"/>
      <c r="I104" s="444"/>
      <c r="J104" s="444"/>
      <c r="K104" s="444"/>
      <c r="L104" s="444"/>
      <c r="M104" s="444"/>
      <c r="N104" s="444"/>
    </row>
    <row r="105" spans="1:14" x14ac:dyDescent="0.3">
      <c r="B105" s="1" t="s">
        <v>1138</v>
      </c>
      <c r="C105" s="5">
        <v>10000</v>
      </c>
      <c r="D105" s="441"/>
      <c r="F105" s="444"/>
      <c r="G105" s="444"/>
      <c r="H105" s="444"/>
      <c r="I105" s="444"/>
      <c r="J105" s="444"/>
      <c r="K105" s="444"/>
      <c r="L105" s="444"/>
      <c r="M105" s="444"/>
      <c r="N105" s="444"/>
    </row>
    <row r="106" spans="1:14" x14ac:dyDescent="0.3">
      <c r="B106" s="1" t="s">
        <v>1137</v>
      </c>
      <c r="C106" s="5">
        <v>6000</v>
      </c>
      <c r="D106" s="441"/>
      <c r="F106" s="444"/>
      <c r="G106" s="444"/>
      <c r="H106" s="444"/>
      <c r="I106" s="444"/>
      <c r="J106" s="444"/>
      <c r="K106" s="444"/>
      <c r="L106" s="444"/>
      <c r="M106" s="444"/>
      <c r="N106" s="444"/>
    </row>
    <row r="107" spans="1:14" x14ac:dyDescent="0.3">
      <c r="B107" s="1" t="s">
        <v>1136</v>
      </c>
      <c r="C107" s="1">
        <v>2</v>
      </c>
      <c r="D107" s="441" t="s">
        <v>6</v>
      </c>
      <c r="E107" s="444"/>
      <c r="F107" s="444"/>
      <c r="G107" s="444"/>
      <c r="H107" s="444"/>
      <c r="I107" s="444"/>
      <c r="J107" s="444"/>
      <c r="K107" s="444"/>
      <c r="L107" s="444"/>
      <c r="M107" s="444"/>
      <c r="N107" s="444"/>
    </row>
    <row r="108" spans="1:14" x14ac:dyDescent="0.3">
      <c r="B108" s="1" t="s">
        <v>1135</v>
      </c>
      <c r="C108" s="9">
        <v>0.06</v>
      </c>
      <c r="E108" s="444"/>
      <c r="F108" s="444"/>
      <c r="G108" s="444"/>
      <c r="H108" s="444"/>
      <c r="I108" s="444"/>
      <c r="J108" s="444"/>
      <c r="K108" s="444"/>
      <c r="L108" s="444"/>
      <c r="M108" s="444"/>
      <c r="N108" s="444"/>
    </row>
    <row r="109" spans="1:14" x14ac:dyDescent="0.3">
      <c r="B109" s="1" t="s">
        <v>1134</v>
      </c>
      <c r="C109" s="9">
        <v>0.05</v>
      </c>
      <c r="D109" s="441"/>
      <c r="E109" s="444"/>
      <c r="F109" s="444"/>
      <c r="G109" s="444"/>
      <c r="H109" s="444"/>
      <c r="I109" s="444"/>
      <c r="J109" s="444"/>
      <c r="K109" s="444"/>
      <c r="L109" s="444"/>
      <c r="M109" s="444"/>
      <c r="N109" s="444"/>
    </row>
    <row r="110" spans="1:14" x14ac:dyDescent="0.3">
      <c r="B110" s="1" t="s">
        <v>1133</v>
      </c>
      <c r="C110" s="9">
        <f>C109+C108</f>
        <v>0.11</v>
      </c>
      <c r="D110" s="16"/>
      <c r="E110" s="444"/>
      <c r="F110" s="444"/>
      <c r="G110" s="444"/>
      <c r="H110" s="444"/>
      <c r="I110" s="444"/>
      <c r="J110" s="444"/>
      <c r="K110" s="444"/>
      <c r="L110" s="444"/>
      <c r="M110" s="444"/>
      <c r="N110" s="444"/>
    </row>
    <row r="111" spans="1:14" x14ac:dyDescent="0.3">
      <c r="E111" s="444"/>
      <c r="F111" s="444"/>
      <c r="G111" s="444"/>
      <c r="H111" s="444"/>
      <c r="I111" s="444"/>
      <c r="J111" s="444"/>
      <c r="K111" s="444"/>
      <c r="L111" s="444"/>
      <c r="M111" s="444"/>
      <c r="N111" s="444"/>
    </row>
    <row r="112" spans="1:14" x14ac:dyDescent="0.3">
      <c r="B112" s="27"/>
      <c r="C112" s="443"/>
      <c r="D112" s="452"/>
      <c r="E112" s="444"/>
      <c r="F112" s="444"/>
      <c r="G112" s="444"/>
      <c r="H112" s="444"/>
      <c r="I112" s="444"/>
      <c r="J112" s="444"/>
      <c r="K112" s="444"/>
      <c r="L112" s="444"/>
      <c r="M112" s="444"/>
      <c r="N112" s="444"/>
    </row>
    <row r="113" spans="1:14" x14ac:dyDescent="0.3">
      <c r="C113" s="517" t="s">
        <v>911</v>
      </c>
      <c r="D113" s="553">
        <v>0</v>
      </c>
      <c r="E113" s="553">
        <v>1</v>
      </c>
      <c r="F113" s="553">
        <v>2</v>
      </c>
      <c r="G113" s="553">
        <v>3</v>
      </c>
      <c r="H113" s="444"/>
      <c r="I113" s="444"/>
      <c r="J113" s="444"/>
      <c r="K113" s="444"/>
      <c r="L113" s="444"/>
      <c r="M113" s="444"/>
      <c r="N113" s="444"/>
    </row>
    <row r="114" spans="1:14" x14ac:dyDescent="0.3">
      <c r="B114" s="443"/>
      <c r="C114" s="517" t="s">
        <v>1132</v>
      </c>
      <c r="D114" s="518">
        <v>15000</v>
      </c>
      <c r="E114" s="518">
        <v>5000</v>
      </c>
      <c r="F114" s="518">
        <v>5000</v>
      </c>
      <c r="G114" s="518">
        <v>5000</v>
      </c>
      <c r="H114" s="444"/>
      <c r="I114" s="444"/>
      <c r="J114" s="444"/>
      <c r="K114" s="444"/>
      <c r="L114" s="444"/>
      <c r="M114" s="444"/>
      <c r="N114" s="444"/>
    </row>
    <row r="115" spans="1:14" x14ac:dyDescent="0.3">
      <c r="B115" s="27"/>
      <c r="C115" s="517" t="s">
        <v>1131</v>
      </c>
      <c r="D115" s="520">
        <v>10000</v>
      </c>
      <c r="E115" s="520">
        <v>6000</v>
      </c>
      <c r="F115" s="520">
        <v>6000</v>
      </c>
      <c r="G115" s="520"/>
      <c r="H115" s="444"/>
      <c r="I115" s="444"/>
      <c r="J115" s="444"/>
      <c r="K115" s="444"/>
      <c r="L115" s="444"/>
      <c r="M115" s="444"/>
      <c r="N115" s="444"/>
    </row>
    <row r="116" spans="1:14" x14ac:dyDescent="0.3">
      <c r="B116" s="122"/>
      <c r="C116" s="6" t="s">
        <v>1130</v>
      </c>
      <c r="D116" s="552">
        <f>1/(1+$C$102)^D113</f>
        <v>1</v>
      </c>
      <c r="E116" s="552">
        <f>1/(1+$C$102)^E113</f>
        <v>0.9009009009009008</v>
      </c>
      <c r="F116" s="552">
        <f>1/(1+$C$102)^F113</f>
        <v>0.8116224332440547</v>
      </c>
      <c r="G116" s="552">
        <f>1/(1+$C$102)^G113</f>
        <v>0.73119138130095018</v>
      </c>
      <c r="H116" s="444"/>
      <c r="I116" s="444"/>
      <c r="J116" s="444"/>
      <c r="K116" s="444"/>
      <c r="L116" s="444"/>
      <c r="M116" s="444"/>
      <c r="N116" s="444"/>
    </row>
    <row r="117" spans="1:14" x14ac:dyDescent="0.3">
      <c r="B117" s="122"/>
      <c r="C117" s="517" t="s">
        <v>1129</v>
      </c>
      <c r="D117" s="525">
        <f>D114*D116</f>
        <v>15000</v>
      </c>
      <c r="E117" s="525">
        <f>E114*E116</f>
        <v>4504.5045045045044</v>
      </c>
      <c r="F117" s="525">
        <f>F114*F116</f>
        <v>4058.1121662202736</v>
      </c>
      <c r="G117" s="525">
        <f>G114*G116</f>
        <v>3655.9569065047508</v>
      </c>
      <c r="H117" s="444"/>
      <c r="I117" s="444"/>
      <c r="J117" s="444"/>
      <c r="K117" s="444"/>
      <c r="L117" s="444"/>
      <c r="M117" s="444"/>
      <c r="N117" s="444"/>
    </row>
    <row r="118" spans="1:14" x14ac:dyDescent="0.3">
      <c r="B118" s="444"/>
      <c r="C118" s="517" t="s">
        <v>1128</v>
      </c>
      <c r="D118" s="535">
        <f>D115*D116</f>
        <v>10000</v>
      </c>
      <c r="E118" s="535">
        <f>E115*E116</f>
        <v>5405.405405405405</v>
      </c>
      <c r="F118" s="535">
        <f>F115*F116</f>
        <v>4869.7345994643283</v>
      </c>
      <c r="G118" s="535"/>
      <c r="H118" s="444"/>
      <c r="I118" s="444"/>
      <c r="J118" s="444"/>
      <c r="K118" s="444"/>
      <c r="L118" s="444"/>
      <c r="M118" s="444"/>
      <c r="N118" s="444"/>
    </row>
    <row r="119" spans="1:14" x14ac:dyDescent="0.3">
      <c r="B119" s="444"/>
      <c r="C119" s="27"/>
      <c r="D119" s="27"/>
      <c r="E119" s="455"/>
      <c r="F119" s="455"/>
      <c r="G119" s="27"/>
      <c r="H119" s="444"/>
      <c r="I119" s="444"/>
      <c r="J119" s="444"/>
      <c r="K119" s="444"/>
      <c r="L119" s="444"/>
      <c r="M119" s="444"/>
      <c r="N119" s="444"/>
    </row>
    <row r="120" spans="1:14" x14ac:dyDescent="0.3">
      <c r="B120" s="45"/>
      <c r="C120" s="517" t="s">
        <v>1127</v>
      </c>
      <c r="D120" s="518">
        <f>SUM(D117:G117)</f>
        <v>27218.57357722953</v>
      </c>
      <c r="E120" s="27"/>
      <c r="F120" s="27"/>
      <c r="G120" s="27"/>
      <c r="H120" s="444"/>
      <c r="I120" s="444"/>
      <c r="J120" s="444"/>
      <c r="K120" s="444"/>
      <c r="L120" s="444"/>
      <c r="M120" s="444"/>
      <c r="N120" s="444"/>
    </row>
    <row r="121" spans="1:14" x14ac:dyDescent="0.3">
      <c r="B121" s="444"/>
      <c r="C121" s="551" t="s">
        <v>1126</v>
      </c>
      <c r="D121" s="550">
        <f>SUM(D118:G118)</f>
        <v>20275.140004869732</v>
      </c>
      <c r="E121" s="455"/>
      <c r="F121" s="27"/>
      <c r="G121" s="27"/>
      <c r="H121" s="444"/>
      <c r="I121" s="444"/>
      <c r="J121" s="444"/>
      <c r="K121" s="444"/>
      <c r="L121" s="444"/>
      <c r="M121" s="444"/>
      <c r="N121" s="444"/>
    </row>
    <row r="122" spans="1:14" x14ac:dyDescent="0.3">
      <c r="B122" s="444"/>
      <c r="C122" s="27"/>
      <c r="D122" s="444"/>
      <c r="E122" s="444"/>
      <c r="F122" s="444"/>
      <c r="G122" s="444"/>
      <c r="H122" s="444"/>
      <c r="I122" s="444"/>
      <c r="J122" s="444"/>
      <c r="K122" s="444"/>
      <c r="L122" s="444"/>
      <c r="M122" s="444"/>
      <c r="N122" s="444"/>
    </row>
    <row r="123" spans="1:14" x14ac:dyDescent="0.3">
      <c r="B123" s="27"/>
      <c r="C123" s="443"/>
      <c r="D123" s="444"/>
      <c r="E123" s="444"/>
      <c r="F123" s="444"/>
      <c r="G123" s="444"/>
      <c r="H123" s="444"/>
      <c r="I123" s="444"/>
      <c r="J123" s="444"/>
      <c r="K123" s="444"/>
      <c r="L123" s="444"/>
      <c r="M123" s="444"/>
      <c r="N123" s="444"/>
    </row>
    <row r="124" spans="1:14" x14ac:dyDescent="0.3">
      <c r="B124" s="27" t="s">
        <v>1125</v>
      </c>
      <c r="C124" s="90">
        <f>(1/C102)-(1/(C102*((1+C102)^C99)))</f>
        <v>2.4437147154459078</v>
      </c>
      <c r="E124" s="444"/>
      <c r="F124" s="444"/>
      <c r="G124" s="444"/>
      <c r="H124" s="444"/>
      <c r="I124" s="444"/>
      <c r="J124" s="444"/>
      <c r="K124" s="444"/>
      <c r="L124" s="444"/>
      <c r="M124" s="444"/>
      <c r="N124" s="444"/>
    </row>
    <row r="125" spans="1:14" x14ac:dyDescent="0.3">
      <c r="A125" s="120"/>
      <c r="B125" s="27"/>
      <c r="E125" s="444"/>
      <c r="F125" s="444"/>
      <c r="G125" s="444"/>
      <c r="H125" s="444"/>
      <c r="I125" s="444"/>
      <c r="J125" s="444"/>
      <c r="K125" s="444"/>
      <c r="L125" s="444"/>
      <c r="M125" s="444"/>
      <c r="N125" s="444"/>
    </row>
    <row r="126" spans="1:14" x14ac:dyDescent="0.3">
      <c r="B126" s="27" t="s">
        <v>1124</v>
      </c>
      <c r="C126" s="90">
        <f>(1/C110)-(1/(C110*((1+C110)^C107)))</f>
        <v>1.7125233341449571</v>
      </c>
      <c r="D126" s="444"/>
      <c r="E126" s="444"/>
      <c r="F126" s="444"/>
      <c r="G126" s="444"/>
      <c r="H126" s="444"/>
      <c r="I126" s="444"/>
      <c r="J126" s="444"/>
      <c r="K126" s="444"/>
      <c r="L126" s="444"/>
      <c r="M126" s="444"/>
      <c r="N126" s="444"/>
    </row>
    <row r="127" spans="1:14" x14ac:dyDescent="0.3">
      <c r="B127" s="27"/>
      <c r="D127" s="444"/>
      <c r="E127" s="444"/>
      <c r="F127" s="444"/>
      <c r="G127" s="444"/>
      <c r="H127" s="444"/>
      <c r="I127" s="444"/>
      <c r="J127" s="444"/>
      <c r="K127" s="444"/>
      <c r="L127" s="444"/>
      <c r="M127" s="444"/>
      <c r="N127" s="444"/>
    </row>
    <row r="128" spans="1:14" x14ac:dyDescent="0.3">
      <c r="B128" s="549" t="s">
        <v>1123</v>
      </c>
      <c r="C128" s="548">
        <f>D120/C124</f>
        <v>11138.196044403212</v>
      </c>
      <c r="E128" s="444"/>
      <c r="G128" s="444"/>
      <c r="H128" s="444"/>
      <c r="I128" s="444"/>
      <c r="J128" s="444"/>
      <c r="K128" s="444"/>
      <c r="L128" s="444"/>
      <c r="M128" s="444"/>
      <c r="N128" s="444"/>
    </row>
    <row r="129" spans="1:14" x14ac:dyDescent="0.3">
      <c r="B129" s="27"/>
      <c r="E129" s="444"/>
      <c r="F129" s="444"/>
      <c r="G129" s="444"/>
      <c r="H129" s="444"/>
      <c r="I129" s="444"/>
      <c r="J129" s="444"/>
      <c r="K129" s="444"/>
      <c r="L129" s="444"/>
      <c r="M129" s="444"/>
      <c r="N129" s="444"/>
    </row>
    <row r="130" spans="1:14" x14ac:dyDescent="0.3">
      <c r="B130" s="547" t="s">
        <v>1122</v>
      </c>
      <c r="C130" s="546">
        <f>D121/C126</f>
        <v>11839.336492890985</v>
      </c>
      <c r="D130" s="444"/>
      <c r="E130" s="444"/>
      <c r="F130" s="444"/>
      <c r="G130" s="444"/>
      <c r="H130" s="444"/>
      <c r="I130" s="444"/>
      <c r="J130" s="444"/>
      <c r="K130" s="444"/>
      <c r="L130" s="444"/>
      <c r="M130" s="444"/>
      <c r="N130" s="444"/>
    </row>
    <row r="131" spans="1:14" x14ac:dyDescent="0.3">
      <c r="B131" s="444"/>
      <c r="C131" s="443"/>
      <c r="D131" s="444"/>
      <c r="E131" s="444"/>
      <c r="F131" s="444"/>
      <c r="G131" s="444"/>
      <c r="H131" s="444"/>
      <c r="I131" s="444"/>
      <c r="J131" s="444"/>
      <c r="K131" s="444"/>
      <c r="L131" s="444"/>
      <c r="M131" s="444"/>
      <c r="N131" s="444"/>
    </row>
    <row r="132" spans="1:14" x14ac:dyDescent="0.3">
      <c r="B132" s="444"/>
      <c r="C132" s="27"/>
      <c r="D132" s="444"/>
      <c r="E132" s="444"/>
      <c r="F132" s="444"/>
      <c r="G132" s="444"/>
      <c r="H132" s="444"/>
      <c r="I132" s="444"/>
      <c r="J132" s="444"/>
      <c r="K132" s="444"/>
      <c r="L132" s="444"/>
      <c r="M132" s="444"/>
      <c r="N132" s="444"/>
    </row>
    <row r="133" spans="1:14" x14ac:dyDescent="0.3">
      <c r="A133" s="501"/>
      <c r="B133" s="445"/>
      <c r="C133" s="444"/>
      <c r="D133" s="444"/>
      <c r="E133" s="444"/>
      <c r="F133" s="444"/>
      <c r="G133" s="444"/>
      <c r="H133" s="444"/>
      <c r="I133" s="444"/>
      <c r="J133" s="444"/>
      <c r="K133" s="444"/>
      <c r="L133" s="444"/>
      <c r="M133" s="444"/>
      <c r="N133" s="444"/>
    </row>
    <row r="134" spans="1:14" x14ac:dyDescent="0.3">
      <c r="B134" s="27"/>
      <c r="C134" s="443"/>
      <c r="D134" s="27"/>
      <c r="E134" s="27"/>
      <c r="F134" s="27"/>
      <c r="G134" s="27"/>
      <c r="H134" s="27"/>
      <c r="I134" s="27"/>
      <c r="J134" s="27"/>
      <c r="K134" s="444"/>
      <c r="L134" s="444"/>
      <c r="M134" s="444"/>
      <c r="N134" s="444"/>
    </row>
    <row r="135" spans="1:14" x14ac:dyDescent="0.3">
      <c r="B135" s="27"/>
      <c r="C135" s="27"/>
      <c r="D135" s="27"/>
      <c r="E135" s="27"/>
      <c r="F135" s="27"/>
      <c r="G135" s="27"/>
      <c r="H135" s="27"/>
      <c r="I135" s="27"/>
      <c r="J135" s="27"/>
      <c r="K135" s="444"/>
      <c r="L135" s="444"/>
      <c r="M135" s="444"/>
      <c r="N135" s="444"/>
    </row>
    <row r="136" spans="1:14" x14ac:dyDescent="0.3">
      <c r="B136" s="27"/>
      <c r="C136" s="27"/>
      <c r="D136" s="27"/>
      <c r="E136" s="27"/>
      <c r="F136" s="27"/>
      <c r="G136" s="27"/>
      <c r="H136" s="27"/>
      <c r="I136" s="27"/>
      <c r="J136" s="27"/>
      <c r="K136" s="444"/>
      <c r="L136" s="444"/>
      <c r="M136" s="444"/>
      <c r="N136" s="444"/>
    </row>
    <row r="137" spans="1:14" x14ac:dyDescent="0.3">
      <c r="B137" s="448"/>
      <c r="C137" s="27"/>
      <c r="D137" s="27"/>
      <c r="E137" s="27"/>
      <c r="F137" s="27"/>
      <c r="G137" s="27"/>
      <c r="H137" s="27"/>
      <c r="I137" s="27"/>
      <c r="J137" s="27"/>
      <c r="K137" s="444"/>
      <c r="L137" s="444"/>
      <c r="M137" s="444"/>
      <c r="N137" s="444"/>
    </row>
    <row r="138" spans="1:14" x14ac:dyDescent="0.3">
      <c r="B138" s="27"/>
      <c r="C138" s="443"/>
      <c r="D138" s="27"/>
      <c r="E138"/>
      <c r="F138" s="27"/>
      <c r="G138" s="27"/>
      <c r="H138" s="27"/>
      <c r="I138" s="27"/>
      <c r="J138" s="27"/>
      <c r="K138" s="444"/>
      <c r="L138" s="454"/>
      <c r="M138" s="454"/>
      <c r="N138" s="454"/>
    </row>
    <row r="139" spans="1:14" x14ac:dyDescent="0.3">
      <c r="B139" s="27"/>
      <c r="C139" s="443"/>
      <c r="D139" s="455"/>
      <c r="E139"/>
      <c r="F139" s="455"/>
      <c r="G139" s="455"/>
      <c r="H139" s="455"/>
      <c r="I139" s="455"/>
      <c r="J139" s="455"/>
      <c r="K139" s="454"/>
      <c r="L139" s="461"/>
      <c r="M139" s="461"/>
      <c r="N139" s="461"/>
    </row>
    <row r="140" spans="1:14" x14ac:dyDescent="0.3">
      <c r="B140" s="27"/>
      <c r="C140" s="443"/>
      <c r="D140" s="462"/>
      <c r="E140" s="462"/>
      <c r="F140" s="462"/>
      <c r="G140" s="462"/>
      <c r="H140" s="462"/>
      <c r="I140" s="462"/>
      <c r="J140" s="462"/>
      <c r="K140" s="461"/>
      <c r="L140" s="458"/>
      <c r="M140" s="458"/>
      <c r="N140" s="458"/>
    </row>
    <row r="141" spans="1:14" x14ac:dyDescent="0.3">
      <c r="B141" s="27"/>
      <c r="C141" s="460"/>
      <c r="D141" s="459"/>
      <c r="E141" s="459"/>
      <c r="F141" s="459"/>
      <c r="G141" s="459"/>
      <c r="H141" s="459"/>
      <c r="I141" s="459"/>
      <c r="J141" s="459"/>
      <c r="K141" s="458"/>
      <c r="L141" s="451"/>
      <c r="M141" s="451"/>
      <c r="N141" s="451"/>
    </row>
    <row r="142" spans="1:14" x14ac:dyDescent="0.3">
      <c r="B142" s="27"/>
      <c r="C142" s="457"/>
      <c r="D142" s="452"/>
      <c r="E142"/>
      <c r="F142" s="452"/>
      <c r="G142" s="452"/>
      <c r="H142" s="452"/>
      <c r="I142" s="452"/>
      <c r="J142" s="452"/>
      <c r="K142" s="451"/>
      <c r="L142" s="444"/>
      <c r="M142" s="444"/>
      <c r="N142" s="444"/>
    </row>
    <row r="143" spans="1:14" x14ac:dyDescent="0.3">
      <c r="B143" s="27"/>
      <c r="C143" s="27"/>
      <c r="D143" s="27"/>
      <c r="E143"/>
      <c r="F143" s="27"/>
      <c r="G143" s="27"/>
      <c r="H143" s="27"/>
      <c r="I143" s="27"/>
      <c r="J143" s="27"/>
      <c r="K143" s="444"/>
      <c r="L143" s="444"/>
      <c r="M143" s="444"/>
      <c r="N143" s="444"/>
    </row>
    <row r="144" spans="1:14" x14ac:dyDescent="0.3">
      <c r="D144" s="27"/>
      <c r="E144" s="27"/>
      <c r="F144" s="27"/>
      <c r="G144" s="27"/>
      <c r="H144" s="27"/>
      <c r="I144" s="27"/>
      <c r="J144" s="27"/>
      <c r="K144" s="444"/>
      <c r="L144" s="444"/>
      <c r="M144" s="444"/>
      <c r="N144" s="444"/>
    </row>
    <row r="145" spans="1:14" x14ac:dyDescent="0.3">
      <c r="B145" s="45"/>
      <c r="C145" s="27"/>
      <c r="D145" s="27"/>
      <c r="E145" s="27"/>
      <c r="F145" s="27"/>
      <c r="G145" s="27"/>
      <c r="H145" s="27"/>
      <c r="I145" s="27"/>
      <c r="J145" s="27"/>
      <c r="K145" s="444"/>
      <c r="L145" s="444"/>
      <c r="M145" s="444"/>
      <c r="N145" s="444"/>
    </row>
    <row r="146" spans="1:14" x14ac:dyDescent="0.3">
      <c r="B146" s="27"/>
      <c r="C146" s="27"/>
      <c r="D146" s="27"/>
      <c r="E146"/>
      <c r="F146" s="444"/>
      <c r="G146" s="444"/>
      <c r="H146" s="444"/>
      <c r="I146" s="444"/>
      <c r="J146" s="444"/>
      <c r="K146" s="444"/>
      <c r="L146" s="444"/>
      <c r="M146" s="444"/>
      <c r="N146" s="444"/>
    </row>
    <row r="147" spans="1:14" x14ac:dyDescent="0.3">
      <c r="B147" s="27"/>
      <c r="C147" s="443"/>
      <c r="D147" s="27"/>
      <c r="E147" s="27"/>
      <c r="F147" s="444"/>
      <c r="G147" s="444"/>
      <c r="H147" s="444"/>
      <c r="I147" s="444"/>
      <c r="J147" s="444"/>
      <c r="K147" s="444"/>
      <c r="L147" s="444"/>
      <c r="M147" s="444"/>
      <c r="N147" s="444"/>
    </row>
    <row r="148" spans="1:14" x14ac:dyDescent="0.3">
      <c r="B148" s="444"/>
      <c r="C148" s="27"/>
      <c r="D148" s="27"/>
      <c r="E148" s="27"/>
      <c r="F148" s="444"/>
      <c r="G148" s="444"/>
      <c r="H148" s="444"/>
      <c r="I148" s="444"/>
      <c r="J148" s="444"/>
      <c r="K148" s="444"/>
      <c r="L148" s="444"/>
      <c r="M148" s="444"/>
      <c r="N148" s="444"/>
    </row>
    <row r="149" spans="1:14" x14ac:dyDescent="0.3">
      <c r="B149" s="444"/>
      <c r="C149" s="27"/>
      <c r="D149" s="27"/>
      <c r="E149" s="27"/>
      <c r="F149" s="444"/>
      <c r="G149" s="444"/>
      <c r="H149" s="444"/>
      <c r="I149" s="444"/>
      <c r="J149" s="444"/>
      <c r="K149" s="444"/>
      <c r="L149" s="444"/>
      <c r="M149" s="444"/>
      <c r="N149" s="444"/>
    </row>
    <row r="150" spans="1:14" x14ac:dyDescent="0.3">
      <c r="A150" s="501"/>
      <c r="B150" s="444"/>
      <c r="C150" s="446"/>
      <c r="D150" s="27"/>
      <c r="E150" s="27"/>
      <c r="F150" s="444"/>
      <c r="G150" s="444"/>
      <c r="H150" s="444"/>
      <c r="I150" s="444"/>
      <c r="J150" s="444"/>
      <c r="K150" s="444"/>
      <c r="L150" s="444"/>
      <c r="M150" s="444"/>
      <c r="N150" s="444"/>
    </row>
    <row r="151" spans="1:14" x14ac:dyDescent="0.3">
      <c r="B151" s="66"/>
      <c r="C151" s="27"/>
      <c r="D151" s="27"/>
      <c r="E151" s="27"/>
      <c r="F151" s="444"/>
      <c r="G151" s="444"/>
      <c r="H151" s="444"/>
      <c r="I151" s="444"/>
      <c r="J151" s="444"/>
      <c r="K151" s="444"/>
      <c r="L151" s="444"/>
      <c r="M151" s="444"/>
      <c r="N151" s="444"/>
    </row>
    <row r="152" spans="1:14" x14ac:dyDescent="0.3">
      <c r="B152" s="66"/>
      <c r="C152" s="27"/>
      <c r="D152" s="27"/>
      <c r="E152" s="27"/>
      <c r="F152" s="444"/>
      <c r="G152" s="444"/>
      <c r="H152" s="444"/>
      <c r="I152" s="444"/>
      <c r="J152" s="444"/>
      <c r="K152" s="444"/>
      <c r="L152" s="444"/>
      <c r="M152" s="444"/>
      <c r="N152" s="444"/>
    </row>
    <row r="153" spans="1:14" x14ac:dyDescent="0.3">
      <c r="A153" s="120"/>
      <c r="B153" s="444"/>
      <c r="C153" s="27"/>
      <c r="D153" s="27"/>
      <c r="E153" s="27"/>
      <c r="F153" s="444"/>
      <c r="G153" s="444"/>
      <c r="H153" s="444"/>
      <c r="I153" s="444"/>
      <c r="J153" s="444"/>
      <c r="K153" s="444"/>
      <c r="L153" s="444"/>
      <c r="M153" s="444"/>
      <c r="N153" s="444"/>
    </row>
    <row r="154" spans="1:14" x14ac:dyDescent="0.3">
      <c r="A154" s="27"/>
      <c r="D154" s="27"/>
      <c r="E154" s="27"/>
      <c r="F154" s="444"/>
      <c r="G154" s="444"/>
      <c r="H154" s="444"/>
      <c r="I154" s="444"/>
      <c r="J154" s="444"/>
      <c r="K154" s="444"/>
      <c r="L154" s="444"/>
      <c r="M154" s="444"/>
      <c r="N154" s="444"/>
    </row>
    <row r="155" spans="1:14" x14ac:dyDescent="0.3">
      <c r="A155" s="27"/>
      <c r="B155" s="448"/>
      <c r="C155" s="27"/>
      <c r="D155" s="27"/>
      <c r="E155" s="27"/>
      <c r="F155" s="444"/>
      <c r="G155" s="444"/>
      <c r="H155" s="444"/>
      <c r="I155" s="444"/>
      <c r="J155" s="444"/>
      <c r="K155" s="444"/>
      <c r="L155" s="444"/>
      <c r="M155" s="444"/>
      <c r="N155" s="444"/>
    </row>
    <row r="156" spans="1:14" x14ac:dyDescent="0.3">
      <c r="A156" s="27"/>
      <c r="B156" s="27"/>
      <c r="C156" s="27"/>
      <c r="D156" s="27"/>
      <c r="E156" s="27"/>
      <c r="F156" s="444"/>
      <c r="G156" s="444"/>
      <c r="H156" s="444"/>
      <c r="I156" s="444"/>
      <c r="J156" s="444"/>
      <c r="K156" s="444"/>
      <c r="L156" s="444"/>
      <c r="M156" s="444"/>
      <c r="N156" s="444"/>
    </row>
    <row r="157" spans="1:14" x14ac:dyDescent="0.3">
      <c r="A157" s="27"/>
      <c r="B157" s="27"/>
      <c r="C157" s="27"/>
      <c r="D157" s="27"/>
      <c r="E157" s="27"/>
      <c r="F157" s="444"/>
      <c r="G157" s="444"/>
      <c r="H157" s="444"/>
      <c r="I157" s="444"/>
      <c r="J157" s="444"/>
      <c r="K157" s="444"/>
      <c r="L157" s="444"/>
      <c r="M157" s="444"/>
      <c r="N157" s="444"/>
    </row>
    <row r="158" spans="1:14" x14ac:dyDescent="0.3">
      <c r="A158" s="27"/>
      <c r="B158" s="27"/>
      <c r="C158" s="446"/>
      <c r="D158" s="27"/>
      <c r="E158" s="27"/>
      <c r="F158" s="444"/>
      <c r="G158" s="444"/>
      <c r="H158" s="444"/>
      <c r="I158" s="444"/>
      <c r="J158" s="444"/>
      <c r="K158" s="444"/>
      <c r="L158" s="444"/>
      <c r="M158" s="444"/>
      <c r="N158" s="444"/>
    </row>
    <row r="159" spans="1:14" x14ac:dyDescent="0.3">
      <c r="A159" s="27"/>
      <c r="B159" s="447"/>
      <c r="C159" s="446"/>
      <c r="D159" s="27"/>
      <c r="E159" s="27"/>
      <c r="F159" s="444"/>
      <c r="G159" s="444"/>
      <c r="H159" s="444"/>
      <c r="I159" s="444"/>
      <c r="J159" s="444"/>
      <c r="K159" s="444"/>
      <c r="L159" s="444"/>
      <c r="M159" s="444"/>
      <c r="N159" s="444"/>
    </row>
    <row r="160" spans="1:14" x14ac:dyDescent="0.3">
      <c r="A160" s="27"/>
      <c r="B160" s="27"/>
      <c r="C160" s="27"/>
      <c r="D160" s="27"/>
      <c r="E160" s="27"/>
      <c r="F160" s="444"/>
      <c r="G160" s="444"/>
      <c r="H160" s="444"/>
      <c r="I160" s="444"/>
      <c r="J160" s="444"/>
      <c r="K160" s="444"/>
      <c r="L160" s="444"/>
      <c r="M160" s="444"/>
      <c r="N160" s="444"/>
    </row>
    <row r="161" spans="1:14" x14ac:dyDescent="0.3">
      <c r="A161" s="27"/>
      <c r="B161" s="27"/>
      <c r="C161" s="27"/>
      <c r="D161" s="27"/>
      <c r="E161" s="27"/>
      <c r="F161" s="444"/>
      <c r="G161" s="444"/>
      <c r="H161" s="444"/>
      <c r="I161" s="444"/>
      <c r="J161" s="444"/>
      <c r="K161" s="444"/>
      <c r="L161" s="444"/>
      <c r="M161" s="444"/>
      <c r="N161" s="444"/>
    </row>
    <row r="162" spans="1:14" x14ac:dyDescent="0.3">
      <c r="A162" s="27"/>
      <c r="B162" s="27"/>
      <c r="C162" s="27"/>
      <c r="D162" s="27"/>
      <c r="E162" s="27"/>
      <c r="F162" s="444"/>
      <c r="G162" s="444"/>
      <c r="H162" s="444"/>
      <c r="I162" s="444"/>
      <c r="J162" s="444"/>
      <c r="K162" s="444"/>
      <c r="L162" s="444"/>
      <c r="M162" s="444"/>
      <c r="N162" s="444"/>
    </row>
    <row r="163" spans="1:14" x14ac:dyDescent="0.3">
      <c r="A163" s="27"/>
      <c r="B163" s="27"/>
      <c r="C163" s="446"/>
      <c r="D163" s="27"/>
      <c r="E163"/>
      <c r="F163" s="444"/>
      <c r="G163" s="444"/>
      <c r="H163" s="444"/>
      <c r="I163" s="444"/>
      <c r="J163" s="444"/>
      <c r="K163" s="444"/>
      <c r="L163" s="444"/>
      <c r="M163" s="444"/>
      <c r="N163" s="444"/>
    </row>
    <row r="164" spans="1:14" x14ac:dyDescent="0.3">
      <c r="A164" s="27"/>
      <c r="B164" s="447"/>
      <c r="C164" s="446"/>
      <c r="D164" s="27"/>
      <c r="E164" s="27"/>
      <c r="F164" s="444"/>
      <c r="G164" s="444"/>
      <c r="H164" s="444"/>
      <c r="I164" s="444"/>
      <c r="J164" s="444"/>
      <c r="K164" s="444"/>
      <c r="L164" s="444"/>
      <c r="M164" s="444"/>
      <c r="N164" s="444"/>
    </row>
    <row r="165" spans="1:14" x14ac:dyDescent="0.3">
      <c r="A165" s="27"/>
      <c r="B165" s="27"/>
      <c r="C165" s="27"/>
      <c r="D165" s="27"/>
      <c r="E165" s="27"/>
      <c r="F165" s="444"/>
      <c r="G165" s="444"/>
      <c r="H165" s="444"/>
      <c r="I165" s="444"/>
      <c r="J165" s="444"/>
      <c r="K165" s="444"/>
      <c r="L165" s="444"/>
      <c r="M165" s="444"/>
      <c r="N165" s="444"/>
    </row>
    <row r="166" spans="1:14" x14ac:dyDescent="0.3">
      <c r="A166" s="27"/>
      <c r="B166" s="27"/>
      <c r="C166" s="27"/>
      <c r="D166" s="27"/>
      <c r="E166" s="27"/>
      <c r="F166" s="444"/>
      <c r="G166" s="444"/>
      <c r="H166" s="444"/>
      <c r="I166" s="444"/>
      <c r="J166" s="444"/>
      <c r="K166" s="444"/>
      <c r="L166" s="444"/>
      <c r="M166" s="444"/>
      <c r="N166" s="444"/>
    </row>
    <row r="167" spans="1:14" x14ac:dyDescent="0.3">
      <c r="A167" s="27"/>
      <c r="B167" s="27"/>
      <c r="C167" s="27"/>
      <c r="D167" s="455"/>
      <c r="E167" s="455"/>
      <c r="F167" s="454"/>
      <c r="G167" s="454"/>
      <c r="H167" s="454"/>
      <c r="I167" s="454"/>
      <c r="J167" s="454"/>
      <c r="K167" s="444"/>
      <c r="L167" s="444"/>
      <c r="M167" s="444"/>
      <c r="N167" s="444"/>
    </row>
    <row r="168" spans="1:14" x14ac:dyDescent="0.3">
      <c r="A168" s="27"/>
      <c r="B168" s="27"/>
      <c r="C168" s="27"/>
      <c r="D168" s="27"/>
      <c r="E168" s="455"/>
      <c r="F168" s="454"/>
      <c r="G168" s="454"/>
      <c r="H168" s="454"/>
      <c r="I168" s="454"/>
      <c r="J168" s="454"/>
      <c r="K168" s="444"/>
      <c r="L168" s="444"/>
      <c r="M168" s="444"/>
      <c r="N168" s="444"/>
    </row>
    <row r="169" spans="1:14" x14ac:dyDescent="0.3">
      <c r="B169" s="27"/>
      <c r="C169" s="453"/>
      <c r="D169" s="452"/>
      <c r="E169" s="452"/>
      <c r="F169" s="451"/>
      <c r="G169" s="451"/>
      <c r="H169" s="451"/>
      <c r="I169" s="451"/>
      <c r="J169" s="451"/>
      <c r="K169" s="444"/>
      <c r="L169" s="444"/>
      <c r="M169" s="444"/>
      <c r="N169" s="444"/>
    </row>
    <row r="170" spans="1:14" x14ac:dyDescent="0.3">
      <c r="B170" s="45"/>
      <c r="C170" s="445"/>
      <c r="D170" s="451"/>
      <c r="E170" s="451"/>
      <c r="F170" s="451"/>
      <c r="G170" s="451"/>
      <c r="H170" s="451"/>
      <c r="I170" s="451"/>
      <c r="J170" s="451"/>
      <c r="K170" s="444"/>
      <c r="L170" s="444"/>
      <c r="M170" s="444"/>
      <c r="N170" s="444"/>
    </row>
    <row r="171" spans="1:14" x14ac:dyDescent="0.3">
      <c r="B171" s="27"/>
      <c r="C171" s="27"/>
      <c r="D171" s="444"/>
      <c r="E171" s="444"/>
      <c r="F171" s="444"/>
      <c r="G171" s="444"/>
      <c r="H171" s="444"/>
      <c r="I171" s="444"/>
      <c r="J171" s="444"/>
      <c r="K171" s="444"/>
      <c r="L171" s="444"/>
      <c r="M171" s="444"/>
      <c r="N171" s="444"/>
    </row>
    <row r="172" spans="1:14" x14ac:dyDescent="0.3">
      <c r="B172" s="27"/>
      <c r="C172" s="443"/>
      <c r="D172" s="444"/>
      <c r="E172" s="444"/>
      <c r="F172" s="444"/>
      <c r="G172" s="444"/>
      <c r="H172" s="444"/>
      <c r="I172" s="444"/>
      <c r="J172" s="444"/>
      <c r="K172" s="444"/>
      <c r="L172" s="444"/>
      <c r="M172" s="444"/>
      <c r="N172" s="444"/>
    </row>
    <row r="173" spans="1:14" x14ac:dyDescent="0.3">
      <c r="B173" s="27"/>
      <c r="C173" s="27"/>
      <c r="D173" s="444"/>
      <c r="E173"/>
      <c r="F173" s="444"/>
      <c r="G173" s="444"/>
      <c r="H173" s="444"/>
      <c r="I173" s="444"/>
      <c r="J173" s="444"/>
      <c r="K173" s="444"/>
      <c r="L173" s="444"/>
      <c r="M173" s="444"/>
      <c r="N173" s="444"/>
    </row>
    <row r="174" spans="1:14" x14ac:dyDescent="0.3">
      <c r="B174" s="27"/>
      <c r="C174" s="27"/>
      <c r="D174" s="444"/>
      <c r="E174" s="444"/>
      <c r="F174" s="444"/>
      <c r="G174" s="444"/>
      <c r="H174" s="444"/>
      <c r="I174" s="444"/>
      <c r="J174" s="444"/>
      <c r="K174" s="444"/>
      <c r="L174" s="444"/>
      <c r="M174" s="444"/>
      <c r="N174" s="444"/>
    </row>
    <row r="175" spans="1:14" x14ac:dyDescent="0.3">
      <c r="B175" s="27"/>
      <c r="C175" s="443"/>
      <c r="D175" s="444"/>
      <c r="E175" s="444"/>
      <c r="F175" s="444"/>
      <c r="G175" s="444"/>
      <c r="H175" s="444"/>
      <c r="I175" s="444"/>
      <c r="J175" s="444"/>
      <c r="K175" s="444"/>
      <c r="L175" s="444"/>
      <c r="M175" s="444"/>
      <c r="N175" s="444"/>
    </row>
    <row r="176" spans="1:14" x14ac:dyDescent="0.3">
      <c r="B176" s="27"/>
      <c r="C176" s="27"/>
      <c r="D176" s="444"/>
      <c r="E176"/>
      <c r="F176" s="444"/>
      <c r="G176" s="444"/>
      <c r="H176" s="444"/>
      <c r="I176" s="444"/>
      <c r="J176" s="444"/>
      <c r="K176" s="444"/>
      <c r="L176" s="444"/>
      <c r="M176" s="444"/>
      <c r="N176" s="444"/>
    </row>
    <row r="177" spans="1:14" x14ac:dyDescent="0.3">
      <c r="B177" s="27"/>
      <c r="C177" s="443"/>
      <c r="D177" s="444"/>
      <c r="E177"/>
      <c r="F177" s="444"/>
      <c r="G177" s="444"/>
      <c r="H177" s="444"/>
      <c r="I177" s="444"/>
      <c r="J177" s="444"/>
      <c r="K177" s="444"/>
      <c r="L177" s="444"/>
      <c r="M177" s="444"/>
      <c r="N177" s="444"/>
    </row>
    <row r="178" spans="1:14" x14ac:dyDescent="0.3">
      <c r="B178" s="27"/>
      <c r="C178" s="27"/>
      <c r="D178" s="444"/>
      <c r="E178" s="444"/>
      <c r="F178" s="444"/>
      <c r="G178" s="444"/>
      <c r="H178" s="444"/>
      <c r="I178" s="444"/>
      <c r="J178" s="444"/>
      <c r="K178" s="444"/>
      <c r="L178" s="444"/>
      <c r="M178" s="444"/>
      <c r="N178" s="444"/>
    </row>
    <row r="179" spans="1:14" x14ac:dyDescent="0.3">
      <c r="B179" s="27"/>
      <c r="C179" s="27"/>
      <c r="D179" s="444"/>
      <c r="E179" s="444"/>
      <c r="F179" s="444"/>
      <c r="G179" s="444"/>
      <c r="H179" s="444"/>
      <c r="I179" s="444"/>
      <c r="J179" s="444"/>
      <c r="K179" s="444"/>
      <c r="L179" s="444"/>
      <c r="M179" s="444"/>
      <c r="N179" s="444"/>
    </row>
    <row r="180" spans="1:14" x14ac:dyDescent="0.3">
      <c r="B180" s="27"/>
      <c r="C180" s="27"/>
      <c r="D180" s="444"/>
      <c r="E180" s="444"/>
      <c r="F180" s="444"/>
      <c r="G180" s="444"/>
      <c r="H180" s="444"/>
      <c r="I180" s="444"/>
      <c r="J180" s="444"/>
      <c r="K180" s="444"/>
      <c r="L180" s="444"/>
      <c r="M180" s="444"/>
      <c r="N180" s="444"/>
    </row>
    <row r="181" spans="1:14" x14ac:dyDescent="0.3">
      <c r="B181" s="27"/>
      <c r="C181" s="446"/>
      <c r="D181" s="444"/>
      <c r="E181" s="444"/>
      <c r="F181" s="444"/>
      <c r="G181" s="444"/>
      <c r="H181" s="444"/>
      <c r="I181" s="444"/>
      <c r="J181" s="444"/>
      <c r="K181" s="444"/>
      <c r="L181" s="444"/>
      <c r="M181" s="444"/>
      <c r="N181" s="444"/>
    </row>
    <row r="182" spans="1:14" x14ac:dyDescent="0.3">
      <c r="A182" s="501"/>
      <c r="B182" s="66"/>
      <c r="C182" s="27"/>
      <c r="D182" s="444"/>
      <c r="E182" s="444"/>
      <c r="F182" s="444"/>
      <c r="G182" s="444"/>
      <c r="H182" s="444"/>
      <c r="I182" s="444"/>
      <c r="J182" s="444"/>
      <c r="K182" s="444"/>
      <c r="L182" s="444"/>
      <c r="M182" s="444"/>
      <c r="N182" s="444"/>
    </row>
    <row r="183" spans="1:14" x14ac:dyDescent="0.3">
      <c r="A183" s="120"/>
      <c r="B183" s="27"/>
      <c r="C183" s="444"/>
      <c r="D183" s="444"/>
      <c r="E183" s="444"/>
      <c r="F183" s="444"/>
      <c r="G183" s="444"/>
      <c r="H183" s="444"/>
      <c r="I183" s="444"/>
      <c r="J183" s="444"/>
      <c r="K183" s="444"/>
      <c r="L183" s="444"/>
      <c r="M183" s="444"/>
      <c r="N183" s="444"/>
    </row>
    <row r="184" spans="1:14" x14ac:dyDescent="0.3">
      <c r="B184" s="450"/>
      <c r="C184" s="27"/>
      <c r="D184" s="27"/>
      <c r="E184" s="27"/>
      <c r="F184" s="27"/>
      <c r="G184" s="444"/>
      <c r="H184" s="444"/>
      <c r="I184" s="444"/>
      <c r="J184" s="444"/>
      <c r="K184" s="444"/>
      <c r="L184" s="444"/>
      <c r="M184" s="444"/>
      <c r="N184" s="444"/>
    </row>
    <row r="185" spans="1:14" x14ac:dyDescent="0.3">
      <c r="B185" s="449"/>
      <c r="C185" s="27"/>
      <c r="D185" s="27"/>
      <c r="E185" s="27"/>
      <c r="F185" s="27"/>
      <c r="G185" s="444"/>
      <c r="H185" s="444"/>
      <c r="I185" s="444"/>
      <c r="J185" s="444"/>
      <c r="K185" s="444"/>
      <c r="L185" s="444"/>
      <c r="M185" s="444"/>
      <c r="N185" s="444"/>
    </row>
    <row r="186" spans="1:14" x14ac:dyDescent="0.3">
      <c r="C186" s="27"/>
      <c r="D186" s="27"/>
      <c r="E186" s="27"/>
      <c r="F186" s="27"/>
      <c r="G186" s="444"/>
      <c r="H186" s="444"/>
      <c r="I186" s="444"/>
      <c r="J186" s="444"/>
      <c r="K186" s="444"/>
      <c r="L186" s="444"/>
      <c r="M186" s="444"/>
      <c r="N186" s="444"/>
    </row>
    <row r="187" spans="1:14" x14ac:dyDescent="0.3">
      <c r="B187" s="448"/>
      <c r="C187" s="27"/>
      <c r="D187" s="27"/>
      <c r="E187" s="27"/>
      <c r="F187" s="27"/>
      <c r="G187" s="444"/>
      <c r="H187" s="444"/>
      <c r="I187" s="444"/>
      <c r="J187" s="444"/>
      <c r="K187" s="444"/>
      <c r="L187" s="444"/>
      <c r="M187" s="444"/>
      <c r="N187" s="444"/>
    </row>
    <row r="188" spans="1:14" x14ac:dyDescent="0.3">
      <c r="B188" s="27"/>
      <c r="C188" s="27"/>
      <c r="D188" s="27"/>
      <c r="E188" s="27"/>
      <c r="F188" s="27"/>
      <c r="G188" s="444"/>
      <c r="H188" s="444"/>
      <c r="I188" s="444"/>
      <c r="J188" s="444"/>
      <c r="K188" s="444"/>
      <c r="L188" s="444"/>
      <c r="M188" s="444"/>
      <c r="N188" s="444"/>
    </row>
    <row r="189" spans="1:14" x14ac:dyDescent="0.3">
      <c r="B189" s="27"/>
      <c r="C189" s="27"/>
      <c r="D189" s="27"/>
      <c r="E189"/>
      <c r="F189" s="27"/>
      <c r="G189" s="444"/>
      <c r="H189" s="444"/>
      <c r="I189" s="444"/>
      <c r="J189" s="444"/>
      <c r="K189" s="444"/>
      <c r="L189" s="444"/>
      <c r="M189" s="444"/>
      <c r="N189" s="444"/>
    </row>
    <row r="190" spans="1:14" x14ac:dyDescent="0.3">
      <c r="B190" s="27"/>
      <c r="C190" s="446"/>
      <c r="D190" s="27"/>
      <c r="E190" s="27"/>
      <c r="F190" s="27"/>
      <c r="G190" s="444"/>
      <c r="H190" s="444"/>
      <c r="I190" s="444"/>
      <c r="J190" s="444"/>
      <c r="K190" s="444"/>
      <c r="L190" s="444"/>
      <c r="M190" s="444"/>
      <c r="N190" s="444"/>
    </row>
    <row r="191" spans="1:14" x14ac:dyDescent="0.3">
      <c r="B191" s="447"/>
      <c r="C191" s="446"/>
      <c r="D191" s="27"/>
      <c r="E191" s="27"/>
      <c r="F191" s="27"/>
      <c r="G191" s="444"/>
      <c r="H191" s="444"/>
      <c r="I191" s="444"/>
      <c r="J191" s="444"/>
      <c r="K191" s="444"/>
      <c r="L191" s="444"/>
      <c r="M191" s="444"/>
      <c r="N191" s="444"/>
    </row>
    <row r="192" spans="1:14" x14ac:dyDescent="0.3">
      <c r="B192" s="27"/>
      <c r="C192" s="27"/>
      <c r="D192" s="27"/>
      <c r="E192" s="27"/>
      <c r="F192" s="27"/>
      <c r="G192" s="444"/>
      <c r="H192" s="444"/>
      <c r="I192" s="444"/>
      <c r="J192" s="444"/>
      <c r="K192" s="444"/>
      <c r="L192" s="444"/>
      <c r="M192" s="444"/>
      <c r="N192" s="444"/>
    </row>
    <row r="193" spans="2:14" x14ac:dyDescent="0.3">
      <c r="B193" s="27"/>
      <c r="C193" s="27"/>
      <c r="D193" s="27"/>
      <c r="E193" s="27"/>
      <c r="F193" s="27"/>
      <c r="G193" s="444"/>
      <c r="H193" s="444"/>
      <c r="I193" s="444"/>
      <c r="J193" s="444"/>
      <c r="K193" s="444"/>
      <c r="L193" s="444"/>
      <c r="M193" s="444"/>
      <c r="N193" s="444"/>
    </row>
    <row r="194" spans="2:14" x14ac:dyDescent="0.3">
      <c r="B194" s="27"/>
      <c r="C194" s="27"/>
      <c r="D194" s="27"/>
      <c r="E194" s="27"/>
      <c r="F194"/>
      <c r="G194" s="444"/>
      <c r="H194" s="444"/>
      <c r="I194" s="444"/>
      <c r="J194" s="444"/>
      <c r="K194" s="444"/>
      <c r="L194" s="444"/>
      <c r="M194" s="444"/>
      <c r="N194" s="444"/>
    </row>
    <row r="195" spans="2:14" x14ac:dyDescent="0.3">
      <c r="B195" s="27"/>
      <c r="C195" s="446"/>
      <c r="D195" s="27"/>
      <c r="E195" s="27"/>
      <c r="F195" s="27"/>
      <c r="G195" s="444"/>
      <c r="H195" s="444"/>
      <c r="I195" s="444"/>
      <c r="J195" s="444"/>
      <c r="K195" s="444"/>
      <c r="L195" s="444"/>
      <c r="M195" s="444"/>
      <c r="N195" s="444"/>
    </row>
    <row r="196" spans="2:14" x14ac:dyDescent="0.3">
      <c r="B196" s="447"/>
      <c r="C196" s="446"/>
      <c r="D196" s="27"/>
      <c r="E196" s="27"/>
      <c r="F196" s="27"/>
      <c r="G196" s="444"/>
      <c r="H196" s="444"/>
      <c r="I196" s="444"/>
      <c r="J196" s="444"/>
      <c r="K196" s="444"/>
      <c r="L196" s="444"/>
      <c r="M196" s="444"/>
      <c r="N196" s="444"/>
    </row>
    <row r="197" spans="2:14" x14ac:dyDescent="0.3">
      <c r="B197" s="27"/>
      <c r="C197" s="27"/>
      <c r="D197" s="27"/>
      <c r="E197" s="27"/>
      <c r="F197" s="27"/>
      <c r="G197" s="444"/>
      <c r="H197" s="444"/>
      <c r="I197" s="444"/>
      <c r="J197" s="444"/>
      <c r="K197" s="444"/>
      <c r="L197" s="444"/>
      <c r="M197" s="444"/>
      <c r="N197" s="444"/>
    </row>
    <row r="198" spans="2:14" x14ac:dyDescent="0.3">
      <c r="B198" s="27"/>
      <c r="C198" s="27"/>
      <c r="D198" s="27"/>
      <c r="E198" s="27"/>
      <c r="F198" s="27"/>
      <c r="G198" s="444"/>
      <c r="H198" s="444"/>
      <c r="I198" s="444"/>
      <c r="J198" s="444"/>
      <c r="K198" s="444"/>
      <c r="L198" s="444"/>
      <c r="M198" s="444"/>
      <c r="N198" s="444"/>
    </row>
    <row r="199" spans="2:14" x14ac:dyDescent="0.3">
      <c r="B199" s="27"/>
      <c r="C199" s="27"/>
      <c r="D199" s="27"/>
      <c r="E199" s="27"/>
      <c r="F199" s="27"/>
      <c r="G199" s="444"/>
      <c r="H199" s="444"/>
      <c r="I199" s="444"/>
      <c r="J199" s="444"/>
      <c r="K199" s="444"/>
      <c r="L199" s="444"/>
      <c r="M199" s="444"/>
      <c r="N199" s="444"/>
    </row>
    <row r="200" spans="2:14" x14ac:dyDescent="0.3">
      <c r="B200" s="27"/>
      <c r="C200" s="27"/>
      <c r="D200" s="27"/>
      <c r="E200" s="27"/>
      <c r="F200" s="27"/>
      <c r="G200" s="444"/>
      <c r="H200" s="444"/>
      <c r="I200" s="444"/>
      <c r="J200" s="444"/>
      <c r="K200" s="444"/>
      <c r="L200" s="444"/>
      <c r="M200" s="444"/>
      <c r="N200" s="444"/>
    </row>
    <row r="201" spans="2:14" x14ac:dyDescent="0.3">
      <c r="B201" s="27"/>
      <c r="C201" s="28"/>
      <c r="D201" s="27"/>
      <c r="E201"/>
      <c r="F201" s="27"/>
      <c r="G201" s="444"/>
      <c r="H201" s="444"/>
      <c r="I201" s="444"/>
      <c r="J201" s="444"/>
      <c r="K201" s="444"/>
      <c r="L201" s="444"/>
      <c r="M201" s="444"/>
      <c r="N201" s="444"/>
    </row>
    <row r="202" spans="2:14" x14ac:dyDescent="0.3">
      <c r="B202" s="27"/>
      <c r="C202" s="27"/>
      <c r="D202" s="27"/>
      <c r="E202" s="27"/>
      <c r="F202" s="27"/>
      <c r="G202" s="444"/>
      <c r="H202" s="444"/>
      <c r="I202" s="444"/>
      <c r="J202" s="444"/>
      <c r="K202" s="444"/>
      <c r="L202" s="444"/>
      <c r="M202" s="444"/>
      <c r="N202" s="444"/>
    </row>
    <row r="203" spans="2:14" x14ac:dyDescent="0.3">
      <c r="B203" s="27"/>
      <c r="C203" s="27"/>
      <c r="D203" s="27"/>
      <c r="E203" s="27"/>
      <c r="F203" s="27"/>
      <c r="G203" s="444"/>
      <c r="H203" s="444"/>
      <c r="I203" s="444"/>
      <c r="J203" s="444"/>
      <c r="K203" s="444"/>
      <c r="L203" s="444"/>
      <c r="M203" s="444"/>
      <c r="N203" s="444"/>
    </row>
    <row r="204" spans="2:14" x14ac:dyDescent="0.3">
      <c r="B204" s="45"/>
      <c r="C204" s="445"/>
      <c r="D204" s="27"/>
      <c r="E204" s="27"/>
      <c r="F204" s="27"/>
      <c r="G204" s="444"/>
      <c r="H204" s="444"/>
      <c r="I204" s="444"/>
      <c r="J204" s="444"/>
      <c r="K204" s="444"/>
      <c r="L204" s="444"/>
      <c r="M204" s="444"/>
      <c r="N204" s="444"/>
    </row>
    <row r="205" spans="2:14" x14ac:dyDescent="0.3">
      <c r="B205" s="27"/>
      <c r="C205" s="27"/>
      <c r="D205" s="27"/>
      <c r="E205" s="27"/>
      <c r="F205" s="27"/>
      <c r="G205" s="444"/>
      <c r="H205" s="444"/>
      <c r="I205" s="444"/>
      <c r="J205" s="444"/>
      <c r="K205" s="444"/>
      <c r="L205" s="444"/>
      <c r="M205" s="444"/>
      <c r="N205" s="444"/>
    </row>
    <row r="206" spans="2:14" x14ac:dyDescent="0.3">
      <c r="B206" s="27"/>
      <c r="C206" s="443"/>
      <c r="D206" s="27"/>
      <c r="E206" s="27"/>
      <c r="F206" s="27"/>
      <c r="G206" s="444"/>
      <c r="H206" s="444"/>
      <c r="I206" s="444"/>
      <c r="J206" s="444"/>
      <c r="K206" s="444"/>
      <c r="L206" s="444"/>
      <c r="M206" s="444"/>
      <c r="N206" s="444"/>
    </row>
    <row r="207" spans="2:14" x14ac:dyDescent="0.3">
      <c r="B207" s="27"/>
      <c r="C207" s="27"/>
      <c r="D207" s="27"/>
      <c r="E207" s="27"/>
      <c r="F207" s="27"/>
      <c r="G207" s="444"/>
      <c r="H207" s="444"/>
      <c r="I207" s="444"/>
      <c r="J207" s="444"/>
      <c r="K207" s="444"/>
      <c r="L207" s="444"/>
      <c r="M207" s="444"/>
      <c r="N207" s="444"/>
    </row>
    <row r="208" spans="2:14" x14ac:dyDescent="0.3">
      <c r="B208" s="27"/>
      <c r="C208" s="27"/>
    </row>
    <row r="209" spans="1:5" x14ac:dyDescent="0.3">
      <c r="B209" s="27"/>
      <c r="C209" s="443"/>
    </row>
    <row r="210" spans="1:5" x14ac:dyDescent="0.3">
      <c r="B210" s="27"/>
      <c r="C210" s="27"/>
    </row>
    <row r="211" spans="1:5" x14ac:dyDescent="0.3">
      <c r="B211" s="27"/>
      <c r="C211" s="443"/>
    </row>
    <row r="218" spans="1:5" x14ac:dyDescent="0.3">
      <c r="A218" s="501"/>
      <c r="B218" s="66"/>
    </row>
    <row r="219" spans="1:5" x14ac:dyDescent="0.3">
      <c r="B219" s="66"/>
      <c r="E219" s="9"/>
    </row>
    <row r="221" spans="1:5" x14ac:dyDescent="0.3">
      <c r="B221" s="3"/>
    </row>
    <row r="222" spans="1:5" x14ac:dyDescent="0.3">
      <c r="D222" s="441"/>
    </row>
    <row r="223" spans="1:5" x14ac:dyDescent="0.3">
      <c r="D223" s="441"/>
    </row>
    <row r="224" spans="1:5" x14ac:dyDescent="0.3">
      <c r="D224" s="441"/>
    </row>
    <row r="225" spans="2:7" x14ac:dyDescent="0.3">
      <c r="D225" s="441"/>
      <c r="E225" s="8"/>
      <c r="F225" s="8"/>
    </row>
    <row r="226" spans="2:7" x14ac:dyDescent="0.3">
      <c r="D226" s="22"/>
      <c r="E226" s="22"/>
      <c r="F226" s="22"/>
    </row>
    <row r="227" spans="2:7" x14ac:dyDescent="0.3">
      <c r="C227" s="9"/>
      <c r="D227" s="433"/>
      <c r="E227" s="433"/>
      <c r="F227" s="433"/>
    </row>
    <row r="228" spans="2:7" x14ac:dyDescent="0.3">
      <c r="D228" s="440"/>
      <c r="E228" s="440"/>
      <c r="F228" s="440"/>
    </row>
    <row r="229" spans="2:7" x14ac:dyDescent="0.3">
      <c r="B229" s="45"/>
      <c r="D229" s="64"/>
      <c r="E229" s="64"/>
      <c r="F229" s="64"/>
      <c r="G229" s="90"/>
    </row>
    <row r="231" spans="2:7" x14ac:dyDescent="0.3">
      <c r="D231" s="8"/>
      <c r="E231" s="8"/>
      <c r="F231" s="8"/>
      <c r="G231" s="8"/>
    </row>
    <row r="232" spans="2:7" x14ac:dyDescent="0.3">
      <c r="D232" s="441"/>
      <c r="E232" s="492"/>
      <c r="F232" s="492"/>
      <c r="G232" s="492"/>
    </row>
    <row r="235" spans="2:7" x14ac:dyDescent="0.3">
      <c r="C235" s="437"/>
    </row>
    <row r="244" spans="3:7" x14ac:dyDescent="0.3">
      <c r="C244" s="437"/>
    </row>
    <row r="246" spans="3:7" x14ac:dyDescent="0.3">
      <c r="C246" s="437"/>
    </row>
    <row r="248" spans="3:7" x14ac:dyDescent="0.3">
      <c r="C248" s="437"/>
    </row>
    <row r="251" spans="3:7" x14ac:dyDescent="0.3">
      <c r="D251" s="8"/>
      <c r="E251" s="8"/>
      <c r="F251" s="8"/>
      <c r="G251" s="8"/>
    </row>
    <row r="252" spans="3:7" x14ac:dyDescent="0.3">
      <c r="D252" s="441"/>
      <c r="E252" s="441"/>
      <c r="F252" s="441"/>
      <c r="G252" s="441"/>
    </row>
    <row r="253" spans="3:7" x14ac:dyDescent="0.3">
      <c r="D253" s="15"/>
      <c r="E253" s="15"/>
      <c r="F253" s="15"/>
      <c r="G253" s="15"/>
    </row>
    <row r="254" spans="3:7" x14ac:dyDescent="0.3">
      <c r="D254" s="15"/>
      <c r="E254" s="15"/>
      <c r="F254" s="15"/>
      <c r="G254" s="15"/>
    </row>
    <row r="255" spans="3:7" x14ac:dyDescent="0.3">
      <c r="D255" s="15"/>
      <c r="E255" s="15"/>
      <c r="F255" s="15"/>
      <c r="G255" s="15"/>
    </row>
    <row r="256" spans="3:7" x14ac:dyDescent="0.3">
      <c r="D256" s="441"/>
      <c r="E256" s="441"/>
      <c r="F256" s="441"/>
      <c r="G256" s="441"/>
    </row>
    <row r="257" spans="1:7" x14ac:dyDescent="0.3">
      <c r="D257" s="441"/>
      <c r="E257" s="441"/>
      <c r="F257" s="441"/>
      <c r="G257" s="441"/>
    </row>
    <row r="258" spans="1:7" x14ac:dyDescent="0.3">
      <c r="D258" s="441"/>
      <c r="E258" s="441"/>
      <c r="F258" s="441"/>
      <c r="G258" s="441"/>
    </row>
    <row r="260" spans="1:7" x14ac:dyDescent="0.3">
      <c r="D260" s="469"/>
    </row>
    <row r="261" spans="1:7" x14ac:dyDescent="0.3">
      <c r="D261" s="469"/>
    </row>
    <row r="262" spans="1:7" x14ac:dyDescent="0.3">
      <c r="D262" s="469"/>
    </row>
    <row r="266" spans="1:7" x14ac:dyDescent="0.3">
      <c r="A266" s="501"/>
      <c r="B266" s="233"/>
    </row>
    <row r="269" spans="1:7" x14ac:dyDescent="0.3">
      <c r="B269" s="3"/>
    </row>
    <row r="270" spans="1:7" x14ac:dyDescent="0.3">
      <c r="C270" s="5"/>
    </row>
    <row r="272" spans="1:7" x14ac:dyDescent="0.3">
      <c r="C272" s="9"/>
    </row>
    <row r="273" spans="2:5" x14ac:dyDescent="0.3">
      <c r="C273" s="120"/>
    </row>
    <row r="274" spans="2:5" x14ac:dyDescent="0.3">
      <c r="D274" s="22"/>
    </row>
    <row r="275" spans="2:5" x14ac:dyDescent="0.3">
      <c r="C275" s="9"/>
      <c r="D275" s="433"/>
    </row>
    <row r="278" spans="2:5" x14ac:dyDescent="0.3">
      <c r="B278" s="45"/>
    </row>
    <row r="281" spans="2:5" x14ac:dyDescent="0.3">
      <c r="C281" s="9"/>
    </row>
    <row r="283" spans="2:5" x14ac:dyDescent="0.3">
      <c r="B283"/>
    </row>
    <row r="286" spans="2:5" x14ac:dyDescent="0.3">
      <c r="B286"/>
      <c r="C286" s="432"/>
      <c r="E286"/>
    </row>
    <row r="288" spans="2:5" x14ac:dyDescent="0.3">
      <c r="C288" s="500"/>
    </row>
    <row r="293" spans="2:9" x14ac:dyDescent="0.3">
      <c r="B293" s="499"/>
      <c r="C293" s="499"/>
      <c r="D293" s="499"/>
      <c r="E293" s="499"/>
      <c r="F293" s="499"/>
      <c r="G293" s="499"/>
    </row>
    <row r="294" spans="2:9" x14ac:dyDescent="0.3">
      <c r="B294" s="498"/>
      <c r="C294" s="497"/>
      <c r="D294" s="497"/>
      <c r="E294" s="497"/>
      <c r="F294" s="497"/>
      <c r="G294" s="497"/>
    </row>
    <row r="295" spans="2:9" x14ac:dyDescent="0.3">
      <c r="B295" s="498"/>
      <c r="C295" s="497"/>
      <c r="D295" s="497"/>
      <c r="E295" s="497"/>
      <c r="F295" s="497"/>
      <c r="G295" s="497"/>
      <c r="H295"/>
      <c r="I295"/>
    </row>
    <row r="296" spans="2:9" x14ac:dyDescent="0.3">
      <c r="B296" s="498"/>
      <c r="C296" s="497"/>
      <c r="D296" s="497"/>
      <c r="E296" s="497"/>
      <c r="F296" s="497"/>
      <c r="G296" s="497"/>
    </row>
    <row r="297" spans="2:9" x14ac:dyDescent="0.3">
      <c r="B297" s="498"/>
      <c r="C297" s="497"/>
      <c r="D297" s="497"/>
      <c r="E297" s="497"/>
      <c r="F297" s="497"/>
      <c r="G297" s="497"/>
      <c r="H297"/>
    </row>
    <row r="298" spans="2:9" x14ac:dyDescent="0.3">
      <c r="B298" s="498"/>
      <c r="C298" s="497"/>
      <c r="D298" s="497"/>
      <c r="E298" s="497"/>
      <c r="F298" s="497"/>
      <c r="G298" s="497"/>
    </row>
    <row r="299" spans="2:9" x14ac:dyDescent="0.3">
      <c r="B299" s="498"/>
      <c r="C299" s="497"/>
      <c r="D299" s="497"/>
      <c r="E299" s="497"/>
      <c r="F299" s="497"/>
      <c r="G299" s="497"/>
      <c r="H299"/>
    </row>
    <row r="300" spans="2:9" x14ac:dyDescent="0.3">
      <c r="B300" s="498"/>
      <c r="C300" s="497"/>
      <c r="D300" s="497"/>
      <c r="E300" s="497"/>
      <c r="F300" s="497"/>
      <c r="G300" s="497"/>
    </row>
    <row r="301" spans="2:9" x14ac:dyDescent="0.3">
      <c r="B301" s="498"/>
      <c r="C301" s="497"/>
      <c r="D301" s="497"/>
      <c r="E301" s="497"/>
      <c r="F301" s="497"/>
      <c r="G301" s="497"/>
    </row>
    <row r="302" spans="2:9" x14ac:dyDescent="0.3">
      <c r="B302" s="498"/>
      <c r="C302" s="497"/>
      <c r="D302" s="497"/>
      <c r="E302" s="497"/>
      <c r="F302" s="497"/>
      <c r="G302" s="497"/>
      <c r="H302"/>
    </row>
    <row r="303" spans="2:9" x14ac:dyDescent="0.3">
      <c r="B303" s="498"/>
      <c r="C303" s="497"/>
      <c r="D303" s="497"/>
      <c r="E303" s="497"/>
      <c r="F303" s="497"/>
      <c r="G303" s="497"/>
    </row>
    <row r="304" spans="2:9" x14ac:dyDescent="0.3">
      <c r="B304" s="498"/>
      <c r="C304" s="497"/>
      <c r="D304" s="497"/>
      <c r="E304" s="497"/>
      <c r="F304" s="497"/>
      <c r="G304" s="497"/>
    </row>
    <row r="305" spans="2:7" x14ac:dyDescent="0.3">
      <c r="B305" s="498"/>
      <c r="C305" s="497"/>
      <c r="D305" s="497"/>
      <c r="E305" s="497"/>
      <c r="F305" s="497"/>
      <c r="G305" s="497"/>
    </row>
    <row r="306" spans="2:7" x14ac:dyDescent="0.3">
      <c r="B306" s="498"/>
      <c r="C306" s="497"/>
      <c r="D306" s="497"/>
      <c r="E306" s="497"/>
      <c r="F306" s="497"/>
      <c r="G306" s="497"/>
    </row>
    <row r="307" spans="2:7" x14ac:dyDescent="0.3">
      <c r="B307" s="498"/>
      <c r="C307" s="497"/>
      <c r="D307" s="497"/>
      <c r="E307" s="497"/>
      <c r="F307" s="497"/>
      <c r="G307" s="497"/>
    </row>
    <row r="308" spans="2:7" x14ac:dyDescent="0.3">
      <c r="B308" s="498"/>
      <c r="C308" s="497"/>
      <c r="D308" s="497"/>
      <c r="E308" s="497"/>
      <c r="F308" s="497"/>
      <c r="G308" s="497"/>
    </row>
    <row r="309" spans="2:7" x14ac:dyDescent="0.3">
      <c r="B309" s="498"/>
      <c r="C309" s="497"/>
      <c r="D309" s="497"/>
      <c r="E309" s="497"/>
      <c r="F309" s="497"/>
      <c r="G309" s="497"/>
    </row>
    <row r="310" spans="2:7" x14ac:dyDescent="0.3">
      <c r="B310" s="498"/>
      <c r="C310" s="497"/>
      <c r="D310" s="497"/>
      <c r="E310" s="497"/>
      <c r="F310" s="497"/>
      <c r="G310" s="497"/>
    </row>
    <row r="311" spans="2:7" x14ac:dyDescent="0.3">
      <c r="B311" s="498"/>
      <c r="C311" s="497"/>
      <c r="D311" s="497"/>
      <c r="E311" s="497"/>
      <c r="F311" s="497"/>
      <c r="G311" s="497"/>
    </row>
    <row r="312" spans="2:7" x14ac:dyDescent="0.3">
      <c r="B312" s="498"/>
      <c r="C312" s="497"/>
      <c r="D312" s="497"/>
      <c r="E312" s="497"/>
      <c r="F312" s="497"/>
      <c r="G312" s="497"/>
    </row>
    <row r="313" spans="2:7" x14ac:dyDescent="0.3">
      <c r="B313" s="498"/>
      <c r="C313" s="497"/>
      <c r="D313" s="497"/>
      <c r="E313" s="497"/>
      <c r="F313" s="497"/>
      <c r="G313" s="497"/>
    </row>
    <row r="315" spans="2:7" x14ac:dyDescent="0.3">
      <c r="D315" s="5"/>
    </row>
  </sheetData>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315"/>
  <sheetViews>
    <sheetView topLeftCell="A13" zoomScale="70" zoomScaleNormal="70" workbookViewId="0">
      <selection activeCell="M67" sqref="M67"/>
    </sheetView>
  </sheetViews>
  <sheetFormatPr defaultColWidth="8.85546875" defaultRowHeight="18.75" x14ac:dyDescent="0.3"/>
  <cols>
    <col min="1" max="1" width="14.28515625" style="1" bestFit="1" customWidth="1"/>
    <col min="2" max="2" width="37" style="1" customWidth="1"/>
    <col min="3" max="3" width="28.85546875" style="1" customWidth="1"/>
    <col min="4" max="4" width="20.28515625" style="1" customWidth="1"/>
    <col min="5" max="5" width="19.5703125" style="1" customWidth="1"/>
    <col min="6" max="6" width="20.28515625" style="1" customWidth="1"/>
    <col min="7" max="7" width="21.7109375" style="1" customWidth="1"/>
    <col min="8" max="8" width="21.42578125" style="1" customWidth="1"/>
    <col min="9" max="9" width="20.28515625" style="1" customWidth="1"/>
    <col min="10" max="10" width="17" style="1" customWidth="1"/>
    <col min="11" max="11" width="16.7109375" style="1" customWidth="1"/>
    <col min="12" max="12" width="19.28515625" style="1" customWidth="1"/>
    <col min="13" max="13" width="17.7109375" style="1" customWidth="1"/>
    <col min="14" max="14" width="18.7109375" style="1" customWidth="1"/>
    <col min="15" max="15" width="17.42578125" style="1" customWidth="1"/>
    <col min="16" max="25" width="8.85546875" style="1"/>
    <col min="26" max="26" width="11.28515625" style="1" customWidth="1"/>
    <col min="27" max="27" width="12.140625" style="1" customWidth="1"/>
    <col min="28" max="28" width="12" style="1" customWidth="1"/>
    <col min="29" max="29" width="12.28515625" style="1" customWidth="1"/>
    <col min="30" max="30" width="12.85546875" style="1" customWidth="1"/>
    <col min="31" max="16384" width="8.85546875" style="1"/>
  </cols>
  <sheetData>
    <row r="2" spans="1:11" x14ac:dyDescent="0.3">
      <c r="A2" s="472">
        <v>1</v>
      </c>
      <c r="B2" s="571" t="s">
        <v>1169</v>
      </c>
    </row>
    <row r="3" spans="1:11" x14ac:dyDescent="0.3">
      <c r="B3" s="2" t="s">
        <v>1168</v>
      </c>
      <c r="E3" s="9"/>
    </row>
    <row r="4" spans="1:11" x14ac:dyDescent="0.3">
      <c r="B4" s="2" t="s">
        <v>1163</v>
      </c>
    </row>
    <row r="5" spans="1:11" x14ac:dyDescent="0.3">
      <c r="B5" s="2"/>
    </row>
    <row r="6" spans="1:11" x14ac:dyDescent="0.3">
      <c r="B6" s="570" t="s">
        <v>4</v>
      </c>
      <c r="C6" s="5"/>
      <c r="D6" s="441"/>
    </row>
    <row r="7" spans="1:11" x14ac:dyDescent="0.3">
      <c r="B7" s="1" t="s">
        <v>1162</v>
      </c>
      <c r="C7" s="5">
        <v>1.8</v>
      </c>
      <c r="D7" s="441"/>
      <c r="F7"/>
    </row>
    <row r="8" spans="1:11" x14ac:dyDescent="0.3">
      <c r="B8" s="45" t="s">
        <v>82</v>
      </c>
      <c r="C8" s="20">
        <v>0.05</v>
      </c>
      <c r="D8" s="441"/>
    </row>
    <row r="9" spans="1:11" x14ac:dyDescent="0.3">
      <c r="B9" s="466" t="s">
        <v>83</v>
      </c>
      <c r="C9" s="280">
        <v>7.0000000000000007E-2</v>
      </c>
      <c r="E9" s="8"/>
      <c r="F9" s="8"/>
    </row>
    <row r="10" spans="1:11" x14ac:dyDescent="0.3">
      <c r="C10" s="557"/>
      <c r="D10" s="22"/>
      <c r="E10" s="22"/>
      <c r="F10" s="22"/>
    </row>
    <row r="11" spans="1:11" x14ac:dyDescent="0.3">
      <c r="B11" s="1" t="s">
        <v>1160</v>
      </c>
      <c r="C11" s="46"/>
      <c r="D11" s="544"/>
      <c r="E11" s="433"/>
      <c r="F11" s="433"/>
    </row>
    <row r="12" spans="1:11" x14ac:dyDescent="0.3">
      <c r="D12" s="440"/>
      <c r="E12" s="440"/>
      <c r="F12"/>
    </row>
    <row r="13" spans="1:11" x14ac:dyDescent="0.3">
      <c r="C13" s="5"/>
      <c r="D13" s="493"/>
      <c r="E13" s="64"/>
      <c r="F13" s="64"/>
      <c r="G13" s="90"/>
    </row>
    <row r="14" spans="1:11" x14ac:dyDescent="0.3">
      <c r="B14" s="3" t="s">
        <v>15</v>
      </c>
      <c r="C14"/>
    </row>
    <row r="15" spans="1:11" x14ac:dyDescent="0.3">
      <c r="B15" s="45"/>
      <c r="C15" s="9"/>
      <c r="D15" s="441"/>
      <c r="E15" s="8"/>
      <c r="F15"/>
      <c r="G15" s="8"/>
      <c r="K15"/>
    </row>
    <row r="16" spans="1:11" x14ac:dyDescent="0.3">
      <c r="B16" t="s">
        <v>782</v>
      </c>
      <c r="C16" s="569">
        <f>C7*(1+C8)</f>
        <v>1.8900000000000001</v>
      </c>
      <c r="D16" s="8"/>
      <c r="E16" s="492"/>
      <c r="F16" s="492"/>
      <c r="G16" s="492"/>
    </row>
    <row r="17" spans="1:35" x14ac:dyDescent="0.3">
      <c r="C17" s="90"/>
      <c r="E17" s="491"/>
      <c r="F17"/>
      <c r="G17" s="491"/>
      <c r="H17" s="454"/>
      <c r="I17" s="454"/>
    </row>
    <row r="18" spans="1:35" x14ac:dyDescent="0.3">
      <c r="D18" s="15"/>
      <c r="E18" s="15"/>
      <c r="F18" s="15"/>
      <c r="G18" s="15"/>
      <c r="H18" s="454"/>
      <c r="I18" s="454"/>
    </row>
    <row r="19" spans="1:35" x14ac:dyDescent="0.3">
      <c r="E19"/>
      <c r="F19"/>
      <c r="H19" s="477"/>
      <c r="I19" s="477"/>
    </row>
    <row r="20" spans="1:35" x14ac:dyDescent="0.3">
      <c r="C20" s="5"/>
      <c r="H20" s="451"/>
      <c r="I20" s="451"/>
    </row>
    <row r="21" spans="1:35" x14ac:dyDescent="0.3">
      <c r="B21" s="45"/>
      <c r="C21" s="490"/>
      <c r="D21" s="490"/>
      <c r="E21" s="489"/>
    </row>
    <row r="22" spans="1:35" x14ac:dyDescent="0.3">
      <c r="C22"/>
      <c r="D22" s="488"/>
      <c r="E22"/>
    </row>
    <row r="23" spans="1:35" x14ac:dyDescent="0.3">
      <c r="B23" s="1" t="s">
        <v>1167</v>
      </c>
      <c r="C23" s="5">
        <f>C16/(C9-C8)</f>
        <v>94.499999999999986</v>
      </c>
      <c r="D23" s="486"/>
      <c r="E23" s="485"/>
    </row>
    <row r="24" spans="1:35" x14ac:dyDescent="0.3">
      <c r="B24" s="484"/>
      <c r="C24" s="484"/>
      <c r="D24" s="484"/>
      <c r="E24" s="483"/>
      <c r="Y24" s="1">
        <v>0</v>
      </c>
      <c r="AE24" s="120"/>
      <c r="AH24" s="120"/>
      <c r="AI24" s="120"/>
    </row>
    <row r="25" spans="1:35" x14ac:dyDescent="0.3">
      <c r="A25" s="8"/>
      <c r="B25" s="2"/>
      <c r="C25" s="5"/>
    </row>
    <row r="26" spans="1:35" x14ac:dyDescent="0.3">
      <c r="B26" s="2"/>
    </row>
    <row r="27" spans="1:35" x14ac:dyDescent="0.3">
      <c r="A27" s="472">
        <v>2</v>
      </c>
      <c r="B27" s="571" t="s">
        <v>1166</v>
      </c>
    </row>
    <row r="28" spans="1:35" x14ac:dyDescent="0.3">
      <c r="B28" s="1" t="s">
        <v>1165</v>
      </c>
      <c r="E28" s="9"/>
    </row>
    <row r="29" spans="1:35" x14ac:dyDescent="0.3">
      <c r="B29" s="2" t="s">
        <v>1164</v>
      </c>
      <c r="H29" s="444"/>
      <c r="I29" s="444"/>
      <c r="J29" s="444"/>
      <c r="K29" s="444"/>
      <c r="L29" s="444"/>
      <c r="M29" s="444"/>
      <c r="N29" s="444"/>
    </row>
    <row r="30" spans="1:35" x14ac:dyDescent="0.3">
      <c r="B30" s="2" t="s">
        <v>1163</v>
      </c>
      <c r="E30" s="444"/>
      <c r="F30" s="444"/>
      <c r="H30" s="444"/>
      <c r="I30" s="444"/>
      <c r="J30" s="444"/>
      <c r="K30" s="444"/>
      <c r="L30" s="444"/>
      <c r="M30" s="444"/>
      <c r="N30" s="444"/>
    </row>
    <row r="31" spans="1:35" x14ac:dyDescent="0.3">
      <c r="B31" s="466"/>
      <c r="C31" s="5"/>
      <c r="D31" s="441"/>
      <c r="F31" s="444"/>
      <c r="G31" s="444"/>
      <c r="H31" s="444"/>
      <c r="I31" s="444"/>
      <c r="J31" s="444"/>
      <c r="K31" s="444"/>
      <c r="L31" s="444"/>
      <c r="M31" s="444"/>
      <c r="N31" s="444"/>
    </row>
    <row r="32" spans="1:35" x14ac:dyDescent="0.3">
      <c r="B32" s="570" t="s">
        <v>4</v>
      </c>
      <c r="C32" s="5"/>
      <c r="D32" s="441"/>
      <c r="E32" s="44"/>
      <c r="F32" s="444"/>
      <c r="G32" s="444"/>
      <c r="H32" s="444"/>
      <c r="I32" s="444"/>
      <c r="J32" s="444"/>
      <c r="K32" s="444"/>
      <c r="L32" s="444"/>
      <c r="M32" s="444"/>
      <c r="N32" s="444"/>
    </row>
    <row r="33" spans="1:14" x14ac:dyDescent="0.3">
      <c r="B33" s="1" t="s">
        <v>1162</v>
      </c>
      <c r="C33" s="5">
        <v>1.5</v>
      </c>
      <c r="D33" s="441"/>
      <c r="E33" s="5"/>
      <c r="F33" s="444"/>
      <c r="H33" s="444"/>
      <c r="I33" s="444"/>
      <c r="J33" s="444"/>
      <c r="K33" s="444"/>
      <c r="L33" s="444"/>
      <c r="M33" s="444"/>
      <c r="N33" s="444"/>
    </row>
    <row r="34" spans="1:14" x14ac:dyDescent="0.3">
      <c r="B34" s="10" t="s">
        <v>91</v>
      </c>
      <c r="C34" s="20">
        <v>0.2</v>
      </c>
      <c r="D34" s="441"/>
      <c r="E34" s="5"/>
      <c r="F34" s="444"/>
      <c r="G34" s="444"/>
      <c r="H34" s="444"/>
      <c r="I34" s="444"/>
      <c r="J34" s="444"/>
      <c r="K34" s="444"/>
      <c r="L34" s="444"/>
      <c r="M34" s="444"/>
      <c r="N34" s="444"/>
    </row>
    <row r="35" spans="1:14" x14ac:dyDescent="0.3">
      <c r="B35" s="1" t="s">
        <v>29</v>
      </c>
      <c r="C35" s="1">
        <v>3</v>
      </c>
      <c r="D35" s="1" t="s">
        <v>6</v>
      </c>
      <c r="F35" s="444"/>
      <c r="G35" s="444"/>
      <c r="H35" s="444"/>
      <c r="I35" s="444"/>
      <c r="J35" s="444"/>
      <c r="K35" s="444"/>
      <c r="L35" s="444"/>
      <c r="M35" s="444"/>
      <c r="N35" s="444"/>
    </row>
    <row r="36" spans="1:14" x14ac:dyDescent="0.3">
      <c r="A36" s="120"/>
      <c r="B36" s="1" t="s">
        <v>93</v>
      </c>
      <c r="C36" s="4">
        <v>0.05</v>
      </c>
      <c r="E36" s="5"/>
      <c r="F36" s="444"/>
      <c r="H36" s="444"/>
      <c r="I36" s="444"/>
      <c r="J36" s="444"/>
      <c r="K36" s="444"/>
      <c r="L36" s="444"/>
      <c r="M36" s="444"/>
      <c r="N36" s="444"/>
    </row>
    <row r="37" spans="1:14" x14ac:dyDescent="0.3">
      <c r="B37" s="1" t="s">
        <v>35</v>
      </c>
      <c r="C37" s="120" t="s">
        <v>1161</v>
      </c>
      <c r="D37" s="441"/>
      <c r="F37" s="444"/>
      <c r="G37" s="444"/>
      <c r="H37" s="444"/>
      <c r="I37" s="444"/>
      <c r="J37" s="444"/>
      <c r="K37" s="444"/>
      <c r="L37" s="444"/>
      <c r="M37" s="444"/>
      <c r="N37" s="444"/>
    </row>
    <row r="38" spans="1:14" x14ac:dyDescent="0.3">
      <c r="D38" s="441"/>
      <c r="E38" s="446"/>
      <c r="F38" s="444"/>
      <c r="H38" s="444"/>
      <c r="I38" s="444"/>
      <c r="J38" s="444"/>
      <c r="K38" s="444"/>
      <c r="L38" s="444"/>
      <c r="M38" s="444"/>
      <c r="N38" s="444"/>
    </row>
    <row r="39" spans="1:14" x14ac:dyDescent="0.3">
      <c r="B39" s="466" t="s">
        <v>83</v>
      </c>
      <c r="C39" s="280">
        <v>7.0000000000000007E-2</v>
      </c>
      <c r="D39" s="441"/>
      <c r="F39"/>
      <c r="G39" s="444"/>
      <c r="H39" s="444"/>
      <c r="I39" s="444"/>
      <c r="J39" s="444"/>
      <c r="K39" s="444"/>
      <c r="L39" s="444"/>
      <c r="M39" s="444"/>
      <c r="N39" s="444"/>
    </row>
    <row r="40" spans="1:14" x14ac:dyDescent="0.3">
      <c r="C40" s="557"/>
      <c r="D40" s="441"/>
      <c r="E40" s="444"/>
      <c r="F40" s="444"/>
      <c r="G40" s="444"/>
      <c r="H40" s="444"/>
      <c r="I40" s="444"/>
      <c r="J40" s="444"/>
      <c r="K40" s="444"/>
      <c r="L40" s="444"/>
      <c r="M40" s="444"/>
      <c r="N40" s="444"/>
    </row>
    <row r="41" spans="1:14" x14ac:dyDescent="0.3">
      <c r="B41" s="1" t="s">
        <v>1160</v>
      </c>
      <c r="C41" s="46"/>
      <c r="E41" s="444"/>
      <c r="F41" s="444"/>
      <c r="G41" s="444"/>
      <c r="H41" s="444"/>
      <c r="I41" s="444"/>
      <c r="J41" s="444"/>
      <c r="K41" s="444"/>
      <c r="L41" s="444"/>
      <c r="M41" s="444"/>
      <c r="N41" s="444"/>
    </row>
    <row r="42" spans="1:14" x14ac:dyDescent="0.3">
      <c r="E42" s="27"/>
      <c r="F42" s="27"/>
      <c r="G42" s="27"/>
      <c r="H42" s="27"/>
      <c r="I42" s="27"/>
      <c r="J42" s="27"/>
      <c r="K42" s="27"/>
      <c r="L42" s="27"/>
      <c r="M42" s="27"/>
      <c r="N42" s="27"/>
    </row>
    <row r="43" spans="1:14" x14ac:dyDescent="0.3">
      <c r="C43" s="5"/>
      <c r="D43" s="441"/>
      <c r="H43" s="27"/>
      <c r="I43" s="27"/>
      <c r="J43" s="27"/>
      <c r="K43" s="27"/>
      <c r="L43" s="27"/>
      <c r="M43" s="27"/>
      <c r="N43" s="27"/>
    </row>
    <row r="44" spans="1:14" x14ac:dyDescent="0.3">
      <c r="B44" s="3" t="s">
        <v>15</v>
      </c>
      <c r="C44"/>
      <c r="I44" s="27"/>
      <c r="J44" s="27"/>
      <c r="K44" s="27"/>
      <c r="L44" s="27"/>
      <c r="M44" s="27"/>
      <c r="N44" s="27"/>
    </row>
    <row r="45" spans="1:14" x14ac:dyDescent="0.3">
      <c r="B45" s="45"/>
      <c r="C45" s="9"/>
      <c r="D45" s="27"/>
      <c r="E45" s="27"/>
      <c r="F45" s="27"/>
      <c r="G45" s="27"/>
      <c r="I45" s="27"/>
      <c r="J45" s="27"/>
      <c r="K45" s="27"/>
      <c r="L45" s="27"/>
      <c r="M45" s="27"/>
      <c r="N45" s="27"/>
    </row>
    <row r="46" spans="1:14" x14ac:dyDescent="0.3">
      <c r="B46" t="s">
        <v>782</v>
      </c>
      <c r="C46" s="569">
        <f>C33*(1+C34)</f>
        <v>1.7999999999999998</v>
      </c>
      <c r="I46" s="568">
        <v>0</v>
      </c>
      <c r="J46" s="568">
        <v>1</v>
      </c>
      <c r="K46" s="568">
        <v>2</v>
      </c>
      <c r="L46" s="568">
        <v>3</v>
      </c>
      <c r="M46" s="568">
        <v>4</v>
      </c>
      <c r="N46" s="568" t="s">
        <v>94</v>
      </c>
    </row>
    <row r="47" spans="1:14" x14ac:dyDescent="0.3">
      <c r="B47" t="s">
        <v>1159</v>
      </c>
      <c r="C47" s="565">
        <f>C46*(1+$C$34)</f>
        <v>2.1599999999999997</v>
      </c>
      <c r="D47" s="455"/>
      <c r="K47" s="27"/>
      <c r="L47" s="27"/>
      <c r="M47" s="27"/>
      <c r="N47" s="27"/>
    </row>
    <row r="48" spans="1:14" x14ac:dyDescent="0.3">
      <c r="B48" t="s">
        <v>1158</v>
      </c>
      <c r="C48" s="565">
        <f>C47*(1+$C$34)</f>
        <v>2.5919999999999996</v>
      </c>
      <c r="D48" s="446"/>
      <c r="E48" s="553"/>
      <c r="F48" s="567">
        <v>0</v>
      </c>
      <c r="G48" s="567">
        <v>1</v>
      </c>
      <c r="H48" s="567">
        <v>2</v>
      </c>
      <c r="I48" s="567">
        <v>3</v>
      </c>
      <c r="J48" s="567">
        <v>4</v>
      </c>
      <c r="K48" s="27"/>
      <c r="L48" s="27"/>
      <c r="M48" s="27"/>
      <c r="N48" s="27"/>
    </row>
    <row r="49" spans="2:14" x14ac:dyDescent="0.3">
      <c r="C49" s="27"/>
      <c r="D49" s="511"/>
      <c r="E49" s="518" t="s">
        <v>17</v>
      </c>
      <c r="F49" s="518"/>
      <c r="G49" s="566">
        <f>C46</f>
        <v>1.7999999999999998</v>
      </c>
      <c r="H49" s="11">
        <f>C47</f>
        <v>2.1599999999999997</v>
      </c>
      <c r="I49" s="566">
        <f>C48</f>
        <v>2.5919999999999996</v>
      </c>
      <c r="J49" s="566">
        <f>C50</f>
        <v>3.6419999999999995</v>
      </c>
      <c r="K49" s="27"/>
      <c r="L49" s="27"/>
      <c r="M49" s="27"/>
      <c r="N49" s="27"/>
    </row>
    <row r="50" spans="2:14" x14ac:dyDescent="0.3">
      <c r="B50" t="s">
        <v>1157</v>
      </c>
      <c r="C50" s="565">
        <f>C48+(1+C36)</f>
        <v>3.6419999999999995</v>
      </c>
      <c r="D50" s="510"/>
      <c r="E50" s="564" t="s">
        <v>38</v>
      </c>
      <c r="F50" s="563">
        <f>1/(1+$C$39)^F48</f>
        <v>1</v>
      </c>
      <c r="G50" s="563">
        <f>1/(1+$C$39)^G48</f>
        <v>0.93457943925233644</v>
      </c>
      <c r="H50" s="563">
        <f>1/(1+$C$39)^H48</f>
        <v>0.87343872827321156</v>
      </c>
      <c r="I50" s="563">
        <f>1/(1+$C$39)^I48</f>
        <v>0.81629787689085187</v>
      </c>
      <c r="J50" s="563">
        <f>1/(1+$C$39)^J48</f>
        <v>0.7628952120475252</v>
      </c>
      <c r="K50" s="27"/>
      <c r="L50" s="27"/>
      <c r="M50" s="27"/>
      <c r="N50" s="27"/>
    </row>
    <row r="51" spans="2:14" x14ac:dyDescent="0.3">
      <c r="C51" s="27"/>
      <c r="D51" s="509"/>
      <c r="E51" s="562" t="s">
        <v>39</v>
      </c>
      <c r="F51" s="552"/>
      <c r="G51" s="561">
        <f>G49*G50</f>
        <v>1.6822429906542054</v>
      </c>
      <c r="H51" s="561">
        <f>H49*H50</f>
        <v>1.8866276530701367</v>
      </c>
      <c r="I51" s="561">
        <f>I49*I50</f>
        <v>2.1158440969010877</v>
      </c>
      <c r="J51" s="517"/>
      <c r="K51" s="27"/>
      <c r="L51" s="27"/>
      <c r="M51" s="27"/>
      <c r="N51" s="27"/>
    </row>
    <row r="52" spans="2:14" x14ac:dyDescent="0.3">
      <c r="B52" s="1" t="s">
        <v>95</v>
      </c>
      <c r="C52" s="446">
        <f>G51+H51+I51</f>
        <v>5.684714740625429</v>
      </c>
      <c r="D52" s="508"/>
      <c r="E52" s="508"/>
      <c r="F52" s="508"/>
      <c r="G52" s="508"/>
      <c r="I52" s="532"/>
      <c r="J52" s="27"/>
      <c r="K52" s="27"/>
      <c r="L52" s="27"/>
      <c r="M52" s="27"/>
      <c r="N52" s="27"/>
    </row>
    <row r="53" spans="2:14" x14ac:dyDescent="0.3">
      <c r="D53" s="27"/>
      <c r="E53" s="455"/>
      <c r="F53" s="455"/>
      <c r="G53" s="27"/>
      <c r="I53" s="452"/>
      <c r="J53" s="27"/>
      <c r="K53" s="27"/>
      <c r="L53" s="27"/>
      <c r="M53" s="27"/>
      <c r="N53" s="27"/>
    </row>
    <row r="54" spans="2:14" x14ac:dyDescent="0.3">
      <c r="B54" s="1" t="s">
        <v>96</v>
      </c>
      <c r="C54" s="446">
        <f>C50/(C39-C36)</f>
        <v>182.09999999999994</v>
      </c>
      <c r="D54" s="446"/>
      <c r="E54" s="27"/>
      <c r="F54" s="27"/>
      <c r="G54" s="27"/>
      <c r="H54" s="27"/>
      <c r="I54" s="452"/>
      <c r="J54" s="27"/>
      <c r="K54" s="27"/>
      <c r="L54" s="27"/>
      <c r="M54" s="27"/>
      <c r="N54" s="27"/>
    </row>
    <row r="55" spans="2:14" x14ac:dyDescent="0.3">
      <c r="C55" s="507"/>
      <c r="D55" s="506"/>
      <c r="E55" s="455"/>
      <c r="F55" s="27"/>
      <c r="G55" s="27"/>
      <c r="H55" s="27"/>
      <c r="I55" s="452"/>
      <c r="J55" s="27"/>
      <c r="K55" s="27"/>
      <c r="L55" s="27"/>
      <c r="M55" s="27"/>
      <c r="N55" s="27"/>
    </row>
    <row r="56" spans="2:14" x14ac:dyDescent="0.3">
      <c r="B56" s="27" t="s">
        <v>435</v>
      </c>
      <c r="C56" s="5">
        <f>C52+(C54*(1/(1+C39)^3))</f>
        <v>154.33255812244948</v>
      </c>
      <c r="H56" s="27"/>
      <c r="I56" s="27"/>
      <c r="J56" s="27"/>
      <c r="K56" s="27"/>
      <c r="L56" s="27"/>
      <c r="M56" s="27"/>
      <c r="N56" s="27"/>
    </row>
    <row r="57" spans="2:14" x14ac:dyDescent="0.3">
      <c r="B57" s="27"/>
      <c r="H57" s="27"/>
      <c r="I57" s="27"/>
      <c r="J57" s="27"/>
      <c r="K57" s="27"/>
      <c r="L57" s="27"/>
      <c r="M57" s="27"/>
      <c r="N57" s="27"/>
    </row>
    <row r="58" spans="2:14" x14ac:dyDescent="0.3">
      <c r="B58" s="27"/>
      <c r="C58" s="90"/>
      <c r="F58"/>
      <c r="H58" s="455"/>
      <c r="I58" s="27"/>
      <c r="J58" s="27"/>
      <c r="K58" s="27"/>
      <c r="L58" s="27"/>
      <c r="M58" s="27"/>
      <c r="N58" s="27"/>
    </row>
    <row r="59" spans="2:14" x14ac:dyDescent="0.3">
      <c r="B59" s="27"/>
      <c r="H59" s="455"/>
      <c r="I59" s="27"/>
      <c r="J59" s="27"/>
      <c r="K59" s="27"/>
      <c r="L59" s="27"/>
      <c r="M59" s="27"/>
      <c r="N59" s="27"/>
    </row>
    <row r="60" spans="2:14" x14ac:dyDescent="0.3">
      <c r="B60" s="27"/>
      <c r="C60" s="90"/>
      <c r="H60" s="27"/>
      <c r="I60" s="27"/>
      <c r="J60" s="27"/>
      <c r="K60" s="27"/>
      <c r="L60" s="27"/>
      <c r="M60" s="27"/>
      <c r="N60" s="27"/>
    </row>
    <row r="61" spans="2:14" x14ac:dyDescent="0.3">
      <c r="B61" s="27"/>
      <c r="H61" s="27"/>
      <c r="I61" s="27"/>
      <c r="J61" s="27"/>
      <c r="K61" s="27"/>
      <c r="L61" s="27"/>
      <c r="M61" s="27"/>
      <c r="N61" s="27"/>
    </row>
    <row r="62" spans="2:14" x14ac:dyDescent="0.3">
      <c r="B62" s="505"/>
      <c r="C62" s="504"/>
      <c r="H62" s="532"/>
      <c r="I62" s="27"/>
      <c r="J62" s="27"/>
      <c r="K62" s="27"/>
      <c r="L62" s="27"/>
      <c r="M62" s="27"/>
      <c r="N62" s="27"/>
    </row>
    <row r="63" spans="2:14" x14ac:dyDescent="0.3">
      <c r="B63" s="27"/>
      <c r="H63" s="452"/>
      <c r="I63" s="27"/>
      <c r="J63" s="27"/>
      <c r="K63" s="27"/>
      <c r="L63" s="27"/>
      <c r="M63" s="27"/>
      <c r="N63" s="27"/>
    </row>
    <row r="64" spans="2:14" x14ac:dyDescent="0.3">
      <c r="B64" s="503"/>
      <c r="C64" s="502"/>
      <c r="H64" s="452"/>
      <c r="I64" s="27"/>
      <c r="J64" s="27"/>
      <c r="K64" s="27"/>
      <c r="L64" s="27"/>
      <c r="M64" s="27"/>
      <c r="N64" s="27"/>
    </row>
    <row r="65" spans="1:14" x14ac:dyDescent="0.3">
      <c r="B65" s="531"/>
      <c r="C65" s="455"/>
      <c r="D65" s="452"/>
      <c r="E65" s="452"/>
      <c r="F65" s="452"/>
      <c r="G65" s="452"/>
      <c r="H65" s="452"/>
      <c r="I65" s="27"/>
      <c r="J65" s="27"/>
      <c r="K65" s="27"/>
      <c r="L65" s="27"/>
      <c r="M65" s="27"/>
      <c r="N65" s="27"/>
    </row>
    <row r="66" spans="1:14" x14ac:dyDescent="0.3">
      <c r="A66" s="120"/>
      <c r="B66" s="27"/>
      <c r="C66" s="469"/>
      <c r="D66" s="27"/>
      <c r="E66" s="27"/>
      <c r="F66" s="27"/>
      <c r="G66" s="27"/>
      <c r="H66" s="27"/>
      <c r="I66" s="443"/>
      <c r="J66" s="27"/>
      <c r="K66" s="27"/>
      <c r="L66" s="27"/>
      <c r="M66" s="28"/>
      <c r="N66" s="27"/>
    </row>
    <row r="67" spans="1:14" x14ac:dyDescent="0.3">
      <c r="A67" s="501"/>
      <c r="B67" s="45"/>
      <c r="E67" s="27"/>
      <c r="F67" s="27"/>
      <c r="G67" s="27"/>
      <c r="H67" s="27"/>
      <c r="I67" s="27"/>
      <c r="J67" s="27"/>
      <c r="K67" s="27"/>
      <c r="L67" s="27"/>
      <c r="M67" s="27"/>
      <c r="N67" s="27"/>
    </row>
    <row r="68" spans="1:14" x14ac:dyDescent="0.3">
      <c r="B68" s="466"/>
      <c r="C68" s="5"/>
      <c r="D68" s="441"/>
      <c r="E68" s="27"/>
      <c r="F68" s="27"/>
      <c r="G68" s="27"/>
      <c r="H68" s="27"/>
      <c r="I68" s="27"/>
      <c r="J68" s="27"/>
      <c r="K68" s="27"/>
      <c r="L68" s="27"/>
      <c r="M68" s="27"/>
      <c r="N68" s="27"/>
    </row>
    <row r="69" spans="1:14" x14ac:dyDescent="0.3">
      <c r="C69" s="5"/>
      <c r="D69" s="441"/>
      <c r="E69" s="27"/>
      <c r="F69" s="27"/>
      <c r="G69" s="27"/>
      <c r="H69" s="27"/>
      <c r="I69" s="27"/>
      <c r="J69" s="27"/>
      <c r="K69" s="27"/>
      <c r="L69" s="27"/>
      <c r="M69" s="27"/>
      <c r="N69" s="27"/>
    </row>
    <row r="70" spans="1:14" x14ac:dyDescent="0.3">
      <c r="C70" s="5"/>
      <c r="D70" s="441"/>
      <c r="E70" s="27"/>
      <c r="F70" s="27"/>
      <c r="G70" s="27"/>
      <c r="H70" s="27"/>
      <c r="I70" s="27"/>
      <c r="J70" s="27"/>
      <c r="K70" s="27"/>
      <c r="L70" s="27"/>
      <c r="M70" s="27"/>
      <c r="N70" s="27"/>
    </row>
    <row r="71" spans="1:14" x14ac:dyDescent="0.3">
      <c r="D71" s="441"/>
      <c r="E71" s="27"/>
      <c r="F71" s="27"/>
      <c r="G71" s="27"/>
      <c r="H71" s="27"/>
      <c r="I71" s="27"/>
      <c r="J71" s="27"/>
      <c r="K71" s="27"/>
      <c r="L71" s="27"/>
      <c r="M71" s="27"/>
      <c r="N71" s="27"/>
    </row>
    <row r="72" spans="1:14" x14ac:dyDescent="0.3">
      <c r="C72" s="9"/>
      <c r="E72" s="27"/>
      <c r="F72" s="27"/>
      <c r="G72" s="27"/>
      <c r="H72" s="27"/>
      <c r="I72" s="27"/>
      <c r="J72" s="27"/>
      <c r="K72" s="27"/>
      <c r="L72" s="27"/>
      <c r="M72" s="27"/>
      <c r="N72" s="27"/>
    </row>
    <row r="73" spans="1:14" x14ac:dyDescent="0.3">
      <c r="C73" s="9"/>
      <c r="E73" s="27"/>
      <c r="F73" s="27"/>
      <c r="G73" s="27"/>
      <c r="H73" s="27"/>
      <c r="I73" s="27"/>
      <c r="J73" s="27"/>
      <c r="K73" s="27"/>
      <c r="L73" s="27"/>
      <c r="M73" s="27"/>
      <c r="N73" s="27"/>
    </row>
    <row r="74" spans="1:14" x14ac:dyDescent="0.3">
      <c r="E74" s="27"/>
      <c r="F74" s="27"/>
      <c r="G74" s="27"/>
      <c r="H74" s="27"/>
      <c r="I74" s="27"/>
      <c r="J74" s="27"/>
      <c r="K74" s="27"/>
      <c r="L74" s="27"/>
      <c r="M74" s="27"/>
      <c r="N74" s="27"/>
    </row>
    <row r="75" spans="1:14" x14ac:dyDescent="0.3">
      <c r="B75" s="466"/>
      <c r="C75" s="5"/>
      <c r="D75" s="441"/>
      <c r="H75" s="444"/>
      <c r="I75" s="444"/>
      <c r="J75" s="444"/>
      <c r="K75" s="444"/>
      <c r="L75" s="444"/>
      <c r="M75" s="444"/>
      <c r="N75" s="444"/>
    </row>
    <row r="76" spans="1:14" x14ac:dyDescent="0.3">
      <c r="C76" s="5"/>
      <c r="D76" s="441"/>
      <c r="F76" s="444"/>
      <c r="G76" s="444"/>
      <c r="H76" s="444"/>
      <c r="I76" s="444"/>
      <c r="J76" s="444"/>
      <c r="K76" s="444"/>
      <c r="L76" s="444"/>
      <c r="M76" s="444"/>
      <c r="N76" s="444"/>
    </row>
    <row r="77" spans="1:14" x14ac:dyDescent="0.3">
      <c r="C77" s="5"/>
      <c r="D77" s="441"/>
      <c r="F77" s="444"/>
      <c r="G77" s="444"/>
      <c r="H77" s="444"/>
      <c r="I77" s="444"/>
      <c r="J77" s="444"/>
      <c r="K77" s="444"/>
      <c r="L77" s="444"/>
      <c r="M77" s="444"/>
      <c r="N77" s="444"/>
    </row>
    <row r="78" spans="1:14" x14ac:dyDescent="0.3">
      <c r="D78" s="441"/>
      <c r="E78" s="27"/>
      <c r="F78" s="444"/>
      <c r="G78" s="444"/>
      <c r="H78" s="444"/>
      <c r="I78" s="444"/>
      <c r="J78" s="444"/>
      <c r="K78" s="444"/>
      <c r="L78" s="444"/>
      <c r="M78" s="444"/>
      <c r="N78" s="444"/>
    </row>
    <row r="79" spans="1:14" x14ac:dyDescent="0.3">
      <c r="C79" s="9"/>
      <c r="F79" s="444"/>
      <c r="H79" s="444"/>
      <c r="I79" s="444"/>
      <c r="J79" s="444"/>
      <c r="K79" s="444"/>
      <c r="L79" s="444"/>
      <c r="M79" s="444"/>
      <c r="N79" s="444"/>
    </row>
    <row r="80" spans="1:14" x14ac:dyDescent="0.3">
      <c r="C80" s="9"/>
      <c r="D80" s="441"/>
      <c r="F80" s="444"/>
      <c r="G80" s="444"/>
      <c r="H80" s="444"/>
      <c r="I80" s="444"/>
      <c r="J80" s="444"/>
      <c r="K80" s="444"/>
      <c r="L80" s="444"/>
      <c r="M80" s="444"/>
      <c r="N80" s="444"/>
    </row>
    <row r="81" spans="1:14" x14ac:dyDescent="0.3">
      <c r="F81" s="444"/>
      <c r="G81" s="444"/>
      <c r="H81" s="444"/>
      <c r="I81" s="444"/>
      <c r="J81" s="444"/>
      <c r="K81" s="444"/>
      <c r="L81" s="444"/>
      <c r="M81" s="444"/>
      <c r="N81" s="444"/>
    </row>
    <row r="82" spans="1:14" x14ac:dyDescent="0.3">
      <c r="F82" s="444"/>
      <c r="G82" s="444"/>
      <c r="H82" s="444"/>
      <c r="I82" s="444"/>
      <c r="J82" s="444"/>
      <c r="K82" s="444"/>
      <c r="L82" s="444"/>
      <c r="M82" s="444"/>
      <c r="N82" s="444"/>
    </row>
    <row r="83" spans="1:14" x14ac:dyDescent="0.3">
      <c r="H83" s="444"/>
      <c r="I83" s="444"/>
      <c r="J83" s="444"/>
      <c r="K83" s="444"/>
      <c r="L83" s="444"/>
      <c r="M83" s="444"/>
      <c r="N83" s="444"/>
    </row>
    <row r="84" spans="1:14" x14ac:dyDescent="0.3">
      <c r="C84" s="469"/>
      <c r="F84" s="444"/>
      <c r="G84" s="444"/>
      <c r="H84" s="444"/>
      <c r="I84" s="444"/>
      <c r="J84" s="444"/>
      <c r="K84" s="444"/>
      <c r="L84" s="444"/>
      <c r="M84" s="444"/>
      <c r="N84" s="444"/>
    </row>
    <row r="85" spans="1:14" x14ac:dyDescent="0.3">
      <c r="C85" s="27"/>
      <c r="F85" s="444"/>
      <c r="H85" s="444"/>
      <c r="I85" s="444"/>
      <c r="J85" s="444"/>
      <c r="K85" s="444"/>
      <c r="L85" s="444"/>
      <c r="M85" s="444"/>
      <c r="N85" s="444"/>
    </row>
    <row r="86" spans="1:14" x14ac:dyDescent="0.3">
      <c r="C86" s="27"/>
      <c r="D86" s="455"/>
      <c r="E86" s="455"/>
      <c r="F86" s="455"/>
      <c r="G86" s="455"/>
      <c r="H86" s="444"/>
      <c r="I86" s="444"/>
      <c r="J86" s="444"/>
      <c r="K86" s="444"/>
      <c r="L86" s="444"/>
      <c r="M86" s="444"/>
      <c r="N86" s="444"/>
    </row>
    <row r="87" spans="1:14" x14ac:dyDescent="0.3">
      <c r="B87" s="471"/>
      <c r="C87" s="27"/>
      <c r="D87" s="560"/>
      <c r="E87" s="560"/>
      <c r="F87" s="560"/>
      <c r="G87" s="560"/>
      <c r="H87" s="444"/>
      <c r="I87" s="444"/>
      <c r="J87" s="444"/>
      <c r="K87" s="444"/>
      <c r="L87" s="444"/>
      <c r="M87" s="444"/>
      <c r="N87" s="444"/>
    </row>
    <row r="88" spans="1:14" x14ac:dyDescent="0.3">
      <c r="C88" s="27"/>
      <c r="D88" s="446"/>
      <c r="E88" s="446"/>
      <c r="F88" s="446"/>
      <c r="G88" s="446"/>
      <c r="H88" s="444"/>
      <c r="I88" s="444"/>
      <c r="J88" s="444"/>
      <c r="K88" s="444"/>
      <c r="L88" s="444"/>
      <c r="M88" s="444"/>
      <c r="N88" s="444"/>
    </row>
    <row r="89" spans="1:14" x14ac:dyDescent="0.3">
      <c r="C89" s="27"/>
      <c r="D89" s="511"/>
      <c r="E89" s="511"/>
      <c r="F89" s="511"/>
      <c r="G89" s="511"/>
      <c r="H89" s="444"/>
      <c r="I89" s="444"/>
      <c r="J89" s="444"/>
      <c r="K89" s="444"/>
      <c r="L89" s="444"/>
      <c r="M89" s="444"/>
      <c r="N89" s="444"/>
    </row>
    <row r="90" spans="1:14" x14ac:dyDescent="0.3">
      <c r="C90" s="27"/>
      <c r="D90" s="27"/>
      <c r="E90" s="446"/>
      <c r="F90" s="446"/>
      <c r="G90" s="27"/>
      <c r="H90" s="444"/>
      <c r="I90" s="444"/>
      <c r="J90" s="444"/>
      <c r="K90" s="444"/>
      <c r="L90" s="444"/>
      <c r="M90" s="444"/>
      <c r="N90" s="444"/>
    </row>
    <row r="91" spans="1:14" x14ac:dyDescent="0.3">
      <c r="C91" s="27"/>
      <c r="D91" s="27"/>
      <c r="E91" s="446"/>
      <c r="F91" s="446"/>
      <c r="G91" s="27"/>
      <c r="H91" s="444"/>
      <c r="I91" s="444"/>
      <c r="J91" s="444"/>
      <c r="K91" s="444"/>
      <c r="L91" s="444"/>
      <c r="M91" s="444"/>
      <c r="N91" s="444"/>
    </row>
    <row r="92" spans="1:14" x14ac:dyDescent="0.3">
      <c r="F92" s="444"/>
      <c r="G92" s="444"/>
      <c r="H92" s="444"/>
      <c r="I92" s="444"/>
      <c r="J92" s="444"/>
      <c r="K92" s="444"/>
      <c r="L92" s="444"/>
      <c r="M92" s="444"/>
      <c r="N92" s="444"/>
    </row>
    <row r="93" spans="1:14" x14ac:dyDescent="0.3">
      <c r="B93" s="122"/>
      <c r="F93" s="444"/>
      <c r="G93" s="444"/>
      <c r="H93" s="444"/>
      <c r="I93" s="444"/>
      <c r="J93" s="444"/>
      <c r="K93" s="444"/>
      <c r="L93" s="444"/>
      <c r="M93" s="444"/>
      <c r="N93" s="444"/>
    </row>
    <row r="94" spans="1:14" x14ac:dyDescent="0.3">
      <c r="A94" s="501"/>
      <c r="B94" s="45"/>
      <c r="E94" s="468"/>
      <c r="F94" s="444"/>
      <c r="G94" s="444"/>
      <c r="H94" s="444"/>
      <c r="I94" s="444"/>
      <c r="J94" s="444"/>
      <c r="K94" s="444"/>
      <c r="L94" s="444"/>
      <c r="M94" s="444"/>
      <c r="N94" s="444"/>
    </row>
    <row r="95" spans="1:14" x14ac:dyDescent="0.3">
      <c r="B95" s="466"/>
      <c r="C95" s="5"/>
      <c r="D95" s="441"/>
      <c r="E95" s="467"/>
      <c r="F95" s="444"/>
      <c r="G95" s="444"/>
      <c r="H95" s="444"/>
      <c r="I95" s="444"/>
      <c r="J95" s="444"/>
      <c r="K95" s="444"/>
      <c r="L95" s="444"/>
      <c r="M95" s="444"/>
      <c r="N95" s="444"/>
    </row>
    <row r="96" spans="1:14" x14ac:dyDescent="0.3">
      <c r="C96" s="5"/>
      <c r="D96" s="441"/>
      <c r="E96" s="27"/>
      <c r="F96" s="444"/>
      <c r="G96" s="444"/>
      <c r="H96" s="444"/>
      <c r="I96" s="444"/>
      <c r="J96" s="444"/>
      <c r="K96" s="444"/>
      <c r="L96" s="444"/>
      <c r="M96" s="444"/>
      <c r="N96" s="444"/>
    </row>
    <row r="97" spans="1:14" x14ac:dyDescent="0.3">
      <c r="C97" s="5"/>
      <c r="D97" s="441"/>
      <c r="E97" s="27"/>
      <c r="F97" s="444"/>
      <c r="G97" s="444"/>
      <c r="H97" s="444"/>
      <c r="I97" s="444"/>
      <c r="J97" s="444"/>
      <c r="K97" s="444"/>
      <c r="L97" s="444"/>
      <c r="M97" s="444"/>
      <c r="N97" s="444"/>
    </row>
    <row r="98" spans="1:14" x14ac:dyDescent="0.3">
      <c r="D98" s="441"/>
      <c r="E98" s="27"/>
      <c r="F98" s="444"/>
      <c r="G98" s="444"/>
      <c r="H98" s="444"/>
      <c r="I98" s="444"/>
      <c r="J98" s="444"/>
      <c r="K98" s="444"/>
      <c r="L98" s="444"/>
      <c r="M98" s="444"/>
      <c r="N98" s="444"/>
    </row>
    <row r="99" spans="1:14" x14ac:dyDescent="0.3">
      <c r="C99" s="9"/>
      <c r="E99" s="27"/>
      <c r="F99" s="444"/>
      <c r="G99" s="444"/>
      <c r="H99" s="444"/>
      <c r="I99" s="444"/>
      <c r="J99" s="444"/>
      <c r="K99" s="444"/>
      <c r="L99" s="444"/>
      <c r="M99" s="444"/>
      <c r="N99" s="444"/>
    </row>
    <row r="100" spans="1:14" x14ac:dyDescent="0.3">
      <c r="C100" s="9"/>
      <c r="E100" s="8"/>
      <c r="F100" s="444"/>
      <c r="G100" s="444"/>
      <c r="H100" s="444"/>
      <c r="I100" s="444"/>
      <c r="J100" s="444"/>
      <c r="K100" s="444"/>
      <c r="L100" s="444"/>
      <c r="M100" s="444"/>
      <c r="N100" s="444"/>
    </row>
    <row r="101" spans="1:14" x14ac:dyDescent="0.3">
      <c r="C101" s="9"/>
      <c r="E101" s="16"/>
      <c r="F101" s="444"/>
      <c r="G101" s="444"/>
      <c r="H101" s="444"/>
      <c r="I101" s="444"/>
      <c r="J101" s="444"/>
      <c r="K101" s="444"/>
      <c r="L101" s="444"/>
      <c r="M101" s="444"/>
      <c r="N101" s="444"/>
    </row>
    <row r="102" spans="1:14" x14ac:dyDescent="0.3">
      <c r="E102" s="16"/>
      <c r="F102" s="444"/>
      <c r="G102" s="444"/>
      <c r="H102" s="444"/>
      <c r="I102" s="444"/>
      <c r="J102" s="444"/>
      <c r="K102" s="444"/>
      <c r="L102" s="444"/>
      <c r="M102" s="444"/>
      <c r="N102" s="444"/>
    </row>
    <row r="103" spans="1:14" x14ac:dyDescent="0.3">
      <c r="A103" s="501"/>
      <c r="B103" s="466"/>
      <c r="C103" s="5"/>
      <c r="D103" s="441"/>
      <c r="E103" s="16"/>
      <c r="F103" s="444"/>
      <c r="G103" s="444"/>
      <c r="H103" s="444"/>
      <c r="I103" s="444"/>
      <c r="J103" s="444"/>
      <c r="K103" s="444"/>
      <c r="L103" s="444"/>
      <c r="M103" s="444"/>
      <c r="N103" s="444"/>
    </row>
    <row r="104" spans="1:14" x14ac:dyDescent="0.3">
      <c r="C104" s="5"/>
      <c r="D104" s="441"/>
      <c r="F104" s="444"/>
      <c r="G104" s="444"/>
      <c r="H104" s="444"/>
      <c r="I104" s="444"/>
      <c r="J104" s="444"/>
      <c r="K104" s="444"/>
      <c r="L104" s="444"/>
      <c r="M104" s="444"/>
      <c r="N104" s="444"/>
    </row>
    <row r="105" spans="1:14" x14ac:dyDescent="0.3">
      <c r="C105" s="5"/>
      <c r="D105" s="441"/>
      <c r="F105" s="444"/>
      <c r="G105" s="444"/>
      <c r="H105" s="444"/>
      <c r="I105" s="444"/>
      <c r="J105" s="444"/>
      <c r="K105" s="444"/>
      <c r="L105" s="444"/>
      <c r="M105" s="444"/>
      <c r="N105" s="444"/>
    </row>
    <row r="106" spans="1:14" x14ac:dyDescent="0.3">
      <c r="D106" s="441"/>
      <c r="E106" s="444"/>
      <c r="F106" s="444"/>
      <c r="G106" s="444"/>
      <c r="H106" s="444"/>
      <c r="I106" s="444"/>
      <c r="J106" s="444"/>
      <c r="K106" s="444"/>
      <c r="L106" s="444"/>
      <c r="M106" s="444"/>
      <c r="N106" s="444"/>
    </row>
    <row r="107" spans="1:14" x14ac:dyDescent="0.3">
      <c r="C107" s="9"/>
      <c r="E107" s="444"/>
      <c r="F107" s="444"/>
      <c r="G107" s="444"/>
      <c r="H107" s="444"/>
      <c r="I107" s="444"/>
      <c r="J107" s="444"/>
      <c r="K107" s="444"/>
      <c r="L107" s="444"/>
      <c r="M107" s="444"/>
      <c r="N107" s="444"/>
    </row>
    <row r="108" spans="1:14" x14ac:dyDescent="0.3">
      <c r="C108" s="9"/>
      <c r="D108" s="441"/>
      <c r="E108" s="444"/>
      <c r="F108" s="444"/>
      <c r="G108" s="444"/>
      <c r="H108" s="444"/>
      <c r="I108" s="444"/>
      <c r="J108" s="444"/>
      <c r="K108" s="444"/>
      <c r="L108" s="444"/>
      <c r="M108" s="444"/>
      <c r="N108" s="444"/>
    </row>
    <row r="109" spans="1:14" x14ac:dyDescent="0.3">
      <c r="C109" s="9"/>
      <c r="D109" s="16"/>
      <c r="E109" s="444"/>
      <c r="F109" s="444"/>
      <c r="G109" s="444"/>
      <c r="H109" s="444"/>
      <c r="I109" s="444"/>
      <c r="J109" s="444"/>
      <c r="K109" s="444"/>
      <c r="L109" s="444"/>
      <c r="M109" s="444"/>
      <c r="N109" s="444"/>
    </row>
    <row r="110" spans="1:14" x14ac:dyDescent="0.3">
      <c r="E110" s="444"/>
      <c r="F110" s="444"/>
      <c r="G110" s="444"/>
      <c r="H110" s="444"/>
      <c r="I110" s="444"/>
      <c r="J110" s="444"/>
      <c r="K110" s="444"/>
      <c r="L110" s="444"/>
      <c r="M110" s="444"/>
      <c r="N110" s="444"/>
    </row>
    <row r="111" spans="1:14" x14ac:dyDescent="0.3">
      <c r="B111" s="27"/>
      <c r="C111" s="443"/>
      <c r="D111" s="452"/>
      <c r="E111" s="444"/>
      <c r="F111" s="444"/>
      <c r="G111" s="444"/>
      <c r="H111" s="444"/>
      <c r="I111" s="444"/>
      <c r="J111" s="444"/>
      <c r="K111" s="444"/>
      <c r="L111" s="444"/>
      <c r="M111" s="444"/>
      <c r="N111" s="444"/>
    </row>
    <row r="112" spans="1:14" x14ac:dyDescent="0.3">
      <c r="C112" s="27"/>
      <c r="D112" s="455"/>
      <c r="E112" s="455"/>
      <c r="F112" s="455"/>
      <c r="G112" s="455"/>
      <c r="H112" s="444"/>
      <c r="I112" s="444"/>
      <c r="J112" s="444"/>
      <c r="K112" s="444"/>
      <c r="L112" s="444"/>
      <c r="M112" s="444"/>
      <c r="N112" s="444"/>
    </row>
    <row r="113" spans="1:14" x14ac:dyDescent="0.3">
      <c r="B113" s="443"/>
      <c r="C113" s="27"/>
      <c r="D113" s="446"/>
      <c r="E113" s="446"/>
      <c r="F113" s="446"/>
      <c r="G113" s="446"/>
      <c r="H113" s="444"/>
      <c r="I113" s="444"/>
      <c r="J113" s="444"/>
      <c r="K113" s="444"/>
      <c r="L113" s="444"/>
      <c r="M113" s="444"/>
      <c r="N113" s="444"/>
    </row>
    <row r="114" spans="1:14" x14ac:dyDescent="0.3">
      <c r="B114" s="27"/>
      <c r="C114" s="27"/>
      <c r="D114" s="511"/>
      <c r="E114" s="511"/>
      <c r="F114" s="511"/>
      <c r="G114" s="511"/>
      <c r="H114" s="444"/>
      <c r="I114" s="444"/>
      <c r="J114" s="444"/>
      <c r="K114" s="444"/>
      <c r="L114" s="444"/>
      <c r="M114" s="444"/>
      <c r="N114" s="444"/>
    </row>
    <row r="115" spans="1:14" x14ac:dyDescent="0.3">
      <c r="B115" s="122"/>
      <c r="D115" s="510"/>
      <c r="E115" s="510"/>
      <c r="F115" s="510"/>
      <c r="G115" s="510"/>
      <c r="H115" s="444"/>
      <c r="I115" s="444"/>
      <c r="J115" s="444"/>
      <c r="K115" s="444"/>
      <c r="L115" s="444"/>
      <c r="M115" s="444"/>
      <c r="N115" s="444"/>
    </row>
    <row r="116" spans="1:14" x14ac:dyDescent="0.3">
      <c r="B116" s="122"/>
      <c r="C116" s="27"/>
      <c r="D116" s="509"/>
      <c r="E116" s="509"/>
      <c r="F116" s="509"/>
      <c r="G116" s="509"/>
      <c r="H116" s="444"/>
      <c r="I116" s="444"/>
      <c r="J116" s="444"/>
      <c r="K116" s="444"/>
      <c r="L116" s="444"/>
      <c r="M116" s="444"/>
      <c r="N116" s="444"/>
    </row>
    <row r="117" spans="1:14" x14ac:dyDescent="0.3">
      <c r="B117" s="444"/>
      <c r="C117" s="27"/>
      <c r="D117" s="508"/>
      <c r="E117" s="508"/>
      <c r="F117" s="508"/>
      <c r="G117" s="508"/>
      <c r="H117" s="444"/>
      <c r="I117" s="444"/>
      <c r="J117" s="444"/>
      <c r="K117" s="444"/>
      <c r="L117" s="444"/>
      <c r="M117" s="444"/>
      <c r="N117" s="444"/>
    </row>
    <row r="118" spans="1:14" x14ac:dyDescent="0.3">
      <c r="B118" s="444"/>
      <c r="C118" s="27"/>
      <c r="D118" s="27"/>
      <c r="E118" s="455"/>
      <c r="F118" s="455"/>
      <c r="G118" s="27"/>
      <c r="H118" s="444"/>
      <c r="I118" s="444"/>
      <c r="J118" s="444"/>
      <c r="K118" s="444"/>
      <c r="L118" s="444"/>
      <c r="M118" s="444"/>
      <c r="N118" s="444"/>
    </row>
    <row r="119" spans="1:14" x14ac:dyDescent="0.3">
      <c r="B119" s="45"/>
      <c r="C119" s="27"/>
      <c r="D119" s="446"/>
      <c r="E119" s="27"/>
      <c r="F119" s="27"/>
      <c r="G119" s="27"/>
      <c r="H119" s="444"/>
      <c r="I119" s="444"/>
      <c r="J119" s="444"/>
      <c r="K119" s="444"/>
      <c r="L119" s="444"/>
      <c r="M119" s="444"/>
      <c r="N119" s="444"/>
    </row>
    <row r="120" spans="1:14" x14ac:dyDescent="0.3">
      <c r="B120" s="444"/>
      <c r="C120" s="507"/>
      <c r="D120" s="506"/>
      <c r="E120" s="455"/>
      <c r="F120" s="27"/>
      <c r="G120" s="27"/>
      <c r="H120" s="444"/>
      <c r="I120" s="444"/>
      <c r="J120" s="444"/>
      <c r="K120" s="444"/>
      <c r="L120" s="444"/>
      <c r="M120" s="444"/>
      <c r="N120" s="444"/>
    </row>
    <row r="121" spans="1:14" x14ac:dyDescent="0.3">
      <c r="B121" s="444"/>
      <c r="C121" s="27"/>
      <c r="D121" s="444"/>
      <c r="E121" s="444"/>
      <c r="F121" s="444"/>
      <c r="G121" s="444"/>
      <c r="H121" s="444"/>
      <c r="I121" s="444"/>
      <c r="J121" s="444"/>
      <c r="K121" s="444"/>
      <c r="L121" s="444"/>
      <c r="M121" s="444"/>
      <c r="N121" s="444"/>
    </row>
    <row r="122" spans="1:14" x14ac:dyDescent="0.3">
      <c r="B122" s="27"/>
      <c r="C122" s="443"/>
      <c r="D122" s="444"/>
      <c r="E122" s="444"/>
      <c r="F122" s="444"/>
      <c r="G122" s="444"/>
      <c r="H122" s="444"/>
      <c r="I122" s="444"/>
      <c r="J122" s="444"/>
      <c r="K122" s="444"/>
      <c r="L122" s="444"/>
      <c r="M122" s="444"/>
      <c r="N122" s="444"/>
    </row>
    <row r="123" spans="1:14" x14ac:dyDescent="0.3">
      <c r="B123" s="27"/>
      <c r="C123" s="90"/>
      <c r="E123" s="444"/>
      <c r="F123" s="444"/>
      <c r="G123" s="444"/>
      <c r="H123" s="444"/>
      <c r="I123" s="444"/>
      <c r="J123" s="444"/>
      <c r="K123" s="444"/>
      <c r="L123" s="444"/>
      <c r="M123" s="444"/>
      <c r="N123" s="444"/>
    </row>
    <row r="124" spans="1:14" x14ac:dyDescent="0.3">
      <c r="B124" s="27"/>
      <c r="E124" s="444"/>
      <c r="F124" s="444"/>
      <c r="G124" s="444"/>
      <c r="H124" s="444"/>
      <c r="I124" s="444"/>
      <c r="J124" s="444"/>
      <c r="K124" s="444"/>
      <c r="L124" s="444"/>
      <c r="M124" s="444"/>
      <c r="N124" s="444"/>
    </row>
    <row r="125" spans="1:14" x14ac:dyDescent="0.3">
      <c r="A125" s="120"/>
      <c r="B125" s="27"/>
      <c r="C125" s="90"/>
      <c r="D125" s="444"/>
      <c r="E125" s="444"/>
      <c r="F125" s="444"/>
      <c r="G125" s="444"/>
      <c r="H125" s="444"/>
      <c r="I125" s="444"/>
      <c r="J125" s="444"/>
      <c r="K125" s="444"/>
      <c r="L125" s="444"/>
      <c r="M125" s="444"/>
      <c r="N125" s="444"/>
    </row>
    <row r="126" spans="1:14" x14ac:dyDescent="0.3">
      <c r="B126" s="27"/>
      <c r="D126" s="444"/>
      <c r="E126" s="444"/>
      <c r="F126" s="444"/>
      <c r="G126" s="444"/>
      <c r="H126" s="444"/>
      <c r="I126" s="444"/>
      <c r="J126" s="444"/>
      <c r="K126" s="444"/>
      <c r="L126" s="444"/>
      <c r="M126" s="444"/>
      <c r="N126" s="444"/>
    </row>
    <row r="127" spans="1:14" x14ac:dyDescent="0.3">
      <c r="B127" s="505"/>
      <c r="C127" s="559"/>
      <c r="E127" s="444"/>
      <c r="G127" s="444"/>
      <c r="H127" s="444"/>
      <c r="I127" s="444"/>
      <c r="J127" s="444"/>
      <c r="K127" s="444"/>
      <c r="L127" s="444"/>
      <c r="M127" s="444"/>
      <c r="N127" s="444"/>
    </row>
    <row r="128" spans="1:14" x14ac:dyDescent="0.3">
      <c r="B128" s="27"/>
      <c r="E128" s="444"/>
      <c r="F128" s="444"/>
      <c r="G128" s="444"/>
      <c r="H128" s="444"/>
      <c r="I128" s="444"/>
      <c r="J128" s="444"/>
      <c r="K128" s="444"/>
      <c r="L128" s="444"/>
      <c r="M128" s="444"/>
      <c r="N128" s="444"/>
    </row>
    <row r="129" spans="1:14" x14ac:dyDescent="0.3">
      <c r="B129" s="503"/>
      <c r="C129" s="558"/>
      <c r="D129" s="444"/>
      <c r="E129" s="444"/>
      <c r="F129" s="444"/>
      <c r="G129" s="444"/>
      <c r="H129" s="444"/>
      <c r="I129" s="444"/>
      <c r="J129" s="444"/>
      <c r="K129" s="444"/>
      <c r="L129" s="444"/>
      <c r="M129" s="444"/>
      <c r="N129" s="444"/>
    </row>
    <row r="130" spans="1:14" x14ac:dyDescent="0.3">
      <c r="B130" s="444"/>
      <c r="C130" s="443"/>
      <c r="D130" s="444"/>
      <c r="E130" s="444"/>
      <c r="F130" s="444"/>
      <c r="G130" s="444"/>
      <c r="H130" s="444"/>
      <c r="I130" s="444"/>
      <c r="J130" s="444"/>
      <c r="K130" s="444"/>
      <c r="L130" s="444"/>
      <c r="M130" s="444"/>
      <c r="N130" s="444"/>
    </row>
    <row r="131" spans="1:14" x14ac:dyDescent="0.3">
      <c r="B131" s="444"/>
      <c r="C131" s="27"/>
      <c r="D131" s="444"/>
      <c r="E131" s="444"/>
      <c r="F131" s="444"/>
      <c r="G131" s="444"/>
      <c r="H131" s="444"/>
      <c r="I131" s="444"/>
      <c r="J131" s="444"/>
      <c r="K131" s="444"/>
      <c r="L131" s="444"/>
      <c r="M131" s="444"/>
      <c r="N131" s="444"/>
    </row>
    <row r="132" spans="1:14" x14ac:dyDescent="0.3">
      <c r="B132" s="445"/>
      <c r="C132" s="444"/>
      <c r="D132" s="444"/>
      <c r="E132" s="444"/>
      <c r="F132" s="444"/>
      <c r="G132" s="444"/>
      <c r="H132" s="444"/>
      <c r="I132" s="444"/>
      <c r="J132" s="444"/>
      <c r="K132" s="444"/>
      <c r="L132" s="444"/>
      <c r="M132" s="444"/>
      <c r="N132" s="444"/>
    </row>
    <row r="133" spans="1:14" x14ac:dyDescent="0.3">
      <c r="A133" s="501"/>
      <c r="B133" s="27"/>
      <c r="C133" s="443"/>
      <c r="D133" s="27"/>
      <c r="E133" s="27"/>
      <c r="F133" s="27"/>
      <c r="G133" s="27"/>
      <c r="H133" s="27"/>
      <c r="I133" s="27"/>
      <c r="J133" s="27"/>
      <c r="K133" s="444"/>
      <c r="L133" s="444"/>
      <c r="M133" s="444"/>
      <c r="N133" s="444"/>
    </row>
    <row r="134" spans="1:14" x14ac:dyDescent="0.3">
      <c r="B134" s="27"/>
      <c r="C134" s="27"/>
      <c r="D134" s="27"/>
      <c r="E134" s="27"/>
      <c r="F134" s="27"/>
      <c r="G134" s="27"/>
      <c r="H134" s="27"/>
      <c r="I134" s="27"/>
      <c r="J134" s="27"/>
      <c r="K134" s="444"/>
      <c r="L134" s="444"/>
      <c r="M134" s="444"/>
      <c r="N134" s="444"/>
    </row>
    <row r="135" spans="1:14" x14ac:dyDescent="0.3">
      <c r="B135" s="27"/>
      <c r="C135" s="27"/>
      <c r="D135" s="27"/>
      <c r="E135" s="27"/>
      <c r="F135" s="27"/>
      <c r="G135" s="27"/>
      <c r="H135" s="27"/>
      <c r="I135" s="27"/>
      <c r="J135" s="27"/>
      <c r="K135" s="444"/>
      <c r="L135" s="444"/>
      <c r="M135" s="444"/>
      <c r="N135" s="444"/>
    </row>
    <row r="136" spans="1:14" x14ac:dyDescent="0.3">
      <c r="B136" s="448"/>
      <c r="C136" s="27"/>
      <c r="D136" s="27"/>
      <c r="E136" s="27"/>
      <c r="F136" s="27"/>
      <c r="G136" s="27"/>
      <c r="H136" s="27"/>
      <c r="I136" s="27"/>
      <c r="J136" s="27"/>
      <c r="K136" s="444"/>
      <c r="L136" s="444"/>
      <c r="M136" s="444"/>
      <c r="N136" s="444"/>
    </row>
    <row r="137" spans="1:14" x14ac:dyDescent="0.3">
      <c r="B137" s="27"/>
      <c r="C137" s="443"/>
      <c r="D137" s="27"/>
      <c r="E137"/>
      <c r="F137" s="27"/>
      <c r="G137" s="27"/>
      <c r="H137" s="27"/>
      <c r="I137" s="27"/>
      <c r="J137" s="27"/>
      <c r="K137" s="444"/>
      <c r="L137" s="444"/>
      <c r="M137" s="444"/>
      <c r="N137" s="444"/>
    </row>
    <row r="138" spans="1:14" x14ac:dyDescent="0.3">
      <c r="B138" s="27"/>
      <c r="C138" s="443"/>
      <c r="D138" s="455"/>
      <c r="E138"/>
      <c r="F138" s="455"/>
      <c r="G138" s="455"/>
      <c r="H138" s="455"/>
      <c r="I138" s="455"/>
      <c r="J138" s="455"/>
      <c r="K138" s="454"/>
      <c r="L138" s="454"/>
      <c r="M138" s="454"/>
      <c r="N138" s="454"/>
    </row>
    <row r="139" spans="1:14" x14ac:dyDescent="0.3">
      <c r="B139" s="27"/>
      <c r="C139" s="443"/>
      <c r="D139" s="462"/>
      <c r="E139" s="462"/>
      <c r="F139" s="462"/>
      <c r="G139" s="462"/>
      <c r="H139" s="462"/>
      <c r="I139" s="462"/>
      <c r="J139" s="462"/>
      <c r="K139" s="461"/>
      <c r="L139" s="461"/>
      <c r="M139" s="461"/>
      <c r="N139" s="461"/>
    </row>
    <row r="140" spans="1:14" x14ac:dyDescent="0.3">
      <c r="B140" s="27"/>
      <c r="C140" s="460"/>
      <c r="D140" s="459"/>
      <c r="E140" s="459"/>
      <c r="F140" s="459"/>
      <c r="G140" s="459"/>
      <c r="H140" s="459"/>
      <c r="I140" s="459"/>
      <c r="J140" s="459"/>
      <c r="K140" s="458"/>
      <c r="L140" s="458"/>
      <c r="M140" s="458"/>
      <c r="N140" s="458"/>
    </row>
    <row r="141" spans="1:14" x14ac:dyDescent="0.3">
      <c r="B141" s="27"/>
      <c r="C141" s="457"/>
      <c r="D141" s="452"/>
      <c r="E141"/>
      <c r="F141" s="452"/>
      <c r="G141" s="452"/>
      <c r="H141" s="452"/>
      <c r="I141" s="452"/>
      <c r="J141" s="452"/>
      <c r="K141" s="451"/>
      <c r="L141" s="451"/>
      <c r="M141" s="451"/>
      <c r="N141" s="451"/>
    </row>
    <row r="142" spans="1:14" x14ac:dyDescent="0.3">
      <c r="B142" s="27"/>
      <c r="C142" s="27"/>
      <c r="D142" s="27"/>
      <c r="E142"/>
      <c r="F142" s="27"/>
      <c r="G142" s="27"/>
      <c r="H142" s="27"/>
      <c r="I142" s="27"/>
      <c r="J142" s="27"/>
      <c r="K142" s="444"/>
      <c r="L142" s="444"/>
      <c r="M142" s="444"/>
      <c r="N142" s="444"/>
    </row>
    <row r="143" spans="1:14" x14ac:dyDescent="0.3">
      <c r="D143" s="27"/>
      <c r="E143" s="27"/>
      <c r="F143" s="27"/>
      <c r="G143" s="27"/>
      <c r="H143" s="27"/>
      <c r="I143" s="27"/>
      <c r="J143" s="27"/>
      <c r="K143" s="444"/>
      <c r="L143" s="444"/>
      <c r="M143" s="444"/>
      <c r="N143" s="444"/>
    </row>
    <row r="144" spans="1:14" x14ac:dyDescent="0.3">
      <c r="B144" s="45"/>
      <c r="C144" s="27"/>
      <c r="D144" s="27"/>
      <c r="E144" s="27"/>
      <c r="F144" s="27"/>
      <c r="G144" s="27"/>
      <c r="H144" s="27"/>
      <c r="I144" s="27"/>
      <c r="J144" s="27"/>
      <c r="K144" s="444"/>
      <c r="L144" s="444"/>
      <c r="M144" s="444"/>
      <c r="N144" s="444"/>
    </row>
    <row r="145" spans="1:14" x14ac:dyDescent="0.3">
      <c r="B145" s="27"/>
      <c r="C145" s="27"/>
      <c r="D145" s="27"/>
      <c r="E145"/>
      <c r="F145" s="444"/>
      <c r="G145" s="444"/>
      <c r="H145" s="444"/>
      <c r="I145" s="444"/>
      <c r="J145" s="444"/>
      <c r="K145" s="444"/>
      <c r="L145" s="444"/>
      <c r="M145" s="444"/>
      <c r="N145" s="444"/>
    </row>
    <row r="146" spans="1:14" x14ac:dyDescent="0.3">
      <c r="B146" s="27"/>
      <c r="C146" s="443"/>
      <c r="D146" s="27"/>
      <c r="E146" s="27"/>
      <c r="F146" s="444"/>
      <c r="G146" s="444"/>
      <c r="H146" s="444"/>
      <c r="I146" s="444"/>
      <c r="J146" s="444"/>
      <c r="K146" s="444"/>
      <c r="L146" s="444"/>
      <c r="M146" s="444"/>
      <c r="N146" s="444"/>
    </row>
    <row r="147" spans="1:14" x14ac:dyDescent="0.3">
      <c r="B147" s="444"/>
      <c r="C147" s="27"/>
      <c r="D147" s="27"/>
      <c r="E147" s="27"/>
      <c r="F147" s="444"/>
      <c r="G147" s="444"/>
      <c r="H147" s="444"/>
      <c r="I147" s="444"/>
      <c r="J147" s="444"/>
      <c r="K147" s="444"/>
      <c r="L147" s="444"/>
      <c r="M147" s="444"/>
      <c r="N147" s="444"/>
    </row>
    <row r="148" spans="1:14" x14ac:dyDescent="0.3">
      <c r="B148" s="444"/>
      <c r="C148" s="27"/>
      <c r="D148" s="27"/>
      <c r="E148" s="27"/>
      <c r="F148" s="444"/>
      <c r="G148" s="444"/>
      <c r="H148" s="444"/>
      <c r="I148" s="444"/>
      <c r="J148" s="444"/>
      <c r="K148" s="444"/>
      <c r="L148" s="444"/>
      <c r="M148" s="444"/>
      <c r="N148" s="444"/>
    </row>
    <row r="149" spans="1:14" x14ac:dyDescent="0.3">
      <c r="B149" s="444"/>
      <c r="C149" s="446"/>
      <c r="D149" s="27"/>
      <c r="E149" s="27"/>
      <c r="F149" s="444"/>
      <c r="G149" s="444"/>
      <c r="H149" s="444"/>
      <c r="I149" s="444"/>
      <c r="J149" s="444"/>
      <c r="K149" s="444"/>
      <c r="L149" s="444"/>
      <c r="M149" s="444"/>
      <c r="N149" s="444"/>
    </row>
    <row r="150" spans="1:14" x14ac:dyDescent="0.3">
      <c r="A150" s="501"/>
      <c r="B150" s="66"/>
      <c r="C150" s="27"/>
      <c r="D150" s="27"/>
      <c r="E150" s="27"/>
      <c r="F150" s="444"/>
      <c r="G150" s="444"/>
      <c r="H150" s="444"/>
      <c r="I150" s="444"/>
      <c r="J150" s="444"/>
      <c r="K150" s="444"/>
      <c r="L150" s="444"/>
      <c r="M150" s="444"/>
      <c r="N150" s="444"/>
    </row>
    <row r="151" spans="1:14" x14ac:dyDescent="0.3">
      <c r="B151" s="66"/>
      <c r="C151" s="27"/>
      <c r="D151" s="27"/>
      <c r="E151" s="27"/>
      <c r="F151" s="444"/>
      <c r="G151" s="444"/>
      <c r="H151" s="444"/>
      <c r="I151" s="444"/>
      <c r="J151" s="444"/>
      <c r="K151" s="444"/>
      <c r="L151" s="444"/>
      <c r="M151" s="444"/>
      <c r="N151" s="444"/>
    </row>
    <row r="152" spans="1:14" x14ac:dyDescent="0.3">
      <c r="B152" s="444"/>
      <c r="C152" s="27"/>
      <c r="D152" s="27"/>
      <c r="E152" s="27"/>
      <c r="F152" s="444"/>
      <c r="G152" s="444"/>
      <c r="H152" s="444"/>
      <c r="I152" s="444"/>
      <c r="J152" s="444"/>
      <c r="K152" s="444"/>
      <c r="L152" s="444"/>
      <c r="M152" s="444"/>
      <c r="N152" s="444"/>
    </row>
    <row r="153" spans="1:14" x14ac:dyDescent="0.3">
      <c r="A153" s="120"/>
      <c r="D153" s="27"/>
      <c r="E153" s="27"/>
      <c r="F153" s="444"/>
      <c r="G153" s="444"/>
      <c r="H153" s="444"/>
      <c r="I153" s="444"/>
      <c r="J153" s="444"/>
      <c r="K153" s="444"/>
      <c r="L153" s="444"/>
      <c r="M153" s="444"/>
      <c r="N153" s="444"/>
    </row>
    <row r="154" spans="1:14" x14ac:dyDescent="0.3">
      <c r="A154" s="27"/>
      <c r="B154" s="448"/>
      <c r="C154" s="27"/>
      <c r="D154" s="27"/>
      <c r="E154" s="27"/>
      <c r="F154" s="444"/>
      <c r="G154" s="444"/>
      <c r="H154" s="444"/>
      <c r="I154" s="444"/>
      <c r="J154" s="444"/>
      <c r="K154" s="444"/>
      <c r="L154" s="444"/>
      <c r="M154" s="444"/>
      <c r="N154" s="444"/>
    </row>
    <row r="155" spans="1:14" x14ac:dyDescent="0.3">
      <c r="A155" s="27"/>
      <c r="B155" s="27"/>
      <c r="C155" s="27"/>
      <c r="D155" s="27"/>
      <c r="E155" s="27"/>
      <c r="F155" s="444"/>
      <c r="G155" s="444"/>
      <c r="H155" s="444"/>
      <c r="I155" s="444"/>
      <c r="J155" s="444"/>
      <c r="K155" s="444"/>
      <c r="L155" s="444"/>
      <c r="M155" s="444"/>
      <c r="N155" s="444"/>
    </row>
    <row r="156" spans="1:14" x14ac:dyDescent="0.3">
      <c r="A156" s="27"/>
      <c r="B156" s="27"/>
      <c r="C156" s="27"/>
      <c r="D156" s="27"/>
      <c r="E156" s="27"/>
      <c r="F156" s="444"/>
      <c r="G156" s="444"/>
      <c r="H156" s="444"/>
      <c r="I156" s="444"/>
      <c r="J156" s="444"/>
      <c r="K156" s="444"/>
      <c r="L156" s="444"/>
      <c r="M156" s="444"/>
      <c r="N156" s="444"/>
    </row>
    <row r="157" spans="1:14" x14ac:dyDescent="0.3">
      <c r="A157" s="27"/>
      <c r="B157" s="27"/>
      <c r="C157" s="446"/>
      <c r="D157" s="27"/>
      <c r="E157" s="27"/>
      <c r="F157" s="444"/>
      <c r="G157" s="444"/>
      <c r="H157" s="444"/>
      <c r="I157" s="444"/>
      <c r="J157" s="444"/>
      <c r="K157" s="444"/>
      <c r="L157" s="444"/>
      <c r="M157" s="444"/>
      <c r="N157" s="444"/>
    </row>
    <row r="158" spans="1:14" x14ac:dyDescent="0.3">
      <c r="A158" s="27"/>
      <c r="B158" s="447"/>
      <c r="C158" s="446"/>
      <c r="D158" s="27"/>
      <c r="E158" s="27"/>
      <c r="F158" s="444"/>
      <c r="G158" s="444"/>
      <c r="H158" s="444"/>
      <c r="I158" s="444"/>
      <c r="J158" s="444"/>
      <c r="K158" s="444"/>
      <c r="L158" s="444"/>
      <c r="M158" s="444"/>
      <c r="N158" s="444"/>
    </row>
    <row r="159" spans="1:14" x14ac:dyDescent="0.3">
      <c r="A159" s="27"/>
      <c r="B159" s="27"/>
      <c r="C159" s="27"/>
      <c r="D159" s="27"/>
      <c r="E159" s="27"/>
      <c r="F159" s="444"/>
      <c r="G159" s="444"/>
      <c r="H159" s="444"/>
      <c r="I159" s="444"/>
      <c r="J159" s="444"/>
      <c r="K159" s="444"/>
      <c r="L159" s="444"/>
      <c r="M159" s="444"/>
      <c r="N159" s="444"/>
    </row>
    <row r="160" spans="1:14" x14ac:dyDescent="0.3">
      <c r="A160" s="27"/>
      <c r="B160" s="27"/>
      <c r="C160" s="27"/>
      <c r="D160" s="27"/>
      <c r="E160" s="27"/>
      <c r="F160" s="444"/>
      <c r="G160" s="444"/>
      <c r="H160" s="444"/>
      <c r="I160" s="444"/>
      <c r="J160" s="444"/>
      <c r="K160" s="444"/>
      <c r="L160" s="444"/>
      <c r="M160" s="444"/>
      <c r="N160" s="444"/>
    </row>
    <row r="161" spans="1:14" x14ac:dyDescent="0.3">
      <c r="A161" s="27"/>
      <c r="B161" s="27"/>
      <c r="C161" s="27"/>
      <c r="D161" s="27"/>
      <c r="E161" s="27"/>
      <c r="F161" s="444"/>
      <c r="G161" s="444"/>
      <c r="H161" s="444"/>
      <c r="I161" s="444"/>
      <c r="J161" s="444"/>
      <c r="K161" s="444"/>
      <c r="L161" s="444"/>
      <c r="M161" s="444"/>
      <c r="N161" s="444"/>
    </row>
    <row r="162" spans="1:14" x14ac:dyDescent="0.3">
      <c r="A162" s="27"/>
      <c r="B162" s="27"/>
      <c r="C162" s="446"/>
      <c r="D162" s="27"/>
      <c r="E162"/>
      <c r="F162" s="444"/>
      <c r="G162" s="444"/>
      <c r="H162" s="444"/>
      <c r="I162" s="444"/>
      <c r="J162" s="444"/>
      <c r="K162" s="444"/>
      <c r="L162" s="444"/>
      <c r="M162" s="444"/>
      <c r="N162" s="444"/>
    </row>
    <row r="163" spans="1:14" x14ac:dyDescent="0.3">
      <c r="A163" s="27"/>
      <c r="B163" s="447"/>
      <c r="C163" s="446"/>
      <c r="D163" s="27"/>
      <c r="E163" s="27"/>
      <c r="F163" s="444"/>
      <c r="G163" s="444"/>
      <c r="H163" s="444"/>
      <c r="I163" s="444"/>
      <c r="J163" s="444"/>
      <c r="K163" s="444"/>
      <c r="L163" s="444"/>
      <c r="M163" s="444"/>
      <c r="N163" s="444"/>
    </row>
    <row r="164" spans="1:14" x14ac:dyDescent="0.3">
      <c r="A164" s="27"/>
      <c r="B164" s="27"/>
      <c r="C164" s="27"/>
      <c r="D164" s="27"/>
      <c r="E164" s="27"/>
      <c r="F164" s="444"/>
      <c r="G164" s="444"/>
      <c r="H164" s="444"/>
      <c r="I164" s="444"/>
      <c r="J164" s="444"/>
      <c r="K164" s="444"/>
      <c r="L164" s="444"/>
      <c r="M164" s="444"/>
      <c r="N164" s="444"/>
    </row>
    <row r="165" spans="1:14" x14ac:dyDescent="0.3">
      <c r="A165" s="27"/>
      <c r="B165" s="27"/>
      <c r="C165" s="27"/>
      <c r="D165" s="27"/>
      <c r="E165" s="27"/>
      <c r="F165" s="444"/>
      <c r="G165" s="444"/>
      <c r="H165" s="444"/>
      <c r="I165" s="444"/>
      <c r="J165" s="444"/>
      <c r="K165" s="444"/>
      <c r="L165" s="444"/>
      <c r="M165" s="444"/>
      <c r="N165" s="444"/>
    </row>
    <row r="166" spans="1:14" x14ac:dyDescent="0.3">
      <c r="A166" s="27"/>
      <c r="B166" s="27"/>
      <c r="C166" s="27"/>
      <c r="D166" s="455"/>
      <c r="E166" s="455"/>
      <c r="F166" s="454"/>
      <c r="G166" s="454"/>
      <c r="H166" s="454"/>
      <c r="I166" s="454"/>
      <c r="J166" s="454"/>
      <c r="K166" s="444"/>
      <c r="L166" s="444"/>
      <c r="M166" s="444"/>
      <c r="N166" s="444"/>
    </row>
    <row r="167" spans="1:14" x14ac:dyDescent="0.3">
      <c r="A167" s="27"/>
      <c r="B167" s="27"/>
      <c r="C167" s="27"/>
      <c r="D167" s="27"/>
      <c r="E167" s="455"/>
      <c r="F167" s="454"/>
      <c r="G167" s="454"/>
      <c r="H167" s="454"/>
      <c r="I167" s="454"/>
      <c r="J167" s="454"/>
      <c r="K167" s="444"/>
      <c r="L167" s="444"/>
      <c r="M167" s="444"/>
      <c r="N167" s="444"/>
    </row>
    <row r="168" spans="1:14" x14ac:dyDescent="0.3">
      <c r="A168" s="27"/>
      <c r="B168" s="27"/>
      <c r="C168" s="453"/>
      <c r="D168" s="452"/>
      <c r="E168" s="452"/>
      <c r="F168" s="451"/>
      <c r="G168" s="451"/>
      <c r="H168" s="451"/>
      <c r="I168" s="451"/>
      <c r="J168" s="451"/>
      <c r="K168" s="444"/>
      <c r="L168" s="444"/>
      <c r="M168" s="444"/>
      <c r="N168" s="444"/>
    </row>
    <row r="169" spans="1:14" x14ac:dyDescent="0.3">
      <c r="B169" s="45"/>
      <c r="C169" s="445"/>
      <c r="D169" s="451"/>
      <c r="E169" s="451"/>
      <c r="F169" s="451"/>
      <c r="G169" s="451"/>
      <c r="H169" s="451"/>
      <c r="I169" s="451"/>
      <c r="J169" s="451"/>
      <c r="K169" s="444"/>
      <c r="L169" s="444"/>
      <c r="M169" s="444"/>
      <c r="N169" s="444"/>
    </row>
    <row r="170" spans="1:14" x14ac:dyDescent="0.3">
      <c r="B170" s="27"/>
      <c r="C170" s="27"/>
      <c r="D170" s="444"/>
      <c r="E170" s="444"/>
      <c r="F170" s="444"/>
      <c r="G170" s="444"/>
      <c r="H170" s="444"/>
      <c r="I170" s="444"/>
      <c r="J170" s="444"/>
      <c r="K170" s="444"/>
      <c r="L170" s="444"/>
      <c r="M170" s="444"/>
      <c r="N170" s="444"/>
    </row>
    <row r="171" spans="1:14" x14ac:dyDescent="0.3">
      <c r="B171" s="27"/>
      <c r="C171" s="443"/>
      <c r="D171" s="444"/>
      <c r="E171" s="444"/>
      <c r="F171" s="444"/>
      <c r="G171" s="444"/>
      <c r="H171" s="444"/>
      <c r="I171" s="444"/>
      <c r="J171" s="444"/>
      <c r="K171" s="444"/>
      <c r="L171" s="444"/>
      <c r="M171" s="444"/>
      <c r="N171" s="444"/>
    </row>
    <row r="172" spans="1:14" x14ac:dyDescent="0.3">
      <c r="B172" s="27"/>
      <c r="C172" s="27"/>
      <c r="D172" s="444"/>
      <c r="E172"/>
      <c r="F172" s="444"/>
      <c r="G172" s="444"/>
      <c r="H172" s="444"/>
      <c r="I172" s="444"/>
      <c r="J172" s="444"/>
      <c r="K172" s="444"/>
      <c r="L172" s="444"/>
      <c r="M172" s="444"/>
      <c r="N172" s="444"/>
    </row>
    <row r="173" spans="1:14" x14ac:dyDescent="0.3">
      <c r="B173" s="27"/>
      <c r="C173" s="27"/>
      <c r="D173" s="444"/>
      <c r="E173" s="444"/>
      <c r="F173" s="444"/>
      <c r="G173" s="444"/>
      <c r="H173" s="444"/>
      <c r="I173" s="444"/>
      <c r="J173" s="444"/>
      <c r="K173" s="444"/>
      <c r="L173" s="444"/>
      <c r="M173" s="444"/>
      <c r="N173" s="444"/>
    </row>
    <row r="174" spans="1:14" x14ac:dyDescent="0.3">
      <c r="B174" s="27"/>
      <c r="C174" s="443"/>
      <c r="D174" s="444"/>
      <c r="E174" s="444"/>
      <c r="F174" s="444"/>
      <c r="G174" s="444"/>
      <c r="H174" s="444"/>
      <c r="I174" s="444"/>
      <c r="J174" s="444"/>
      <c r="K174" s="444"/>
      <c r="L174" s="444"/>
      <c r="M174" s="444"/>
      <c r="N174" s="444"/>
    </row>
    <row r="175" spans="1:14" x14ac:dyDescent="0.3">
      <c r="B175" s="27"/>
      <c r="C175" s="27"/>
      <c r="D175" s="444"/>
      <c r="E175"/>
      <c r="F175" s="444"/>
      <c r="G175" s="444"/>
      <c r="H175" s="444"/>
      <c r="I175" s="444"/>
      <c r="J175" s="444"/>
      <c r="K175" s="444"/>
      <c r="L175" s="444"/>
      <c r="M175" s="444"/>
      <c r="N175" s="444"/>
    </row>
    <row r="176" spans="1:14" x14ac:dyDescent="0.3">
      <c r="B176" s="27"/>
      <c r="C176" s="443"/>
      <c r="D176" s="444"/>
      <c r="E176"/>
      <c r="F176" s="444"/>
      <c r="G176" s="444"/>
      <c r="H176" s="444"/>
      <c r="I176" s="444"/>
      <c r="J176" s="444"/>
      <c r="K176" s="444"/>
      <c r="L176" s="444"/>
      <c r="M176" s="444"/>
      <c r="N176" s="444"/>
    </row>
    <row r="177" spans="1:14" x14ac:dyDescent="0.3">
      <c r="B177" s="27"/>
      <c r="C177" s="27"/>
      <c r="D177" s="444"/>
      <c r="E177" s="444"/>
      <c r="F177" s="444"/>
      <c r="G177" s="444"/>
      <c r="H177" s="444"/>
      <c r="I177" s="444"/>
      <c r="J177" s="444"/>
      <c r="K177" s="444"/>
      <c r="L177" s="444"/>
      <c r="M177" s="444"/>
      <c r="N177" s="444"/>
    </row>
    <row r="178" spans="1:14" x14ac:dyDescent="0.3">
      <c r="B178" s="27"/>
      <c r="C178" s="27"/>
      <c r="D178" s="444"/>
      <c r="E178" s="444"/>
      <c r="F178" s="444"/>
      <c r="G178" s="444"/>
      <c r="H178" s="444"/>
      <c r="I178" s="444"/>
      <c r="J178" s="444"/>
      <c r="K178" s="444"/>
      <c r="L178" s="444"/>
      <c r="M178" s="444"/>
      <c r="N178" s="444"/>
    </row>
    <row r="179" spans="1:14" x14ac:dyDescent="0.3">
      <c r="B179" s="27"/>
      <c r="C179" s="27"/>
      <c r="D179" s="444"/>
      <c r="E179" s="444"/>
      <c r="F179" s="444"/>
      <c r="G179" s="444"/>
      <c r="H179" s="444"/>
      <c r="I179" s="444"/>
      <c r="J179" s="444"/>
      <c r="K179" s="444"/>
      <c r="L179" s="444"/>
      <c r="M179" s="444"/>
      <c r="N179" s="444"/>
    </row>
    <row r="180" spans="1:14" x14ac:dyDescent="0.3">
      <c r="B180" s="27"/>
      <c r="C180" s="446"/>
      <c r="D180" s="444"/>
      <c r="E180" s="444"/>
      <c r="F180" s="444"/>
      <c r="G180" s="444"/>
      <c r="H180" s="444"/>
      <c r="I180" s="444"/>
      <c r="J180" s="444"/>
      <c r="K180" s="444"/>
      <c r="L180" s="444"/>
      <c r="M180" s="444"/>
      <c r="N180" s="444"/>
    </row>
    <row r="181" spans="1:14" x14ac:dyDescent="0.3">
      <c r="B181" s="27"/>
      <c r="C181" s="27"/>
      <c r="D181" s="444"/>
      <c r="E181" s="444"/>
      <c r="F181" s="444"/>
      <c r="G181" s="444"/>
      <c r="H181" s="444"/>
      <c r="I181" s="444"/>
      <c r="J181" s="444"/>
      <c r="K181" s="444"/>
      <c r="L181" s="444"/>
      <c r="M181" s="444"/>
      <c r="N181" s="444"/>
    </row>
    <row r="182" spans="1:14" x14ac:dyDescent="0.3">
      <c r="A182" s="501"/>
      <c r="B182" s="66"/>
      <c r="C182" s="27"/>
      <c r="D182" s="444"/>
      <c r="E182" s="444"/>
      <c r="F182" s="444"/>
      <c r="G182" s="444"/>
      <c r="H182" s="444"/>
      <c r="I182" s="444"/>
      <c r="J182" s="444"/>
      <c r="K182" s="444"/>
      <c r="L182" s="444"/>
      <c r="M182" s="444"/>
      <c r="N182" s="444"/>
    </row>
    <row r="183" spans="1:14" x14ac:dyDescent="0.3">
      <c r="A183" s="120"/>
      <c r="B183" s="27"/>
      <c r="C183" s="444"/>
      <c r="D183" s="444"/>
      <c r="E183" s="444"/>
      <c r="F183" s="444"/>
      <c r="G183" s="444"/>
      <c r="H183" s="444"/>
      <c r="I183" s="444"/>
      <c r="J183" s="444"/>
      <c r="K183" s="444"/>
      <c r="L183" s="444"/>
      <c r="M183" s="444"/>
      <c r="N183" s="444"/>
    </row>
    <row r="184" spans="1:14" x14ac:dyDescent="0.3">
      <c r="B184" s="450"/>
      <c r="C184" s="27"/>
      <c r="D184" s="27"/>
      <c r="E184" s="27"/>
      <c r="F184" s="27"/>
      <c r="G184" s="444"/>
      <c r="H184" s="444"/>
      <c r="I184" s="444"/>
      <c r="J184" s="444"/>
      <c r="K184" s="444"/>
      <c r="L184" s="444"/>
      <c r="M184" s="444"/>
      <c r="N184" s="444"/>
    </row>
    <row r="185" spans="1:14" x14ac:dyDescent="0.3">
      <c r="B185" s="449"/>
      <c r="C185" s="27"/>
      <c r="D185" s="27"/>
      <c r="E185" s="27"/>
      <c r="F185" s="27"/>
      <c r="G185" s="444"/>
      <c r="H185" s="444"/>
      <c r="I185" s="444"/>
      <c r="J185" s="444"/>
      <c r="K185" s="444"/>
      <c r="L185" s="444"/>
      <c r="M185" s="444"/>
      <c r="N185" s="444"/>
    </row>
    <row r="186" spans="1:14" x14ac:dyDescent="0.3">
      <c r="C186" s="27"/>
      <c r="D186" s="27"/>
      <c r="E186" s="27"/>
      <c r="F186" s="27"/>
      <c r="G186" s="444"/>
      <c r="H186" s="444"/>
      <c r="I186" s="444"/>
      <c r="J186" s="444"/>
      <c r="K186" s="444"/>
      <c r="L186" s="444"/>
      <c r="M186" s="444"/>
      <c r="N186" s="444"/>
    </row>
    <row r="187" spans="1:14" x14ac:dyDescent="0.3">
      <c r="B187" s="448"/>
      <c r="C187" s="27"/>
      <c r="D187" s="27"/>
      <c r="E187" s="27"/>
      <c r="F187" s="27"/>
      <c r="G187" s="444"/>
      <c r="H187" s="444"/>
      <c r="I187" s="444"/>
      <c r="J187" s="444"/>
      <c r="K187" s="444"/>
      <c r="L187" s="444"/>
      <c r="M187" s="444"/>
      <c r="N187" s="444"/>
    </row>
    <row r="188" spans="1:14" x14ac:dyDescent="0.3">
      <c r="B188" s="27"/>
      <c r="C188" s="27"/>
      <c r="D188" s="27"/>
      <c r="E188" s="27"/>
      <c r="F188" s="27"/>
      <c r="G188" s="444"/>
      <c r="H188" s="444"/>
      <c r="I188" s="444"/>
      <c r="J188" s="444"/>
      <c r="K188" s="444"/>
      <c r="L188" s="444"/>
      <c r="M188" s="444"/>
      <c r="N188" s="444"/>
    </row>
    <row r="189" spans="1:14" x14ac:dyDescent="0.3">
      <c r="B189" s="27"/>
      <c r="C189" s="27"/>
      <c r="D189" s="27"/>
      <c r="E189"/>
      <c r="F189" s="27"/>
      <c r="G189" s="444"/>
      <c r="H189" s="444"/>
      <c r="I189" s="444"/>
      <c r="J189" s="444"/>
      <c r="K189" s="444"/>
      <c r="L189" s="444"/>
      <c r="M189" s="444"/>
      <c r="N189" s="444"/>
    </row>
    <row r="190" spans="1:14" x14ac:dyDescent="0.3">
      <c r="B190" s="27"/>
      <c r="C190" s="446"/>
      <c r="D190" s="27"/>
      <c r="E190" s="27"/>
      <c r="F190" s="27"/>
      <c r="G190" s="444"/>
      <c r="H190" s="444"/>
      <c r="I190" s="444"/>
      <c r="J190" s="444"/>
      <c r="K190" s="444"/>
      <c r="L190" s="444"/>
      <c r="M190" s="444"/>
      <c r="N190" s="444"/>
    </row>
    <row r="191" spans="1:14" x14ac:dyDescent="0.3">
      <c r="B191" s="447"/>
      <c r="C191" s="446"/>
      <c r="D191" s="27"/>
      <c r="E191" s="27"/>
      <c r="F191" s="27"/>
      <c r="G191" s="444"/>
      <c r="H191" s="444"/>
      <c r="I191" s="444"/>
      <c r="J191" s="444"/>
      <c r="K191" s="444"/>
      <c r="L191" s="444"/>
      <c r="M191" s="444"/>
      <c r="N191" s="444"/>
    </row>
    <row r="192" spans="1:14" x14ac:dyDescent="0.3">
      <c r="B192" s="27"/>
      <c r="C192" s="27"/>
      <c r="D192" s="27"/>
      <c r="E192" s="27"/>
      <c r="F192" s="27"/>
      <c r="G192" s="444"/>
      <c r="H192" s="444"/>
      <c r="I192" s="444"/>
      <c r="J192" s="444"/>
      <c r="K192" s="444"/>
      <c r="L192" s="444"/>
      <c r="M192" s="444"/>
      <c r="N192" s="444"/>
    </row>
    <row r="193" spans="2:14" x14ac:dyDescent="0.3">
      <c r="B193" s="27"/>
      <c r="C193" s="27"/>
      <c r="D193" s="27"/>
      <c r="E193" s="27"/>
      <c r="F193" s="27"/>
      <c r="G193" s="444"/>
      <c r="H193" s="444"/>
      <c r="I193" s="444"/>
      <c r="J193" s="444"/>
      <c r="K193" s="444"/>
      <c r="L193" s="444"/>
      <c r="M193" s="444"/>
      <c r="N193" s="444"/>
    </row>
    <row r="194" spans="2:14" x14ac:dyDescent="0.3">
      <c r="B194" s="27"/>
      <c r="C194" s="27"/>
      <c r="D194" s="27"/>
      <c r="E194" s="27"/>
      <c r="F194"/>
      <c r="G194" s="444"/>
      <c r="H194" s="444"/>
      <c r="I194" s="444"/>
      <c r="J194" s="444"/>
      <c r="K194" s="444"/>
      <c r="L194" s="444"/>
      <c r="M194" s="444"/>
      <c r="N194" s="444"/>
    </row>
    <row r="195" spans="2:14" x14ac:dyDescent="0.3">
      <c r="B195" s="27"/>
      <c r="C195" s="446"/>
      <c r="D195" s="27"/>
      <c r="E195" s="27"/>
      <c r="F195" s="27"/>
      <c r="G195" s="444"/>
      <c r="H195" s="444"/>
      <c r="I195" s="444"/>
      <c r="J195" s="444"/>
      <c r="K195" s="444"/>
      <c r="L195" s="444"/>
      <c r="M195" s="444"/>
      <c r="N195" s="444"/>
    </row>
    <row r="196" spans="2:14" x14ac:dyDescent="0.3">
      <c r="B196" s="447"/>
      <c r="C196" s="446"/>
      <c r="D196" s="27"/>
      <c r="E196" s="27"/>
      <c r="F196" s="27"/>
      <c r="G196" s="444"/>
      <c r="H196" s="444"/>
      <c r="I196" s="444"/>
      <c r="J196" s="444"/>
      <c r="K196" s="444"/>
      <c r="L196" s="444"/>
      <c r="M196" s="444"/>
      <c r="N196" s="444"/>
    </row>
    <row r="197" spans="2:14" x14ac:dyDescent="0.3">
      <c r="B197" s="27"/>
      <c r="C197" s="27"/>
      <c r="D197" s="27"/>
      <c r="E197" s="27"/>
      <c r="F197" s="27"/>
      <c r="G197" s="444"/>
      <c r="H197" s="444"/>
      <c r="I197" s="444"/>
      <c r="J197" s="444"/>
      <c r="K197" s="444"/>
      <c r="L197" s="444"/>
      <c r="M197" s="444"/>
      <c r="N197" s="444"/>
    </row>
    <row r="198" spans="2:14" x14ac:dyDescent="0.3">
      <c r="B198" s="27"/>
      <c r="C198" s="27"/>
      <c r="D198" s="27"/>
      <c r="E198" s="27"/>
      <c r="F198" s="27"/>
      <c r="G198" s="444"/>
      <c r="H198" s="444"/>
      <c r="I198" s="444"/>
      <c r="J198" s="444"/>
      <c r="K198" s="444"/>
      <c r="L198" s="444"/>
      <c r="M198" s="444"/>
      <c r="N198" s="444"/>
    </row>
    <row r="199" spans="2:14" x14ac:dyDescent="0.3">
      <c r="B199" s="27"/>
      <c r="C199" s="27"/>
      <c r="D199" s="27"/>
      <c r="E199" s="27"/>
      <c r="F199" s="27"/>
      <c r="G199" s="444"/>
      <c r="H199" s="444"/>
      <c r="I199" s="444"/>
      <c r="J199" s="444"/>
      <c r="K199" s="444"/>
      <c r="L199" s="444"/>
      <c r="M199" s="444"/>
      <c r="N199" s="444"/>
    </row>
    <row r="200" spans="2:14" x14ac:dyDescent="0.3">
      <c r="B200" s="27"/>
      <c r="C200" s="27"/>
      <c r="D200" s="27"/>
      <c r="E200" s="27"/>
      <c r="F200" s="27"/>
      <c r="G200" s="444"/>
      <c r="H200" s="444"/>
      <c r="I200" s="444"/>
      <c r="J200" s="444"/>
      <c r="K200" s="444"/>
      <c r="L200" s="444"/>
      <c r="M200" s="444"/>
      <c r="N200" s="444"/>
    </row>
    <row r="201" spans="2:14" x14ac:dyDescent="0.3">
      <c r="B201" s="27"/>
      <c r="C201" s="28"/>
      <c r="D201" s="27"/>
      <c r="E201"/>
      <c r="F201" s="27"/>
      <c r="G201" s="444"/>
      <c r="H201" s="444"/>
      <c r="I201" s="444"/>
      <c r="J201" s="444"/>
      <c r="K201" s="444"/>
      <c r="L201" s="444"/>
      <c r="M201" s="444"/>
      <c r="N201" s="444"/>
    </row>
    <row r="202" spans="2:14" x14ac:dyDescent="0.3">
      <c r="B202" s="27"/>
      <c r="C202" s="27"/>
      <c r="D202" s="27"/>
      <c r="E202" s="27"/>
      <c r="F202" s="27"/>
      <c r="G202" s="444"/>
      <c r="H202" s="444"/>
      <c r="I202" s="444"/>
      <c r="J202" s="444"/>
      <c r="K202" s="444"/>
      <c r="L202" s="444"/>
      <c r="M202" s="444"/>
      <c r="N202" s="444"/>
    </row>
    <row r="203" spans="2:14" x14ac:dyDescent="0.3">
      <c r="B203" s="27"/>
      <c r="C203" s="27"/>
      <c r="D203" s="27"/>
      <c r="E203" s="27"/>
      <c r="F203" s="27"/>
      <c r="G203" s="444"/>
      <c r="H203" s="444"/>
      <c r="I203" s="444"/>
      <c r="J203" s="444"/>
      <c r="K203" s="444"/>
      <c r="L203" s="444"/>
      <c r="M203" s="444"/>
      <c r="N203" s="444"/>
    </row>
    <row r="204" spans="2:14" x14ac:dyDescent="0.3">
      <c r="B204" s="45"/>
      <c r="C204" s="445"/>
      <c r="D204" s="27"/>
      <c r="E204" s="27"/>
      <c r="F204" s="27"/>
      <c r="G204" s="444"/>
      <c r="H204" s="444"/>
      <c r="I204" s="444"/>
      <c r="J204" s="444"/>
      <c r="K204" s="444"/>
      <c r="L204" s="444"/>
      <c r="M204" s="444"/>
      <c r="N204" s="444"/>
    </row>
    <row r="205" spans="2:14" x14ac:dyDescent="0.3">
      <c r="B205" s="27"/>
      <c r="C205" s="27"/>
      <c r="D205" s="27"/>
      <c r="E205" s="27"/>
      <c r="F205" s="27"/>
      <c r="G205" s="444"/>
      <c r="H205" s="444"/>
      <c r="I205" s="444"/>
      <c r="J205" s="444"/>
      <c r="K205" s="444"/>
      <c r="L205" s="444"/>
      <c r="M205" s="444"/>
      <c r="N205" s="444"/>
    </row>
    <row r="206" spans="2:14" x14ac:dyDescent="0.3">
      <c r="B206" s="27"/>
      <c r="C206" s="443"/>
      <c r="D206" s="27"/>
      <c r="E206" s="27"/>
      <c r="F206" s="27"/>
      <c r="G206" s="444"/>
      <c r="H206" s="444"/>
      <c r="I206" s="444"/>
      <c r="J206" s="444"/>
      <c r="K206" s="444"/>
      <c r="L206" s="444"/>
      <c r="M206" s="444"/>
      <c r="N206" s="444"/>
    </row>
    <row r="207" spans="2:14" x14ac:dyDescent="0.3">
      <c r="B207" s="27"/>
      <c r="C207" s="27"/>
      <c r="D207" s="27"/>
      <c r="E207" s="27"/>
      <c r="F207" s="27"/>
      <c r="G207" s="444"/>
      <c r="H207" s="444"/>
      <c r="I207" s="444"/>
      <c r="J207" s="444"/>
      <c r="K207" s="444"/>
      <c r="L207" s="444"/>
      <c r="M207" s="444"/>
      <c r="N207" s="444"/>
    </row>
    <row r="208" spans="2:14" x14ac:dyDescent="0.3">
      <c r="B208" s="27"/>
      <c r="C208" s="27"/>
    </row>
    <row r="209" spans="1:5" x14ac:dyDescent="0.3">
      <c r="B209" s="27"/>
      <c r="C209" s="443"/>
    </row>
    <row r="210" spans="1:5" x14ac:dyDescent="0.3">
      <c r="B210" s="27"/>
      <c r="C210" s="27"/>
    </row>
    <row r="211" spans="1:5" x14ac:dyDescent="0.3">
      <c r="B211" s="27"/>
      <c r="C211" s="443"/>
    </row>
    <row r="218" spans="1:5" x14ac:dyDescent="0.3">
      <c r="A218" s="501"/>
      <c r="B218" s="66"/>
    </row>
    <row r="219" spans="1:5" x14ac:dyDescent="0.3">
      <c r="B219" s="66"/>
      <c r="E219" s="9"/>
    </row>
    <row r="221" spans="1:5" x14ac:dyDescent="0.3">
      <c r="B221" s="3"/>
    </row>
    <row r="222" spans="1:5" x14ac:dyDescent="0.3">
      <c r="D222" s="441"/>
    </row>
    <row r="223" spans="1:5" x14ac:dyDescent="0.3">
      <c r="D223" s="441"/>
    </row>
    <row r="224" spans="1:5" x14ac:dyDescent="0.3">
      <c r="D224" s="441"/>
    </row>
    <row r="225" spans="2:7" x14ac:dyDescent="0.3">
      <c r="D225" s="441"/>
      <c r="E225" s="8"/>
      <c r="F225" s="8"/>
    </row>
    <row r="226" spans="2:7" x14ac:dyDescent="0.3">
      <c r="D226" s="22"/>
      <c r="E226" s="22"/>
      <c r="F226" s="22"/>
    </row>
    <row r="227" spans="2:7" x14ac:dyDescent="0.3">
      <c r="C227" s="9"/>
      <c r="D227" s="433"/>
      <c r="E227" s="433"/>
      <c r="F227" s="433"/>
    </row>
    <row r="228" spans="2:7" x14ac:dyDescent="0.3">
      <c r="D228" s="440"/>
      <c r="E228" s="440"/>
      <c r="F228" s="440"/>
    </row>
    <row r="229" spans="2:7" x14ac:dyDescent="0.3">
      <c r="B229" s="45"/>
      <c r="D229" s="64"/>
      <c r="E229" s="64"/>
      <c r="F229" s="64"/>
      <c r="G229" s="90"/>
    </row>
    <row r="231" spans="2:7" x14ac:dyDescent="0.3">
      <c r="D231" s="8"/>
      <c r="E231" s="8"/>
      <c r="F231" s="8"/>
      <c r="G231" s="8"/>
    </row>
    <row r="232" spans="2:7" x14ac:dyDescent="0.3">
      <c r="D232" s="441"/>
      <c r="E232" s="492"/>
      <c r="F232" s="492"/>
      <c r="G232" s="492"/>
    </row>
    <row r="235" spans="2:7" x14ac:dyDescent="0.3">
      <c r="C235" s="437"/>
    </row>
    <row r="244" spans="3:7" x14ac:dyDescent="0.3">
      <c r="C244" s="437"/>
    </row>
    <row r="246" spans="3:7" x14ac:dyDescent="0.3">
      <c r="C246" s="437"/>
    </row>
    <row r="248" spans="3:7" x14ac:dyDescent="0.3">
      <c r="C248" s="437"/>
    </row>
    <row r="251" spans="3:7" x14ac:dyDescent="0.3">
      <c r="D251" s="8"/>
      <c r="E251" s="8"/>
      <c r="F251" s="8"/>
      <c r="G251" s="8"/>
    </row>
    <row r="252" spans="3:7" x14ac:dyDescent="0.3">
      <c r="D252" s="441"/>
      <c r="E252" s="441"/>
      <c r="F252" s="441"/>
      <c r="G252" s="441"/>
    </row>
    <row r="253" spans="3:7" x14ac:dyDescent="0.3">
      <c r="D253" s="15"/>
      <c r="E253" s="15"/>
      <c r="F253" s="15"/>
      <c r="G253" s="15"/>
    </row>
    <row r="254" spans="3:7" x14ac:dyDescent="0.3">
      <c r="D254" s="15"/>
      <c r="E254" s="15"/>
      <c r="F254" s="15"/>
      <c r="G254" s="15"/>
    </row>
    <row r="255" spans="3:7" x14ac:dyDescent="0.3">
      <c r="D255" s="15"/>
      <c r="E255" s="15"/>
      <c r="F255" s="15"/>
      <c r="G255" s="15"/>
    </row>
    <row r="256" spans="3:7" x14ac:dyDescent="0.3">
      <c r="D256" s="441"/>
      <c r="E256" s="441"/>
      <c r="F256" s="441"/>
      <c r="G256" s="441"/>
    </row>
    <row r="257" spans="1:7" x14ac:dyDescent="0.3">
      <c r="D257" s="441"/>
      <c r="E257" s="441"/>
      <c r="F257" s="441"/>
      <c r="G257" s="441"/>
    </row>
    <row r="258" spans="1:7" x14ac:dyDescent="0.3">
      <c r="D258" s="441"/>
      <c r="E258" s="441"/>
      <c r="F258" s="441"/>
      <c r="G258" s="441"/>
    </row>
    <row r="260" spans="1:7" x14ac:dyDescent="0.3">
      <c r="D260" s="469"/>
    </row>
    <row r="261" spans="1:7" x14ac:dyDescent="0.3">
      <c r="D261" s="469"/>
    </row>
    <row r="262" spans="1:7" x14ac:dyDescent="0.3">
      <c r="D262" s="469"/>
    </row>
    <row r="266" spans="1:7" x14ac:dyDescent="0.3">
      <c r="A266" s="501"/>
      <c r="B266" s="233"/>
    </row>
    <row r="269" spans="1:7" x14ac:dyDescent="0.3">
      <c r="B269" s="3"/>
    </row>
    <row r="270" spans="1:7" x14ac:dyDescent="0.3">
      <c r="C270" s="5"/>
    </row>
    <row r="272" spans="1:7" x14ac:dyDescent="0.3">
      <c r="C272" s="9"/>
    </row>
    <row r="273" spans="2:5" x14ac:dyDescent="0.3">
      <c r="C273" s="120"/>
    </row>
    <row r="274" spans="2:5" x14ac:dyDescent="0.3">
      <c r="D274" s="22"/>
    </row>
    <row r="275" spans="2:5" x14ac:dyDescent="0.3">
      <c r="C275" s="9"/>
      <c r="D275" s="433"/>
    </row>
    <row r="278" spans="2:5" x14ac:dyDescent="0.3">
      <c r="B278" s="45"/>
    </row>
    <row r="281" spans="2:5" x14ac:dyDescent="0.3">
      <c r="C281" s="9"/>
    </row>
    <row r="283" spans="2:5" x14ac:dyDescent="0.3">
      <c r="B283"/>
    </row>
    <row r="286" spans="2:5" x14ac:dyDescent="0.3">
      <c r="B286"/>
      <c r="C286" s="432"/>
      <c r="E286"/>
    </row>
    <row r="288" spans="2:5" x14ac:dyDescent="0.3">
      <c r="C288" s="500"/>
    </row>
    <row r="293" spans="2:9" x14ac:dyDescent="0.3">
      <c r="B293" s="499"/>
      <c r="C293" s="499"/>
      <c r="D293" s="499"/>
      <c r="E293" s="499"/>
      <c r="F293" s="499"/>
      <c r="G293" s="499"/>
    </row>
    <row r="294" spans="2:9" x14ac:dyDescent="0.3">
      <c r="B294" s="498"/>
      <c r="C294" s="497"/>
      <c r="D294" s="497"/>
      <c r="E294" s="497"/>
      <c r="F294" s="497"/>
      <c r="G294" s="497"/>
    </row>
    <row r="295" spans="2:9" x14ac:dyDescent="0.3">
      <c r="B295" s="498"/>
      <c r="C295" s="497"/>
      <c r="D295" s="497"/>
      <c r="E295" s="497"/>
      <c r="F295" s="497"/>
      <c r="G295" s="497"/>
      <c r="H295"/>
      <c r="I295"/>
    </row>
    <row r="296" spans="2:9" x14ac:dyDescent="0.3">
      <c r="B296" s="498"/>
      <c r="C296" s="497"/>
      <c r="D296" s="497"/>
      <c r="E296" s="497"/>
      <c r="F296" s="497"/>
      <c r="G296" s="497"/>
    </row>
    <row r="297" spans="2:9" x14ac:dyDescent="0.3">
      <c r="B297" s="498"/>
      <c r="C297" s="497"/>
      <c r="D297" s="497"/>
      <c r="E297" s="497"/>
      <c r="F297" s="497"/>
      <c r="G297" s="497"/>
      <c r="H297"/>
    </row>
    <row r="298" spans="2:9" x14ac:dyDescent="0.3">
      <c r="B298" s="498"/>
      <c r="C298" s="497"/>
      <c r="D298" s="497"/>
      <c r="E298" s="497"/>
      <c r="F298" s="497"/>
      <c r="G298" s="497"/>
    </row>
    <row r="299" spans="2:9" x14ac:dyDescent="0.3">
      <c r="B299" s="498"/>
      <c r="C299" s="497"/>
      <c r="D299" s="497"/>
      <c r="E299" s="497"/>
      <c r="F299" s="497"/>
      <c r="G299" s="497"/>
      <c r="H299"/>
    </row>
    <row r="300" spans="2:9" x14ac:dyDescent="0.3">
      <c r="B300" s="498"/>
      <c r="C300" s="497"/>
      <c r="D300" s="497"/>
      <c r="E300" s="497"/>
      <c r="F300" s="497"/>
      <c r="G300" s="497"/>
    </row>
    <row r="301" spans="2:9" x14ac:dyDescent="0.3">
      <c r="B301" s="498"/>
      <c r="C301" s="497"/>
      <c r="D301" s="497"/>
      <c r="E301" s="497"/>
      <c r="F301" s="497"/>
      <c r="G301" s="497"/>
    </row>
    <row r="302" spans="2:9" x14ac:dyDescent="0.3">
      <c r="B302" s="498"/>
      <c r="C302" s="497"/>
      <c r="D302" s="497"/>
      <c r="E302" s="497"/>
      <c r="F302" s="497"/>
      <c r="G302" s="497"/>
      <c r="H302"/>
    </row>
    <row r="303" spans="2:9" x14ac:dyDescent="0.3">
      <c r="B303" s="498"/>
      <c r="C303" s="497"/>
      <c r="D303" s="497"/>
      <c r="E303" s="497"/>
      <c r="F303" s="497"/>
      <c r="G303" s="497"/>
    </row>
    <row r="304" spans="2:9" x14ac:dyDescent="0.3">
      <c r="B304" s="498"/>
      <c r="C304" s="497"/>
      <c r="D304" s="497"/>
      <c r="E304" s="497"/>
      <c r="F304" s="497"/>
      <c r="G304" s="497"/>
    </row>
    <row r="305" spans="2:7" x14ac:dyDescent="0.3">
      <c r="B305" s="498"/>
      <c r="C305" s="497"/>
      <c r="D305" s="497"/>
      <c r="E305" s="497"/>
      <c r="F305" s="497"/>
      <c r="G305" s="497"/>
    </row>
    <row r="306" spans="2:7" x14ac:dyDescent="0.3">
      <c r="B306" s="498"/>
      <c r="C306" s="497"/>
      <c r="D306" s="497"/>
      <c r="E306" s="497"/>
      <c r="F306" s="497"/>
      <c r="G306" s="497"/>
    </row>
    <row r="307" spans="2:7" x14ac:dyDescent="0.3">
      <c r="B307" s="498"/>
      <c r="C307" s="497"/>
      <c r="D307" s="497"/>
      <c r="E307" s="497"/>
      <c r="F307" s="497"/>
      <c r="G307" s="497"/>
    </row>
    <row r="308" spans="2:7" x14ac:dyDescent="0.3">
      <c r="B308" s="498"/>
      <c r="C308" s="497"/>
      <c r="D308" s="497"/>
      <c r="E308" s="497"/>
      <c r="F308" s="497"/>
      <c r="G308" s="497"/>
    </row>
    <row r="309" spans="2:7" x14ac:dyDescent="0.3">
      <c r="B309" s="498"/>
      <c r="C309" s="497"/>
      <c r="D309" s="497"/>
      <c r="E309" s="497"/>
      <c r="F309" s="497"/>
      <c r="G309" s="497"/>
    </row>
    <row r="310" spans="2:7" x14ac:dyDescent="0.3">
      <c r="B310" s="498"/>
      <c r="C310" s="497"/>
      <c r="D310" s="497"/>
      <c r="E310" s="497"/>
      <c r="F310" s="497"/>
      <c r="G310" s="497"/>
    </row>
    <row r="311" spans="2:7" x14ac:dyDescent="0.3">
      <c r="B311" s="498"/>
      <c r="C311" s="497"/>
      <c r="D311" s="497"/>
      <c r="E311" s="497"/>
      <c r="F311" s="497"/>
      <c r="G311" s="497"/>
    </row>
    <row r="312" spans="2:7" x14ac:dyDescent="0.3">
      <c r="B312" s="498"/>
      <c r="C312" s="497"/>
      <c r="D312" s="497"/>
      <c r="E312" s="497"/>
      <c r="F312" s="497"/>
      <c r="G312" s="497"/>
    </row>
    <row r="313" spans="2:7" x14ac:dyDescent="0.3">
      <c r="B313" s="498"/>
      <c r="C313" s="497"/>
      <c r="D313" s="497"/>
      <c r="E313" s="497"/>
      <c r="F313" s="497"/>
      <c r="G313" s="497"/>
    </row>
    <row r="315" spans="2:7" x14ac:dyDescent="0.3">
      <c r="D315" s="5"/>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6B6C7E6A338F304691C979BB54D0107D" ma:contentTypeVersion="8" ma:contentTypeDescription="Создание документа." ma:contentTypeScope="" ma:versionID="d015f702edba2de05112d42f0bc035a6">
  <xsd:schema xmlns:xsd="http://www.w3.org/2001/XMLSchema" xmlns:xs="http://www.w3.org/2001/XMLSchema" xmlns:p="http://schemas.microsoft.com/office/2006/metadata/properties" xmlns:ns2="50fefc02-53a6-449e-b249-f1b6a80a24aa" targetNamespace="http://schemas.microsoft.com/office/2006/metadata/properties" ma:root="true" ma:fieldsID="88f0c778d1d9ed719837717d51da045e" ns2:_="">
    <xsd:import namespace="50fefc02-53a6-449e-b249-f1b6a80a2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fefc02-53a6-449e-b249-f1b6a80a24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6ADCE8-88BE-4F51-959E-C48A46CEF2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fefc02-53a6-449e-b249-f1b6a80a2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B0C416-52A9-489B-82F5-127325B6DB76}">
  <ds:schemaRefs>
    <ds:schemaRef ds:uri="http://schemas.microsoft.com/sharepoint/v3/contenttype/forms"/>
  </ds:schemaRefs>
</ds:datastoreItem>
</file>

<file path=customXml/itemProps3.xml><?xml version="1.0" encoding="utf-8"?>
<ds:datastoreItem xmlns:ds="http://schemas.openxmlformats.org/officeDocument/2006/customXml" ds:itemID="{7511DC14-F64C-44B1-A127-0C29140CBCA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20</vt:i4>
      </vt:variant>
      <vt:variant>
        <vt:lpstr>Именованные диапазоны</vt:lpstr>
      </vt:variant>
      <vt:variant>
        <vt:i4>4</vt:i4>
      </vt:variant>
    </vt:vector>
  </HeadingPairs>
  <TitlesOfParts>
    <vt:vector size="24" baseType="lpstr">
      <vt:lpstr>S3</vt:lpstr>
      <vt:lpstr>L6</vt:lpstr>
      <vt:lpstr>L5</vt:lpstr>
      <vt:lpstr>L5.1</vt:lpstr>
      <vt:lpstr>S6</vt:lpstr>
      <vt:lpstr>L7</vt:lpstr>
      <vt:lpstr>L8.2</vt:lpstr>
      <vt:lpstr>L8.1</vt:lpstr>
      <vt:lpstr>L13</vt:lpstr>
      <vt:lpstr>L9</vt:lpstr>
      <vt:lpstr>L11</vt:lpstr>
      <vt:lpstr>14</vt:lpstr>
      <vt:lpstr>L12</vt:lpstr>
      <vt:lpstr>S7</vt:lpstr>
      <vt:lpstr>S8.1</vt:lpstr>
      <vt:lpstr>S8.2</vt:lpstr>
      <vt:lpstr>S8.3</vt:lpstr>
      <vt:lpstr>tasks proj selection 1</vt:lpstr>
      <vt:lpstr>tasks proj selection 2</vt:lpstr>
      <vt:lpstr>dividend discount model</vt:lpstr>
      <vt:lpstr>'dividend discount model'!_Hlk25847407</vt:lpstr>
      <vt:lpstr>L5.1!_Hlk25847407</vt:lpstr>
      <vt:lpstr>'tasks proj selection 1'!_Hlk25847407</vt:lpstr>
      <vt:lpstr>'tasks proj selection 2'!_Hlk25847407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2022-06-27T07:21:25Z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0x0101006B6C7E6A338F304691C979BB54D0107D</vt:lpwstr>
  </property>
</Properties>
</file>