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ämäTyökirja" defaultThemeVersion="164011"/>
  <mc:AlternateContent xmlns:mc="http://schemas.openxmlformats.org/markup-compatibility/2006">
    <mc:Choice Requires="x15">
      <x15ac:absPath xmlns:x15ac="http://schemas.microsoft.com/office/spreadsheetml/2010/11/ac" url="C:\Helmet\HELMET_KEHI_40\Scripts\"/>
    </mc:Choice>
  </mc:AlternateContent>
  <bookViews>
    <workbookView xWindow="0" yWindow="0" windowWidth="14232" windowHeight="8052" activeTab="2"/>
  </bookViews>
  <sheets>
    <sheet name="Yhteenveto" sheetId="1" r:id="rId1"/>
    <sheet name="Diskonttaus" sheetId="2" r:id="rId2"/>
    <sheet name="Kayttajahyodyt" sheetId="3" r:id="rId3"/>
    <sheet name="ha_tyo" sheetId="8" r:id="rId4"/>
    <sheet name="ha_muu" sheetId="11" r:id="rId5"/>
    <sheet name="jl_tyo" sheetId="10" r:id="rId6"/>
    <sheet name="jl_muu" sheetId="12" r:id="rId7"/>
    <sheet name="pp_tyo" sheetId="13" r:id="rId8"/>
    <sheet name="pp_muu" sheetId="14" r:id="rId9"/>
    <sheet name="ka" sheetId="15" r:id="rId10"/>
    <sheet name="yhd" sheetId="16" r:id="rId11"/>
    <sheet name="pa" sheetId="9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62913"/>
</workbook>
</file>

<file path=xl/calcChain.xml><?xml version="1.0" encoding="utf-8"?>
<calcChain xmlns="http://schemas.openxmlformats.org/spreadsheetml/2006/main">
  <c r="K43" i="3" l="1"/>
  <c r="K42" i="3"/>
  <c r="K38" i="3"/>
  <c r="K37" i="3"/>
  <c r="K39" i="3" s="1"/>
  <c r="J43" i="3"/>
  <c r="J42" i="3"/>
  <c r="J38" i="3"/>
  <c r="J37" i="3"/>
  <c r="J39" i="3" s="1"/>
  <c r="I43" i="3"/>
  <c r="I42" i="3"/>
  <c r="I38" i="3"/>
  <c r="I37" i="3"/>
  <c r="I39" i="3" s="1"/>
  <c r="J28" i="3"/>
  <c r="J27" i="3"/>
  <c r="J23" i="3"/>
  <c r="J22" i="3"/>
  <c r="J15" i="3"/>
  <c r="J14" i="3"/>
  <c r="J10" i="3"/>
  <c r="J9" i="3"/>
  <c r="I28" i="3"/>
  <c r="I27" i="3"/>
  <c r="I23" i="3"/>
  <c r="I22" i="3"/>
  <c r="I15" i="3"/>
  <c r="I14" i="3"/>
  <c r="I10" i="3"/>
  <c r="I9" i="3"/>
  <c r="I11" i="3" s="1"/>
  <c r="J44" i="3"/>
  <c r="I44" i="3"/>
  <c r="I16" i="3"/>
  <c r="K28" i="3"/>
  <c r="K27" i="3"/>
  <c r="K23" i="3"/>
  <c r="K22" i="3"/>
  <c r="K15" i="3"/>
  <c r="K14" i="3"/>
  <c r="K10" i="3"/>
  <c r="K9" i="3"/>
  <c r="D44" i="16"/>
  <c r="C44" i="16"/>
  <c r="E44" i="16" s="1"/>
  <c r="F44" i="16" s="1"/>
  <c r="B44" i="16"/>
  <c r="E43" i="16"/>
  <c r="F43" i="16" s="1"/>
  <c r="F42" i="16"/>
  <c r="E42" i="16"/>
  <c r="D39" i="16"/>
  <c r="E39" i="16" s="1"/>
  <c r="F39" i="16" s="1"/>
  <c r="C39" i="16"/>
  <c r="B39" i="16"/>
  <c r="E38" i="16"/>
  <c r="F38" i="16" s="1"/>
  <c r="E37" i="16"/>
  <c r="F37" i="16" s="1"/>
  <c r="E29" i="16"/>
  <c r="F29" i="16" s="1"/>
  <c r="D29" i="16"/>
  <c r="C29" i="16"/>
  <c r="B29" i="16"/>
  <c r="F28" i="16"/>
  <c r="E28" i="16"/>
  <c r="E27" i="16"/>
  <c r="F27" i="16" s="1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E11" i="16" s="1"/>
  <c r="F11" i="16" s="1"/>
  <c r="C11" i="16"/>
  <c r="B11" i="16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F42" i="15"/>
  <c r="E42" i="15"/>
  <c r="D39" i="15"/>
  <c r="E39" i="15" s="1"/>
  <c r="F39" i="15" s="1"/>
  <c r="C39" i="15"/>
  <c r="B39" i="15"/>
  <c r="E38" i="15"/>
  <c r="F38" i="15" s="1"/>
  <c r="F37" i="15"/>
  <c r="E37" i="15"/>
  <c r="E29" i="15"/>
  <c r="F29" i="15" s="1"/>
  <c r="D29" i="15"/>
  <c r="C29" i="15"/>
  <c r="B29" i="15"/>
  <c r="F28" i="15"/>
  <c r="E28" i="15"/>
  <c r="E27" i="15"/>
  <c r="F27" i="15" s="1"/>
  <c r="D24" i="15"/>
  <c r="C24" i="15"/>
  <c r="B24" i="15"/>
  <c r="E24" i="15" s="1"/>
  <c r="F24" i="15" s="1"/>
  <c r="F23" i="15"/>
  <c r="E23" i="15"/>
  <c r="E22" i="15"/>
  <c r="F22" i="15" s="1"/>
  <c r="D16" i="15"/>
  <c r="C16" i="15"/>
  <c r="B16" i="15"/>
  <c r="E16" i="15" s="1"/>
  <c r="F16" i="15" s="1"/>
  <c r="E15" i="15"/>
  <c r="F15" i="15" s="1"/>
  <c r="F14" i="15"/>
  <c r="E14" i="15"/>
  <c r="D11" i="15"/>
  <c r="E11" i="15" s="1"/>
  <c r="F11" i="15" s="1"/>
  <c r="C11" i="15"/>
  <c r="B11" i="15"/>
  <c r="E10" i="15"/>
  <c r="F10" i="15" s="1"/>
  <c r="F9" i="15"/>
  <c r="E9" i="15"/>
  <c r="K44" i="3" l="1"/>
  <c r="J16" i="3"/>
  <c r="J11" i="3"/>
  <c r="D15" i="3"/>
  <c r="D14" i="3"/>
  <c r="D10" i="3"/>
  <c r="D9" i="3"/>
  <c r="C15" i="3"/>
  <c r="C14" i="3"/>
  <c r="C10" i="3"/>
  <c r="C9" i="3"/>
  <c r="H15" i="3"/>
  <c r="H14" i="3"/>
  <c r="H10" i="3"/>
  <c r="H9" i="3"/>
  <c r="G15" i="3"/>
  <c r="G14" i="3"/>
  <c r="G10" i="3"/>
  <c r="G9" i="3"/>
  <c r="D44" i="14"/>
  <c r="C44" i="14"/>
  <c r="B44" i="14"/>
  <c r="E44" i="14" s="1"/>
  <c r="F44" i="14" s="1"/>
  <c r="E43" i="14"/>
  <c r="F43" i="14" s="1"/>
  <c r="F42" i="14"/>
  <c r="E42" i="14"/>
  <c r="D39" i="14"/>
  <c r="E39" i="14" s="1"/>
  <c r="F39" i="14" s="1"/>
  <c r="C39" i="14"/>
  <c r="B39" i="14"/>
  <c r="E38" i="14"/>
  <c r="F38" i="14" s="1"/>
  <c r="F37" i="14"/>
  <c r="E37" i="14"/>
  <c r="E29" i="14"/>
  <c r="F29" i="14" s="1"/>
  <c r="D29" i="14"/>
  <c r="C29" i="14"/>
  <c r="B29" i="14"/>
  <c r="F28" i="14"/>
  <c r="E28" i="14"/>
  <c r="E27" i="14"/>
  <c r="F27" i="14" s="1"/>
  <c r="D24" i="14"/>
  <c r="C24" i="14"/>
  <c r="B24" i="14"/>
  <c r="E24" i="14" s="1"/>
  <c r="F24" i="14" s="1"/>
  <c r="F23" i="14"/>
  <c r="E23" i="14"/>
  <c r="E22" i="14"/>
  <c r="F22" i="14" s="1"/>
  <c r="D16" i="14"/>
  <c r="C16" i="14"/>
  <c r="B16" i="14"/>
  <c r="E16" i="14" s="1"/>
  <c r="F16" i="14" s="1"/>
  <c r="E15" i="14"/>
  <c r="F15" i="14" s="1"/>
  <c r="F14" i="14"/>
  <c r="E14" i="14"/>
  <c r="D11" i="14"/>
  <c r="E11" i="14" s="1"/>
  <c r="F11" i="14" s="1"/>
  <c r="C11" i="14"/>
  <c r="B11" i="14"/>
  <c r="E10" i="14"/>
  <c r="F10" i="14" s="1"/>
  <c r="F9" i="14"/>
  <c r="E9" i="14"/>
  <c r="D44" i="13"/>
  <c r="C44" i="13"/>
  <c r="B44" i="13"/>
  <c r="E44" i="13" s="1"/>
  <c r="F44" i="13" s="1"/>
  <c r="E43" i="13"/>
  <c r="F43" i="13" s="1"/>
  <c r="F42" i="13"/>
  <c r="E42" i="13"/>
  <c r="D39" i="13"/>
  <c r="C39" i="13"/>
  <c r="E39" i="13" s="1"/>
  <c r="F39" i="13" s="1"/>
  <c r="B39" i="13"/>
  <c r="E38" i="13"/>
  <c r="F38" i="13" s="1"/>
  <c r="F37" i="13"/>
  <c r="E37" i="13"/>
  <c r="E29" i="13"/>
  <c r="F29" i="13" s="1"/>
  <c r="D29" i="13"/>
  <c r="C29" i="13"/>
  <c r="B29" i="13"/>
  <c r="F28" i="13"/>
  <c r="E28" i="13"/>
  <c r="E27" i="13"/>
  <c r="F27" i="13" s="1"/>
  <c r="D24" i="13"/>
  <c r="C24" i="13"/>
  <c r="B24" i="13"/>
  <c r="E24" i="13" s="1"/>
  <c r="F24" i="13" s="1"/>
  <c r="F23" i="13"/>
  <c r="E23" i="13"/>
  <c r="E22" i="13"/>
  <c r="F22" i="13" s="1"/>
  <c r="D16" i="13"/>
  <c r="C16" i="13"/>
  <c r="B16" i="13"/>
  <c r="E16" i="13" s="1"/>
  <c r="F16" i="13" s="1"/>
  <c r="E15" i="13"/>
  <c r="F15" i="13" s="1"/>
  <c r="F14" i="13"/>
  <c r="E14" i="13"/>
  <c r="D11" i="13"/>
  <c r="C11" i="13"/>
  <c r="E11" i="13" s="1"/>
  <c r="F11" i="13" s="1"/>
  <c r="B11" i="13"/>
  <c r="E10" i="13"/>
  <c r="F10" i="13" s="1"/>
  <c r="F9" i="13"/>
  <c r="E9" i="13"/>
  <c r="F43" i="3"/>
  <c r="F42" i="3"/>
  <c r="F44" i="3" s="1"/>
  <c r="F38" i="3"/>
  <c r="F37" i="3"/>
  <c r="F15" i="3"/>
  <c r="F14" i="3"/>
  <c r="F10" i="3"/>
  <c r="F9" i="3"/>
  <c r="E15" i="3"/>
  <c r="E14" i="3"/>
  <c r="E10" i="3"/>
  <c r="E9" i="3"/>
  <c r="D43" i="3"/>
  <c r="D42" i="3"/>
  <c r="D38" i="3"/>
  <c r="D37" i="3"/>
  <c r="H11" i="3" l="1"/>
  <c r="H16" i="3"/>
  <c r="F39" i="3"/>
  <c r="F16" i="3"/>
  <c r="F11" i="3"/>
  <c r="D44" i="3"/>
  <c r="D39" i="3"/>
  <c r="D16" i="3"/>
  <c r="D11" i="3"/>
  <c r="D44" i="12"/>
  <c r="C44" i="12"/>
  <c r="B44" i="12"/>
  <c r="E44" i="12" s="1"/>
  <c r="F44" i="12" s="1"/>
  <c r="E43" i="12"/>
  <c r="F43" i="12" s="1"/>
  <c r="F42" i="12"/>
  <c r="E42" i="12"/>
  <c r="D39" i="12"/>
  <c r="C39" i="12"/>
  <c r="E39" i="12" s="1"/>
  <c r="F39" i="12" s="1"/>
  <c r="B39" i="12"/>
  <c r="E38" i="12"/>
  <c r="F38" i="12" s="1"/>
  <c r="F37" i="12"/>
  <c r="E37" i="12"/>
  <c r="E29" i="12"/>
  <c r="F29" i="12" s="1"/>
  <c r="D29" i="12"/>
  <c r="C29" i="12"/>
  <c r="B29" i="12"/>
  <c r="F28" i="12"/>
  <c r="E28" i="12"/>
  <c r="E27" i="12"/>
  <c r="F27" i="12" s="1"/>
  <c r="D24" i="12"/>
  <c r="C24" i="12"/>
  <c r="B24" i="12"/>
  <c r="E24" i="12" s="1"/>
  <c r="F24" i="12" s="1"/>
  <c r="F23" i="12"/>
  <c r="E23" i="12"/>
  <c r="E22" i="12"/>
  <c r="F22" i="12" s="1"/>
  <c r="D16" i="12"/>
  <c r="C16" i="12"/>
  <c r="B16" i="12"/>
  <c r="E16" i="12" s="1"/>
  <c r="F16" i="12" s="1"/>
  <c r="E15" i="12"/>
  <c r="F15" i="12" s="1"/>
  <c r="F14" i="12"/>
  <c r="E14" i="12"/>
  <c r="D11" i="12"/>
  <c r="C11" i="12"/>
  <c r="E11" i="12" s="1"/>
  <c r="F11" i="12" s="1"/>
  <c r="B11" i="12"/>
  <c r="E10" i="12"/>
  <c r="F10" i="12" s="1"/>
  <c r="F9" i="12"/>
  <c r="E9" i="12"/>
  <c r="D44" i="11"/>
  <c r="C44" i="11"/>
  <c r="E44" i="11" s="1"/>
  <c r="F44" i="11" s="1"/>
  <c r="B44" i="11"/>
  <c r="E43" i="11"/>
  <c r="F43" i="11" s="1"/>
  <c r="F42" i="11"/>
  <c r="E42" i="11"/>
  <c r="D39" i="11"/>
  <c r="E39" i="11" s="1"/>
  <c r="F39" i="11" s="1"/>
  <c r="C39" i="11"/>
  <c r="B39" i="11"/>
  <c r="E38" i="11"/>
  <c r="F38" i="11" s="1"/>
  <c r="E37" i="11"/>
  <c r="F37" i="11" s="1"/>
  <c r="E29" i="11"/>
  <c r="F29" i="11" s="1"/>
  <c r="D29" i="11"/>
  <c r="C29" i="11"/>
  <c r="B29" i="11"/>
  <c r="F28" i="11"/>
  <c r="E28" i="11"/>
  <c r="E27" i="11"/>
  <c r="F27" i="11" s="1"/>
  <c r="D24" i="11"/>
  <c r="C24" i="11"/>
  <c r="B24" i="11"/>
  <c r="E24" i="11" s="1"/>
  <c r="F24" i="11" s="1"/>
  <c r="E23" i="11"/>
  <c r="F23" i="11" s="1"/>
  <c r="E22" i="11"/>
  <c r="F22" i="11" s="1"/>
  <c r="D16" i="11"/>
  <c r="C16" i="11"/>
  <c r="E16" i="11" s="1"/>
  <c r="F16" i="11" s="1"/>
  <c r="B16" i="11"/>
  <c r="E15" i="11"/>
  <c r="F15" i="11" s="1"/>
  <c r="F14" i="11"/>
  <c r="E14" i="11"/>
  <c r="D11" i="11"/>
  <c r="E11" i="11" s="1"/>
  <c r="F11" i="11" s="1"/>
  <c r="C11" i="11"/>
  <c r="B11" i="11"/>
  <c r="E10" i="11"/>
  <c r="F10" i="11" s="1"/>
  <c r="E9" i="11"/>
  <c r="F9" i="11" s="1"/>
  <c r="E43" i="3" l="1"/>
  <c r="E42" i="3"/>
  <c r="E38" i="3"/>
  <c r="E37" i="3"/>
  <c r="D44" i="10"/>
  <c r="C44" i="10"/>
  <c r="B44" i="10"/>
  <c r="E44" i="10" s="1"/>
  <c r="F44" i="10" s="1"/>
  <c r="E43" i="10"/>
  <c r="F43" i="10" s="1"/>
  <c r="F42" i="10"/>
  <c r="E42" i="10"/>
  <c r="D39" i="10"/>
  <c r="E39" i="10" s="1"/>
  <c r="F39" i="10" s="1"/>
  <c r="C39" i="10"/>
  <c r="B39" i="10"/>
  <c r="E38" i="10"/>
  <c r="F38" i="10" s="1"/>
  <c r="F37" i="10"/>
  <c r="E37" i="10"/>
  <c r="E29" i="10"/>
  <c r="F29" i="10" s="1"/>
  <c r="D29" i="10"/>
  <c r="C29" i="10"/>
  <c r="B29" i="10"/>
  <c r="F28" i="10"/>
  <c r="E28" i="10"/>
  <c r="E27" i="10"/>
  <c r="F27" i="10" s="1"/>
  <c r="D24" i="10"/>
  <c r="C24" i="10"/>
  <c r="B24" i="10"/>
  <c r="E24" i="10" s="1"/>
  <c r="F24" i="10" s="1"/>
  <c r="F23" i="10"/>
  <c r="E23" i="10"/>
  <c r="E22" i="10"/>
  <c r="F22" i="10" s="1"/>
  <c r="D16" i="10"/>
  <c r="C16" i="10"/>
  <c r="B16" i="10"/>
  <c r="E16" i="10" s="1"/>
  <c r="F16" i="10" s="1"/>
  <c r="E15" i="10"/>
  <c r="F15" i="10" s="1"/>
  <c r="F14" i="10"/>
  <c r="E14" i="10"/>
  <c r="D11" i="10"/>
  <c r="E11" i="10" s="1"/>
  <c r="F11" i="10" s="1"/>
  <c r="C11" i="10"/>
  <c r="B11" i="10"/>
  <c r="E10" i="10"/>
  <c r="F10" i="10" s="1"/>
  <c r="F9" i="10"/>
  <c r="E9" i="10"/>
  <c r="D44" i="9"/>
  <c r="E44" i="9" s="1"/>
  <c r="F44" i="9" s="1"/>
  <c r="C44" i="9"/>
  <c r="B44" i="9"/>
  <c r="E43" i="9"/>
  <c r="F43" i="9" s="1"/>
  <c r="E42" i="9"/>
  <c r="F42" i="9" s="1"/>
  <c r="E39" i="9"/>
  <c r="F39" i="9" s="1"/>
  <c r="D39" i="9"/>
  <c r="C39" i="9"/>
  <c r="B39" i="9"/>
  <c r="F38" i="9"/>
  <c r="E38" i="9"/>
  <c r="E37" i="9"/>
  <c r="F37" i="9" s="1"/>
  <c r="D29" i="9"/>
  <c r="C29" i="9"/>
  <c r="B29" i="9"/>
  <c r="E29" i="9" s="1"/>
  <c r="F29" i="9" s="1"/>
  <c r="E28" i="9"/>
  <c r="F28" i="9" s="1"/>
  <c r="E27" i="9"/>
  <c r="F27" i="9" s="1"/>
  <c r="D24" i="9"/>
  <c r="C24" i="9"/>
  <c r="E24" i="9" s="1"/>
  <c r="F24" i="9" s="1"/>
  <c r="B24" i="9"/>
  <c r="E23" i="9"/>
  <c r="F23" i="9" s="1"/>
  <c r="F22" i="9"/>
  <c r="E22" i="9"/>
  <c r="D16" i="9"/>
  <c r="E16" i="9" s="1"/>
  <c r="F16" i="9" s="1"/>
  <c r="C16" i="9"/>
  <c r="B16" i="9"/>
  <c r="E15" i="9"/>
  <c r="F15" i="9" s="1"/>
  <c r="E14" i="9"/>
  <c r="F14" i="9" s="1"/>
  <c r="E11" i="9"/>
  <c r="F11" i="9" s="1"/>
  <c r="D11" i="9"/>
  <c r="C11" i="9"/>
  <c r="B11" i="9"/>
  <c r="F10" i="9"/>
  <c r="E10" i="9"/>
  <c r="E9" i="9"/>
  <c r="F9" i="9" s="1"/>
  <c r="C43" i="3" l="1"/>
  <c r="C42" i="3"/>
  <c r="C38" i="3"/>
  <c r="C37" i="3"/>
  <c r="D44" i="8"/>
  <c r="C44" i="8"/>
  <c r="E44" i="8" s="1"/>
  <c r="F44" i="8" s="1"/>
  <c r="B44" i="8"/>
  <c r="F43" i="8"/>
  <c r="E43" i="8"/>
  <c r="F42" i="8"/>
  <c r="E42" i="8"/>
  <c r="D39" i="8"/>
  <c r="C39" i="8"/>
  <c r="B39" i="8"/>
  <c r="E39" i="8" s="1"/>
  <c r="F39" i="8" s="1"/>
  <c r="E38" i="8"/>
  <c r="F38" i="8" s="1"/>
  <c r="E37" i="8"/>
  <c r="F37" i="8" s="1"/>
  <c r="E29" i="8"/>
  <c r="F29" i="8" s="1"/>
  <c r="D29" i="8"/>
  <c r="C29" i="8"/>
  <c r="B29" i="8"/>
  <c r="F28" i="8"/>
  <c r="E28" i="8"/>
  <c r="F27" i="8"/>
  <c r="E27" i="8"/>
  <c r="D24" i="8"/>
  <c r="C24" i="8"/>
  <c r="B24" i="8"/>
  <c r="E24" i="8" s="1"/>
  <c r="F24" i="8" s="1"/>
  <c r="E23" i="8"/>
  <c r="F23" i="8" s="1"/>
  <c r="E22" i="8"/>
  <c r="F22" i="8" s="1"/>
  <c r="E16" i="8"/>
  <c r="F16" i="8" s="1"/>
  <c r="D16" i="8"/>
  <c r="C16" i="8"/>
  <c r="B16" i="8"/>
  <c r="F15" i="8"/>
  <c r="E15" i="8"/>
  <c r="F14" i="8"/>
  <c r="E14" i="8"/>
  <c r="D11" i="8"/>
  <c r="C11" i="8"/>
  <c r="B11" i="8"/>
  <c r="E11" i="8" s="1"/>
  <c r="F11" i="8" s="1"/>
  <c r="E10" i="8"/>
  <c r="F10" i="8" s="1"/>
  <c r="E9" i="8"/>
  <c r="F9" i="8" s="1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C39" i="7"/>
  <c r="Z7" i="7"/>
  <c r="B25" i="6"/>
  <c r="B20" i="6"/>
  <c r="I13" i="6"/>
  <c r="J13" i="6"/>
  <c r="C13" i="6"/>
  <c r="B11" i="6"/>
  <c r="I8" i="6"/>
  <c r="J8" i="6"/>
  <c r="C8" i="6"/>
  <c r="B6" i="6"/>
  <c r="M82" i="5"/>
  <c r="L82" i="5"/>
  <c r="M81" i="5"/>
  <c r="L81" i="5"/>
  <c r="M80" i="5"/>
  <c r="L80" i="5"/>
  <c r="M79" i="5"/>
  <c r="M83" i="5"/>
  <c r="D11" i="5"/>
  <c r="L79" i="5"/>
  <c r="L83" i="5"/>
  <c r="C11" i="5"/>
  <c r="M74" i="5"/>
  <c r="L74" i="5"/>
  <c r="M73" i="5"/>
  <c r="L73" i="5"/>
  <c r="M72" i="5"/>
  <c r="L72" i="5"/>
  <c r="M71" i="5"/>
  <c r="M75" i="5"/>
  <c r="D10" i="5"/>
  <c r="L71" i="5"/>
  <c r="L75" i="5"/>
  <c r="C10" i="5"/>
  <c r="M66" i="5"/>
  <c r="L66" i="5"/>
  <c r="M65" i="5"/>
  <c r="L65" i="5"/>
  <c r="M64" i="5"/>
  <c r="L64" i="5"/>
  <c r="M63" i="5"/>
  <c r="M67" i="5"/>
  <c r="D4" i="5"/>
  <c r="L63" i="5"/>
  <c r="L67" i="5"/>
  <c r="C4" i="5"/>
  <c r="M58" i="5"/>
  <c r="L58" i="5"/>
  <c r="M57" i="5"/>
  <c r="L57" i="5"/>
  <c r="M56" i="5"/>
  <c r="L56" i="5"/>
  <c r="M55" i="5"/>
  <c r="M59" i="5"/>
  <c r="D9" i="5"/>
  <c r="L55" i="5"/>
  <c r="L59" i="5"/>
  <c r="C9" i="5"/>
  <c r="M50" i="5"/>
  <c r="L50" i="5"/>
  <c r="M49" i="5"/>
  <c r="L49" i="5"/>
  <c r="M48" i="5"/>
  <c r="L48" i="5"/>
  <c r="M47" i="5"/>
  <c r="M51" i="5"/>
  <c r="D8" i="5"/>
  <c r="L47" i="5"/>
  <c r="L51" i="5"/>
  <c r="C8" i="5"/>
  <c r="D19" i="5"/>
  <c r="E36" i="5"/>
  <c r="E37" i="5"/>
  <c r="O35" i="5"/>
  <c r="C81" i="3"/>
  <c r="O34" i="5"/>
  <c r="C80" i="3"/>
  <c r="O33" i="5"/>
  <c r="C78" i="3"/>
  <c r="O32" i="5"/>
  <c r="C77" i="3"/>
  <c r="O31" i="5"/>
  <c r="D31" i="5"/>
  <c r="G6" i="5"/>
  <c r="H6" i="5"/>
  <c r="I6" i="5"/>
  <c r="J6" i="5"/>
  <c r="K6" i="5"/>
  <c r="L6" i="5"/>
  <c r="C31" i="5"/>
  <c r="O30" i="5"/>
  <c r="D30" i="5"/>
  <c r="N29" i="5"/>
  <c r="O29" i="5"/>
  <c r="D29" i="5"/>
  <c r="N28" i="5"/>
  <c r="O28" i="5"/>
  <c r="H26" i="5"/>
  <c r="B26" i="5"/>
  <c r="E23" i="5"/>
  <c r="E24" i="5"/>
  <c r="O22" i="5"/>
  <c r="C22" i="5"/>
  <c r="O21" i="5"/>
  <c r="O20" i="5"/>
  <c r="C71" i="3"/>
  <c r="O19" i="5"/>
  <c r="C70" i="3"/>
  <c r="C61" i="3"/>
  <c r="C19" i="5"/>
  <c r="O18" i="5"/>
  <c r="D18" i="5"/>
  <c r="O17" i="5"/>
  <c r="D17" i="5"/>
  <c r="N16" i="5"/>
  <c r="D16" i="5"/>
  <c r="N15" i="5"/>
  <c r="O15" i="5"/>
  <c r="C72" i="3"/>
  <c r="H13" i="5"/>
  <c r="B13" i="5"/>
  <c r="C33" i="5"/>
  <c r="C30" i="5"/>
  <c r="C73" i="4"/>
  <c r="B73" i="4"/>
  <c r="F61" i="4"/>
  <c r="B58" i="4"/>
  <c r="G20" i="4"/>
  <c r="G65" i="4"/>
  <c r="L65" i="4"/>
  <c r="B57" i="4"/>
  <c r="G11" i="4"/>
  <c r="G57" i="4"/>
  <c r="L57" i="4"/>
  <c r="F54" i="4"/>
  <c r="E46" i="4"/>
  <c r="F46" i="4"/>
  <c r="A45" i="4"/>
  <c r="E43" i="4"/>
  <c r="F43" i="4"/>
  <c r="A42" i="4"/>
  <c r="C36" i="4"/>
  <c r="B34" i="4"/>
  <c r="C32" i="4"/>
  <c r="B30" i="4"/>
  <c r="N20" i="4"/>
  <c r="H20" i="4"/>
  <c r="M20" i="4"/>
  <c r="H19" i="4"/>
  <c r="G19" i="4"/>
  <c r="G64" i="4"/>
  <c r="L64" i="4"/>
  <c r="N18" i="4"/>
  <c r="H18" i="4"/>
  <c r="M18" i="4"/>
  <c r="G18" i="4"/>
  <c r="G63" i="4"/>
  <c r="L63" i="4"/>
  <c r="N17" i="4"/>
  <c r="H17" i="4"/>
  <c r="M17" i="4"/>
  <c r="G17" i="4"/>
  <c r="L17" i="4"/>
  <c r="N16" i="4"/>
  <c r="D11" i="4"/>
  <c r="N19" i="4"/>
  <c r="N21" i="4"/>
  <c r="H16" i="4"/>
  <c r="M16" i="4"/>
  <c r="G16" i="4"/>
  <c r="L16" i="4"/>
  <c r="K15" i="4"/>
  <c r="N12" i="4"/>
  <c r="H12" i="4"/>
  <c r="M12" i="4"/>
  <c r="G12" i="4"/>
  <c r="G58" i="4"/>
  <c r="L58" i="4"/>
  <c r="H11" i="4"/>
  <c r="M19" i="4"/>
  <c r="N10" i="4"/>
  <c r="G10" i="4"/>
  <c r="L10" i="4"/>
  <c r="H10" i="4"/>
  <c r="M10" i="4"/>
  <c r="G56" i="4"/>
  <c r="L56" i="4"/>
  <c r="N9" i="4"/>
  <c r="H9" i="4"/>
  <c r="M9" i="4"/>
  <c r="G9" i="4"/>
  <c r="L9" i="4"/>
  <c r="N8" i="4"/>
  <c r="G8" i="4"/>
  <c r="L8" i="4"/>
  <c r="H8" i="4"/>
  <c r="M8" i="4"/>
  <c r="K7" i="4"/>
  <c r="O76" i="3"/>
  <c r="I76" i="3"/>
  <c r="C76" i="3"/>
  <c r="C74" i="3"/>
  <c r="D65" i="3"/>
  <c r="I74" i="3" s="1"/>
  <c r="C73" i="3"/>
  <c r="O73" i="3" s="1"/>
  <c r="C64" i="3"/>
  <c r="O69" i="3"/>
  <c r="I69" i="3"/>
  <c r="C69" i="3"/>
  <c r="E65" i="3"/>
  <c r="C65" i="3"/>
  <c r="E64" i="3"/>
  <c r="D64" i="3"/>
  <c r="E63" i="3"/>
  <c r="D63" i="3"/>
  <c r="C63" i="3"/>
  <c r="E62" i="3"/>
  <c r="D62" i="3"/>
  <c r="I71" i="3" s="1"/>
  <c r="C62" i="3"/>
  <c r="E61" i="3"/>
  <c r="D61" i="3"/>
  <c r="I77" i="3" s="1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6" i="2"/>
  <c r="I7" i="2"/>
  <c r="I8" i="2"/>
  <c r="I9" i="2"/>
  <c r="I10" i="2"/>
  <c r="I11" i="2"/>
  <c r="I12" i="2"/>
  <c r="I13" i="2"/>
  <c r="E12" i="2"/>
  <c r="E11" i="2"/>
  <c r="E10" i="2"/>
  <c r="E9" i="2"/>
  <c r="E8" i="2"/>
  <c r="E7" i="2"/>
  <c r="E6" i="2"/>
  <c r="E5" i="2"/>
  <c r="Q3" i="2"/>
  <c r="Q4" i="2"/>
  <c r="AH4" i="2"/>
  <c r="E4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L3" i="2"/>
  <c r="AE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AH3" i="2"/>
  <c r="L4" i="2"/>
  <c r="H3" i="2"/>
  <c r="J3" i="2"/>
  <c r="H4" i="2"/>
  <c r="H5" i="2"/>
  <c r="H6" i="2"/>
  <c r="H7" i="2"/>
  <c r="H8" i="2"/>
  <c r="H9" i="2"/>
  <c r="H10" i="2"/>
  <c r="H11" i="2"/>
  <c r="H12" i="2"/>
  <c r="E3" i="2"/>
  <c r="D3" i="2"/>
  <c r="F3" i="2"/>
  <c r="E13" i="2"/>
  <c r="D4" i="2"/>
  <c r="D5" i="2"/>
  <c r="D6" i="2"/>
  <c r="D7" i="2"/>
  <c r="D8" i="2"/>
  <c r="D9" i="2"/>
  <c r="D10" i="2"/>
  <c r="D11" i="2"/>
  <c r="J1" i="2"/>
  <c r="F1" i="2"/>
  <c r="O71" i="3"/>
  <c r="G62" i="4"/>
  <c r="L62" i="4"/>
  <c r="L66" i="4"/>
  <c r="C79" i="3"/>
  <c r="I79" i="3" s="1"/>
  <c r="L19" i="4"/>
  <c r="L11" i="4"/>
  <c r="L12" i="4"/>
  <c r="O12" i="4"/>
  <c r="O9" i="4"/>
  <c r="O16" i="5"/>
  <c r="M38" i="3"/>
  <c r="E16" i="3"/>
  <c r="M15" i="3"/>
  <c r="K11" i="3"/>
  <c r="M10" i="3"/>
  <c r="J4" i="2"/>
  <c r="F9" i="2"/>
  <c r="F6" i="2"/>
  <c r="J9" i="2"/>
  <c r="J6" i="2"/>
  <c r="J11" i="2"/>
  <c r="F8" i="2"/>
  <c r="J5" i="2"/>
  <c r="F10" i="2"/>
  <c r="D12" i="2"/>
  <c r="F12" i="2"/>
  <c r="F11" i="2"/>
  <c r="F5" i="2"/>
  <c r="J8" i="2"/>
  <c r="J12" i="2"/>
  <c r="L5" i="2"/>
  <c r="AE4" i="2"/>
  <c r="Q5" i="2"/>
  <c r="F7" i="2"/>
  <c r="F4" i="2"/>
  <c r="F13" i="2"/>
  <c r="J10" i="2"/>
  <c r="J7" i="2"/>
  <c r="J13" i="2"/>
  <c r="M9" i="3"/>
  <c r="C11" i="3"/>
  <c r="M14" i="3"/>
  <c r="C16" i="3"/>
  <c r="O8" i="4"/>
  <c r="N11" i="4"/>
  <c r="N13" i="4"/>
  <c r="D21" i="5"/>
  <c r="D34" i="5"/>
  <c r="D35" i="5"/>
  <c r="D22" i="5"/>
  <c r="O19" i="4"/>
  <c r="E44" i="3"/>
  <c r="O16" i="4"/>
  <c r="N39" i="7"/>
  <c r="N37" i="7"/>
  <c r="N35" i="7"/>
  <c r="N33" i="7"/>
  <c r="N31" i="7"/>
  <c r="N29" i="7"/>
  <c r="N27" i="7"/>
  <c r="N40" i="7"/>
  <c r="N38" i="7"/>
  <c r="N36" i="7"/>
  <c r="N34" i="7"/>
  <c r="N32" i="7"/>
  <c r="N30" i="7"/>
  <c r="N28" i="7"/>
  <c r="O8" i="7"/>
  <c r="M43" i="3"/>
  <c r="O80" i="3"/>
  <c r="M21" i="4"/>
  <c r="G55" i="4"/>
  <c r="L55" i="4"/>
  <c r="L59" i="4"/>
  <c r="C39" i="3"/>
  <c r="L13" i="4"/>
  <c r="O10" i="4"/>
  <c r="C44" i="3"/>
  <c r="O17" i="4"/>
  <c r="D32" i="5"/>
  <c r="D20" i="5"/>
  <c r="D33" i="5"/>
  <c r="D28" i="5"/>
  <c r="D15" i="5"/>
  <c r="D8" i="7"/>
  <c r="C28" i="7"/>
  <c r="C30" i="7"/>
  <c r="C32" i="7"/>
  <c r="C34" i="7"/>
  <c r="C36" i="7"/>
  <c r="C38" i="7"/>
  <c r="C40" i="7"/>
  <c r="M37" i="3"/>
  <c r="O74" i="3"/>
  <c r="M11" i="4"/>
  <c r="O11" i="4"/>
  <c r="L20" i="4"/>
  <c r="O20" i="4"/>
  <c r="C15" i="5"/>
  <c r="C17" i="5"/>
  <c r="C29" i="5"/>
  <c r="C34" i="5"/>
  <c r="C20" i="5"/>
  <c r="C32" i="5"/>
  <c r="C27" i="7"/>
  <c r="C29" i="7"/>
  <c r="C31" i="7"/>
  <c r="C33" i="7"/>
  <c r="C35" i="7"/>
  <c r="C37" i="7"/>
  <c r="C18" i="5"/>
  <c r="C35" i="5"/>
  <c r="L18" i="4"/>
  <c r="O18" i="4"/>
  <c r="C16" i="5"/>
  <c r="C21" i="5"/>
  <c r="C28" i="5"/>
  <c r="D39" i="7"/>
  <c r="D37" i="7"/>
  <c r="D35" i="7"/>
  <c r="D33" i="7"/>
  <c r="D31" i="7"/>
  <c r="D29" i="7"/>
  <c r="D27" i="7"/>
  <c r="D28" i="7"/>
  <c r="D30" i="7"/>
  <c r="D32" i="7"/>
  <c r="D34" i="7"/>
  <c r="D36" i="7"/>
  <c r="D38" i="7"/>
  <c r="D40" i="7"/>
  <c r="D41" i="7"/>
  <c r="E8" i="7"/>
  <c r="D36" i="5"/>
  <c r="D37" i="5"/>
  <c r="M13" i="4"/>
  <c r="O13" i="4"/>
  <c r="C36" i="5"/>
  <c r="AH5" i="2"/>
  <c r="Q6" i="2"/>
  <c r="L21" i="4"/>
  <c r="O21" i="4"/>
  <c r="O39" i="7"/>
  <c r="O37" i="7"/>
  <c r="O35" i="7"/>
  <c r="O33" i="7"/>
  <c r="O31" i="7"/>
  <c r="O29" i="7"/>
  <c r="O27" i="7"/>
  <c r="O40" i="7"/>
  <c r="O38" i="7"/>
  <c r="O36" i="7"/>
  <c r="O34" i="7"/>
  <c r="O32" i="7"/>
  <c r="O30" i="7"/>
  <c r="O28" i="7"/>
  <c r="P8" i="7"/>
  <c r="N41" i="7"/>
  <c r="C41" i="7"/>
  <c r="C23" i="5"/>
  <c r="D23" i="5"/>
  <c r="D24" i="5"/>
  <c r="O77" i="3"/>
  <c r="L6" i="2"/>
  <c r="AE5" i="2"/>
  <c r="B23" i="2"/>
  <c r="B24" i="2" s="1"/>
  <c r="L7" i="2"/>
  <c r="AE6" i="2"/>
  <c r="O41" i="7"/>
  <c r="AH6" i="2"/>
  <c r="Q7" i="2"/>
  <c r="F23" i="5"/>
  <c r="F24" i="5"/>
  <c r="C24" i="5"/>
  <c r="E39" i="7"/>
  <c r="E37" i="7"/>
  <c r="E35" i="7"/>
  <c r="E33" i="7"/>
  <c r="E31" i="7"/>
  <c r="E29" i="7"/>
  <c r="E27" i="7"/>
  <c r="E40" i="7"/>
  <c r="E38" i="7"/>
  <c r="E36" i="7"/>
  <c r="E34" i="7"/>
  <c r="E32" i="7"/>
  <c r="E30" i="7"/>
  <c r="E28" i="7"/>
  <c r="F8" i="7"/>
  <c r="P40" i="7"/>
  <c r="P38" i="7"/>
  <c r="P36" i="7"/>
  <c r="P34" i="7"/>
  <c r="P32" i="7"/>
  <c r="P30" i="7"/>
  <c r="P28" i="7"/>
  <c r="Q8" i="7"/>
  <c r="P39" i="7"/>
  <c r="P37" i="7"/>
  <c r="P35" i="7"/>
  <c r="P33" i="7"/>
  <c r="P31" i="7"/>
  <c r="P29" i="7"/>
  <c r="P27" i="7"/>
  <c r="C37" i="5"/>
  <c r="F36" i="5"/>
  <c r="F37" i="5"/>
  <c r="P41" i="7"/>
  <c r="AH7" i="2"/>
  <c r="Q8" i="2"/>
  <c r="L8" i="2"/>
  <c r="AE7" i="2"/>
  <c r="Q40" i="7"/>
  <c r="Q38" i="7"/>
  <c r="Q36" i="7"/>
  <c r="Q34" i="7"/>
  <c r="Q32" i="7"/>
  <c r="Q30" i="7"/>
  <c r="Q28" i="7"/>
  <c r="R8" i="7"/>
  <c r="Q31" i="7"/>
  <c r="Q37" i="7"/>
  <c r="Q27" i="7"/>
  <c r="Q33" i="7"/>
  <c r="Q39" i="7"/>
  <c r="Q29" i="7"/>
  <c r="Q35" i="7"/>
  <c r="F39" i="7"/>
  <c r="F37" i="7"/>
  <c r="F35" i="7"/>
  <c r="F33" i="7"/>
  <c r="F31" i="7"/>
  <c r="F29" i="7"/>
  <c r="F27" i="7"/>
  <c r="F40" i="7"/>
  <c r="F38" i="7"/>
  <c r="F36" i="7"/>
  <c r="F34" i="7"/>
  <c r="F32" i="7"/>
  <c r="F30" i="7"/>
  <c r="F28" i="7"/>
  <c r="G8" i="7"/>
  <c r="E41" i="7"/>
  <c r="L9" i="2"/>
  <c r="AE8" i="2"/>
  <c r="R40" i="7"/>
  <c r="R38" i="7"/>
  <c r="R36" i="7"/>
  <c r="R34" i="7"/>
  <c r="R32" i="7"/>
  <c r="R30" i="7"/>
  <c r="R28" i="7"/>
  <c r="S8" i="7"/>
  <c r="R39" i="7"/>
  <c r="R37" i="7"/>
  <c r="R35" i="7"/>
  <c r="R33" i="7"/>
  <c r="R31" i="7"/>
  <c r="R29" i="7"/>
  <c r="R27" i="7"/>
  <c r="R41" i="7"/>
  <c r="G40" i="7"/>
  <c r="G38" i="7"/>
  <c r="G36" i="7"/>
  <c r="G34" i="7"/>
  <c r="G32" i="7"/>
  <c r="G30" i="7"/>
  <c r="G28" i="7"/>
  <c r="H8" i="7"/>
  <c r="G39" i="7"/>
  <c r="G37" i="7"/>
  <c r="G35" i="7"/>
  <c r="G33" i="7"/>
  <c r="G31" i="7"/>
  <c r="G29" i="7"/>
  <c r="G27" i="7"/>
  <c r="G41" i="7"/>
  <c r="F41" i="7"/>
  <c r="Q41" i="7"/>
  <c r="AH8" i="2"/>
  <c r="Q9" i="2"/>
  <c r="S40" i="7"/>
  <c r="S38" i="7"/>
  <c r="S36" i="7"/>
  <c r="S34" i="7"/>
  <c r="S32" i="7"/>
  <c r="S30" i="7"/>
  <c r="S28" i="7"/>
  <c r="T8" i="7"/>
  <c r="S39" i="7"/>
  <c r="S37" i="7"/>
  <c r="S35" i="7"/>
  <c r="S33" i="7"/>
  <c r="S31" i="7"/>
  <c r="S29" i="7"/>
  <c r="S27" i="7"/>
  <c r="H40" i="7"/>
  <c r="H38" i="7"/>
  <c r="H36" i="7"/>
  <c r="H34" i="7"/>
  <c r="H32" i="7"/>
  <c r="H30" i="7"/>
  <c r="H28" i="7"/>
  <c r="I8" i="7"/>
  <c r="H35" i="7"/>
  <c r="H31" i="7"/>
  <c r="H37" i="7"/>
  <c r="H27" i="7"/>
  <c r="H33" i="7"/>
  <c r="H39" i="7"/>
  <c r="H29" i="7"/>
  <c r="AH9" i="2"/>
  <c r="Q10" i="2"/>
  <c r="L10" i="2"/>
  <c r="AE9" i="2"/>
  <c r="AH10" i="2"/>
  <c r="Q11" i="2"/>
  <c r="H41" i="7"/>
  <c r="L11" i="2"/>
  <c r="AE10" i="2"/>
  <c r="T39" i="7"/>
  <c r="T37" i="7"/>
  <c r="T35" i="7"/>
  <c r="T33" i="7"/>
  <c r="T31" i="7"/>
  <c r="T29" i="7"/>
  <c r="T27" i="7"/>
  <c r="T28" i="7"/>
  <c r="T30" i="7"/>
  <c r="T32" i="7"/>
  <c r="T34" i="7"/>
  <c r="T36" i="7"/>
  <c r="T38" i="7"/>
  <c r="T40" i="7"/>
  <c r="T41" i="7"/>
  <c r="U8" i="7"/>
  <c r="I40" i="7"/>
  <c r="I38" i="7"/>
  <c r="I36" i="7"/>
  <c r="I34" i="7"/>
  <c r="I32" i="7"/>
  <c r="I30" i="7"/>
  <c r="I28" i="7"/>
  <c r="J8" i="7"/>
  <c r="I39" i="7"/>
  <c r="I37" i="7"/>
  <c r="I35" i="7"/>
  <c r="I33" i="7"/>
  <c r="I31" i="7"/>
  <c r="I29" i="7"/>
  <c r="I27" i="7"/>
  <c r="S41" i="7"/>
  <c r="I41" i="7"/>
  <c r="L12" i="2"/>
  <c r="AE11" i="2"/>
  <c r="AH11" i="2"/>
  <c r="Q12" i="2"/>
  <c r="J40" i="7"/>
  <c r="J38" i="7"/>
  <c r="J36" i="7"/>
  <c r="J34" i="7"/>
  <c r="J32" i="7"/>
  <c r="J30" i="7"/>
  <c r="J28" i="7"/>
  <c r="K8" i="7"/>
  <c r="J39" i="7"/>
  <c r="J37" i="7"/>
  <c r="J35" i="7"/>
  <c r="J33" i="7"/>
  <c r="J31" i="7"/>
  <c r="J29" i="7"/>
  <c r="J27" i="7"/>
  <c r="U39" i="7"/>
  <c r="U37" i="7"/>
  <c r="U35" i="7"/>
  <c r="U33" i="7"/>
  <c r="U31" i="7"/>
  <c r="U29" i="7"/>
  <c r="U27" i="7"/>
  <c r="U28" i="7"/>
  <c r="U34" i="7"/>
  <c r="U40" i="7"/>
  <c r="U30" i="7"/>
  <c r="U36" i="7"/>
  <c r="V8" i="7"/>
  <c r="U32" i="7"/>
  <c r="U38" i="7"/>
  <c r="V39" i="7"/>
  <c r="V37" i="7"/>
  <c r="V35" i="7"/>
  <c r="V33" i="7"/>
  <c r="V31" i="7"/>
  <c r="V29" i="7"/>
  <c r="V27" i="7"/>
  <c r="V28" i="7"/>
  <c r="V30" i="7"/>
  <c r="V32" i="7"/>
  <c r="V34" i="7"/>
  <c r="V36" i="7"/>
  <c r="V38" i="7"/>
  <c r="V40" i="7"/>
  <c r="V41" i="7"/>
  <c r="W8" i="7"/>
  <c r="J41" i="7"/>
  <c r="AE12" i="2"/>
  <c r="L13" i="2"/>
  <c r="AE13" i="2"/>
  <c r="L14" i="2"/>
  <c r="AE14" i="2"/>
  <c r="L15" i="2"/>
  <c r="AE15" i="2"/>
  <c r="L16" i="2"/>
  <c r="AE16" i="2"/>
  <c r="L17" i="2"/>
  <c r="AE17" i="2"/>
  <c r="L18" i="2"/>
  <c r="AE18" i="2"/>
  <c r="L19" i="2"/>
  <c r="AE19" i="2"/>
  <c r="L20" i="2"/>
  <c r="AE20" i="2"/>
  <c r="L21" i="2"/>
  <c r="AE21" i="2"/>
  <c r="L22" i="2"/>
  <c r="AE22" i="2"/>
  <c r="L23" i="2"/>
  <c r="AE23" i="2"/>
  <c r="L24" i="2"/>
  <c r="AE24" i="2"/>
  <c r="L25" i="2"/>
  <c r="AE25" i="2"/>
  <c r="L26" i="2"/>
  <c r="AE26" i="2"/>
  <c r="L27" i="2"/>
  <c r="AE27" i="2"/>
  <c r="L28" i="2"/>
  <c r="AE28" i="2"/>
  <c r="L29" i="2"/>
  <c r="AE29" i="2"/>
  <c r="L30" i="2"/>
  <c r="AE30" i="2"/>
  <c r="L31" i="2"/>
  <c r="AE31" i="2"/>
  <c r="L32" i="2"/>
  <c r="AE32" i="2"/>
  <c r="Q13" i="2"/>
  <c r="AH12" i="2"/>
  <c r="K39" i="7"/>
  <c r="K37" i="7"/>
  <c r="K35" i="7"/>
  <c r="K33" i="7"/>
  <c r="K31" i="7"/>
  <c r="K29" i="7"/>
  <c r="K27" i="7"/>
  <c r="K40" i="7"/>
  <c r="K38" i="7"/>
  <c r="K36" i="7"/>
  <c r="K34" i="7"/>
  <c r="K32" i="7"/>
  <c r="K30" i="7"/>
  <c r="K28" i="7"/>
  <c r="L8" i="7"/>
  <c r="U41" i="7"/>
  <c r="K41" i="7"/>
  <c r="W39" i="7"/>
  <c r="W37" i="7"/>
  <c r="L37" i="7"/>
  <c r="X19" i="7"/>
  <c r="AA19" i="7"/>
  <c r="W35" i="7"/>
  <c r="L35" i="7"/>
  <c r="X17" i="7"/>
  <c r="AA17" i="7"/>
  <c r="W33" i="7"/>
  <c r="L33" i="7"/>
  <c r="X15" i="7"/>
  <c r="AA15" i="7"/>
  <c r="W31" i="7"/>
  <c r="L31" i="7"/>
  <c r="X13" i="7"/>
  <c r="AA13" i="7"/>
  <c r="W29" i="7"/>
  <c r="L29" i="7"/>
  <c r="X11" i="7"/>
  <c r="AA11" i="7"/>
  <c r="W27" i="7"/>
  <c r="W40" i="7"/>
  <c r="W38" i="7"/>
  <c r="W36" i="7"/>
  <c r="W34" i="7"/>
  <c r="L34" i="7"/>
  <c r="X16" i="7"/>
  <c r="AA16" i="7"/>
  <c r="W32" i="7"/>
  <c r="W30" i="7"/>
  <c r="L30" i="7"/>
  <c r="X12" i="7"/>
  <c r="AA12" i="7"/>
  <c r="W28" i="7"/>
  <c r="L39" i="7"/>
  <c r="L27" i="7"/>
  <c r="L38" i="7"/>
  <c r="L28" i="7"/>
  <c r="L40" i="7"/>
  <c r="L36" i="7"/>
  <c r="L32" i="7"/>
  <c r="AH13" i="2"/>
  <c r="Q14" i="2"/>
  <c r="W41" i="7"/>
  <c r="X9" i="7"/>
  <c r="AA9" i="7"/>
  <c r="AH14" i="2"/>
  <c r="Q15" i="2"/>
  <c r="L41" i="7"/>
  <c r="X14" i="7"/>
  <c r="AA14" i="7"/>
  <c r="X18" i="7"/>
  <c r="AA18" i="7"/>
  <c r="X10" i="7"/>
  <c r="AA10" i="7"/>
  <c r="X20" i="7"/>
  <c r="AA20" i="7"/>
  <c r="X21" i="7"/>
  <c r="AA21" i="7"/>
  <c r="X22" i="7"/>
  <c r="AA22" i="7"/>
  <c r="H16" i="1"/>
  <c r="H17" i="1"/>
  <c r="D6" i="7"/>
  <c r="AH15" i="2"/>
  <c r="Q16" i="2"/>
  <c r="AA23" i="7"/>
  <c r="E28" i="1"/>
  <c r="Q17" i="2"/>
  <c r="AH16" i="2"/>
  <c r="Q18" i="2"/>
  <c r="AH17" i="2"/>
  <c r="AH18" i="2"/>
  <c r="Q19" i="2"/>
  <c r="Q20" i="2"/>
  <c r="AH19" i="2"/>
  <c r="AH20" i="2"/>
  <c r="Q21" i="2"/>
  <c r="Q22" i="2"/>
  <c r="AH21" i="2"/>
  <c r="Q23" i="2"/>
  <c r="AH22" i="2"/>
  <c r="Q24" i="2"/>
  <c r="AH23" i="2"/>
  <c r="AH24" i="2"/>
  <c r="Q25" i="2"/>
  <c r="Q26" i="2"/>
  <c r="AH25" i="2"/>
  <c r="Q27" i="2"/>
  <c r="AH26" i="2"/>
  <c r="AH27" i="2"/>
  <c r="Q28" i="2"/>
  <c r="Q29" i="2"/>
  <c r="AH28" i="2"/>
  <c r="Q30" i="2"/>
  <c r="AH29" i="2"/>
  <c r="AH30" i="2"/>
  <c r="Q31" i="2"/>
  <c r="AH31" i="2"/>
  <c r="Q32" i="2"/>
  <c r="AH32" i="2"/>
  <c r="Q33" i="2"/>
  <c r="L33" i="2"/>
  <c r="AE33" i="2"/>
  <c r="L34" i="2"/>
  <c r="Q34" i="2"/>
  <c r="AH33" i="2"/>
  <c r="AE34" i="2"/>
  <c r="L35" i="2"/>
  <c r="Q35" i="2"/>
  <c r="AH34" i="2"/>
  <c r="AH35" i="2"/>
  <c r="Q36" i="2"/>
  <c r="L36" i="2"/>
  <c r="AE35" i="2"/>
  <c r="AE36" i="2"/>
  <c r="L37" i="2"/>
  <c r="AH36" i="2"/>
  <c r="Q37" i="2"/>
  <c r="AE37" i="2"/>
  <c r="L38" i="2"/>
  <c r="Q38" i="2"/>
  <c r="AH37" i="2"/>
  <c r="AH38" i="2"/>
  <c r="Q39" i="2"/>
  <c r="AE38" i="2"/>
  <c r="L39" i="2"/>
  <c r="AH39" i="2"/>
  <c r="Q40" i="2"/>
  <c r="AE39" i="2"/>
  <c r="L40" i="2"/>
  <c r="AH40" i="2"/>
  <c r="Q41" i="2"/>
  <c r="AE40" i="2"/>
  <c r="L41" i="2"/>
  <c r="Q42" i="2"/>
  <c r="AH41" i="2"/>
  <c r="AE41" i="2"/>
  <c r="L42" i="2"/>
  <c r="L43" i="2"/>
  <c r="AE42" i="2"/>
  <c r="AH42" i="2"/>
  <c r="Q43" i="2"/>
  <c r="AH43" i="2"/>
  <c r="Q44" i="2"/>
  <c r="AE43" i="2"/>
  <c r="L44" i="2"/>
  <c r="AH44" i="2"/>
  <c r="Q45" i="2"/>
  <c r="AE44" i="2"/>
  <c r="L45" i="2"/>
  <c r="AE45" i="2"/>
  <c r="L46" i="2"/>
  <c r="AH45" i="2"/>
  <c r="Q46" i="2"/>
  <c r="L47" i="2"/>
  <c r="AE46" i="2"/>
  <c r="AH46" i="2"/>
  <c r="Q47" i="2"/>
  <c r="AH47" i="2"/>
  <c r="Q48" i="2"/>
  <c r="AE47" i="2"/>
  <c r="L48" i="2"/>
  <c r="AH48" i="2"/>
  <c r="Q49" i="2"/>
  <c r="AE48" i="2"/>
  <c r="L49" i="2"/>
  <c r="AE49" i="2"/>
  <c r="L50" i="2"/>
  <c r="Q50" i="2"/>
  <c r="AH49" i="2"/>
  <c r="AH50" i="2"/>
  <c r="Q51" i="2"/>
  <c r="L51" i="2"/>
  <c r="AE50" i="2"/>
  <c r="AE51" i="2"/>
  <c r="L52" i="2"/>
  <c r="AH51" i="2"/>
  <c r="Q52" i="2"/>
  <c r="AH52" i="2"/>
  <c r="Q53" i="2"/>
  <c r="AE52" i="2"/>
  <c r="L53" i="2"/>
  <c r="AE53" i="2"/>
  <c r="L54" i="2"/>
  <c r="AH53" i="2"/>
  <c r="Q54" i="2"/>
  <c r="AH54" i="2"/>
  <c r="Q55" i="2"/>
  <c r="L55" i="2"/>
  <c r="AE54" i="2"/>
  <c r="AE55" i="2"/>
  <c r="L56" i="2"/>
  <c r="AH55" i="2"/>
  <c r="Q56" i="2"/>
  <c r="AH56" i="2"/>
  <c r="Q57" i="2"/>
  <c r="AE56" i="2"/>
  <c r="L57" i="2"/>
  <c r="AH57" i="2"/>
  <c r="Q58" i="2"/>
  <c r="AE57" i="2"/>
  <c r="L58" i="2"/>
  <c r="AE58" i="2"/>
  <c r="L59" i="2"/>
  <c r="AH58" i="2"/>
  <c r="Q59" i="2"/>
  <c r="AH59" i="2"/>
  <c r="Q60" i="2"/>
  <c r="AE59" i="2"/>
  <c r="L60" i="2"/>
  <c r="AE60" i="2"/>
  <c r="L61" i="2"/>
  <c r="Q61" i="2"/>
  <c r="AH60" i="2"/>
  <c r="AE61" i="2"/>
  <c r="L62" i="2"/>
  <c r="AH61" i="2"/>
  <c r="Q62" i="2"/>
  <c r="AE62" i="2"/>
  <c r="AH62" i="2"/>
  <c r="I80" i="3" l="1"/>
  <c r="J24" i="3"/>
  <c r="J29" i="3"/>
  <c r="I24" i="3"/>
  <c r="D22" i="3"/>
  <c r="D28" i="3"/>
  <c r="D27" i="3"/>
  <c r="D23" i="3"/>
  <c r="O78" i="3"/>
  <c r="I78" i="3"/>
  <c r="O81" i="3"/>
  <c r="I73" i="3"/>
  <c r="O79" i="3"/>
  <c r="I70" i="3"/>
  <c r="O72" i="3"/>
  <c r="O70" i="3"/>
  <c r="I72" i="3"/>
  <c r="M39" i="3"/>
  <c r="C28" i="3"/>
  <c r="C27" i="3"/>
  <c r="C23" i="3"/>
  <c r="C22" i="3"/>
  <c r="I81" i="3"/>
  <c r="M16" i="3"/>
  <c r="B16" i="2" s="1"/>
  <c r="B30" i="2" s="1"/>
  <c r="M11" i="3"/>
  <c r="M44" i="3"/>
  <c r="W54" i="2"/>
  <c r="X54" i="2" s="1"/>
  <c r="AA4" i="2"/>
  <c r="AB4" i="2" s="1"/>
  <c r="AA29" i="2"/>
  <c r="AB29" i="2" s="1"/>
  <c r="W51" i="2"/>
  <c r="X51" i="2" s="1"/>
  <c r="W47" i="2"/>
  <c r="X47" i="2" s="1"/>
  <c r="AA21" i="2"/>
  <c r="AB21" i="2" s="1"/>
  <c r="W62" i="2"/>
  <c r="X62" i="2" s="1"/>
  <c r="AA62" i="2"/>
  <c r="AB62" i="2" s="1"/>
  <c r="W8" i="2"/>
  <c r="X8" i="2" s="1"/>
  <c r="W23" i="2"/>
  <c r="X23" i="2" s="1"/>
  <c r="AA19" i="2"/>
  <c r="AB19" i="2" s="1"/>
  <c r="AA40" i="2"/>
  <c r="AB40" i="2" s="1"/>
  <c r="AA42" i="2"/>
  <c r="AB42" i="2" s="1"/>
  <c r="W25" i="2"/>
  <c r="X25" i="2" s="1"/>
  <c r="AA11" i="2"/>
  <c r="AB11" i="2" s="1"/>
  <c r="AA46" i="2"/>
  <c r="AB46" i="2" s="1"/>
  <c r="AA55" i="2"/>
  <c r="AB55" i="2" s="1"/>
  <c r="W30" i="2"/>
  <c r="X30" i="2" s="1"/>
  <c r="AA17" i="2"/>
  <c r="AB17" i="2" s="1"/>
  <c r="AA35" i="2"/>
  <c r="AB35" i="2" s="1"/>
  <c r="W6" i="2"/>
  <c r="X6" i="2" s="1"/>
  <c r="W32" i="2"/>
  <c r="X32" i="2" s="1"/>
  <c r="AA52" i="2"/>
  <c r="AB52" i="2" s="1"/>
  <c r="AA45" i="2"/>
  <c r="AB45" i="2" s="1"/>
  <c r="W39" i="2"/>
  <c r="X39" i="2" s="1"/>
  <c r="AA27" i="2"/>
  <c r="AB27" i="2" s="1"/>
  <c r="AA14" i="2"/>
  <c r="AB14" i="2" s="1"/>
  <c r="AA5" i="2"/>
  <c r="AB5" i="2" s="1"/>
  <c r="AA58" i="2"/>
  <c r="AB58" i="2" s="1"/>
  <c r="AA54" i="2"/>
  <c r="AB54" i="2" s="1"/>
  <c r="W46" i="2"/>
  <c r="X46" i="2" s="1"/>
  <c r="W38" i="2"/>
  <c r="X38" i="2" s="1"/>
  <c r="W28" i="2"/>
  <c r="X28" i="2" s="1"/>
  <c r="AA22" i="2"/>
  <c r="AB22" i="2" s="1"/>
  <c r="W16" i="2"/>
  <c r="X16" i="2" s="1"/>
  <c r="W5" i="2"/>
  <c r="X5" i="2" s="1"/>
  <c r="AA3" i="2"/>
  <c r="AB3" i="2" s="1"/>
  <c r="W60" i="2"/>
  <c r="X60" i="2" s="1"/>
  <c r="AA44" i="2"/>
  <c r="AB44" i="2" s="1"/>
  <c r="W21" i="2"/>
  <c r="X21" i="2" s="1"/>
  <c r="AA6" i="2"/>
  <c r="AB6" i="2" s="1"/>
  <c r="W50" i="2"/>
  <c r="X50" i="2" s="1"/>
  <c r="AA38" i="2"/>
  <c r="AB38" i="2" s="1"/>
  <c r="W20" i="2"/>
  <c r="X20" i="2" s="1"/>
  <c r="W3" i="2"/>
  <c r="X3" i="2" s="1"/>
  <c r="AA28" i="2"/>
  <c r="AB28" i="2" s="1"/>
  <c r="W59" i="2"/>
  <c r="X59" i="2" s="1"/>
  <c r="AA61" i="2"/>
  <c r="AB61" i="2" s="1"/>
  <c r="AA60" i="2"/>
  <c r="AB60" i="2" s="1"/>
  <c r="W44" i="2"/>
  <c r="X44" i="2" s="1"/>
  <c r="W27" i="2"/>
  <c r="X27" i="2" s="1"/>
  <c r="W13" i="2"/>
  <c r="X13" i="2" s="1"/>
  <c r="W58" i="2"/>
  <c r="X58" i="2" s="1"/>
  <c r="W43" i="2"/>
  <c r="X43" i="2" s="1"/>
  <c r="AA31" i="2"/>
  <c r="AB31" i="2" s="1"/>
  <c r="AA8" i="2"/>
  <c r="AB8" i="2" s="1"/>
  <c r="AA56" i="2"/>
  <c r="AB56" i="2" s="1"/>
  <c r="W40" i="2"/>
  <c r="X40" i="2" s="1"/>
  <c r="W24" i="2"/>
  <c r="X24" i="2" s="1"/>
  <c r="AA10" i="2"/>
  <c r="AB10" i="2" s="1"/>
  <c r="AA24" i="2"/>
  <c r="AB24" i="2" s="1"/>
  <c r="W29" i="2"/>
  <c r="X29" i="2" s="1"/>
  <c r="AA32" i="2"/>
  <c r="AB32" i="2" s="1"/>
  <c r="AA37" i="2"/>
  <c r="AB37" i="2" s="1"/>
  <c r="W49" i="2"/>
  <c r="X49" i="2" s="1"/>
  <c r="AA51" i="2"/>
  <c r="AB51" i="2" s="1"/>
  <c r="W57" i="2"/>
  <c r="X57" i="2" s="1"/>
  <c r="AA18" i="2"/>
  <c r="AB18" i="2" s="1"/>
  <c r="W22" i="2"/>
  <c r="X22" i="2" s="1"/>
  <c r="AA25" i="2"/>
  <c r="AB25" i="2" s="1"/>
  <c r="AA26" i="2"/>
  <c r="AB26" i="2" s="1"/>
  <c r="W31" i="2"/>
  <c r="X31" i="2" s="1"/>
  <c r="AA33" i="2"/>
  <c r="AB33" i="2" s="1"/>
  <c r="AA39" i="2"/>
  <c r="AB39" i="2" s="1"/>
  <c r="W45" i="2"/>
  <c r="X45" i="2" s="1"/>
  <c r="W55" i="2"/>
  <c r="X55" i="2" s="1"/>
  <c r="W48" i="2"/>
  <c r="X48" i="2" s="1"/>
  <c r="W37" i="2"/>
  <c r="X37" i="2" s="1"/>
  <c r="W33" i="2"/>
  <c r="X33" i="2" s="1"/>
  <c r="AA20" i="2"/>
  <c r="AB20" i="2" s="1"/>
  <c r="W15" i="2"/>
  <c r="X15" i="2" s="1"/>
  <c r="W11" i="2"/>
  <c r="X11" i="2" s="1"/>
  <c r="AA49" i="2"/>
  <c r="AB49" i="2" s="1"/>
  <c r="W34" i="2"/>
  <c r="X34" i="2" s="1"/>
  <c r="AA9" i="2"/>
  <c r="AB9" i="2" s="1"/>
  <c r="W56" i="2"/>
  <c r="X56" i="2" s="1"/>
  <c r="W42" i="2"/>
  <c r="X42" i="2" s="1"/>
  <c r="W26" i="2"/>
  <c r="X26" i="2" s="1"/>
  <c r="W12" i="2"/>
  <c r="X12" i="2" s="1"/>
  <c r="AA23" i="2"/>
  <c r="AB23" i="2" s="1"/>
  <c r="AA43" i="2"/>
  <c r="AB43" i="2" s="1"/>
  <c r="AA53" i="2"/>
  <c r="AB53" i="2" s="1"/>
  <c r="W53" i="2"/>
  <c r="X53" i="2" s="1"/>
  <c r="AA36" i="2"/>
  <c r="AB36" i="2" s="1"/>
  <c r="W19" i="2"/>
  <c r="X19" i="2" s="1"/>
  <c r="W10" i="2"/>
  <c r="X10" i="2" s="1"/>
  <c r="AA48" i="2"/>
  <c r="AB48" i="2" s="1"/>
  <c r="AA15" i="2"/>
  <c r="AB15" i="2" s="1"/>
  <c r="W7" i="2"/>
  <c r="X7" i="2" s="1"/>
  <c r="AA50" i="2"/>
  <c r="AB50" i="2" s="1"/>
  <c r="W36" i="2"/>
  <c r="X36" i="2" s="1"/>
  <c r="W18" i="2"/>
  <c r="X18" i="2" s="1"/>
  <c r="AA7" i="2"/>
  <c r="AB7" i="2" s="1"/>
  <c r="AA13" i="2"/>
  <c r="AB13" i="2" s="1"/>
  <c r="AA34" i="2"/>
  <c r="AB34" i="2" s="1"/>
  <c r="W52" i="2"/>
  <c r="X52" i="2" s="1"/>
  <c r="W9" i="2"/>
  <c r="X9" i="2" s="1"/>
  <c r="W4" i="2"/>
  <c r="X4" i="2" s="1"/>
  <c r="W61" i="2"/>
  <c r="X61" i="2" s="1"/>
  <c r="AA47" i="2"/>
  <c r="AB47" i="2" s="1"/>
  <c r="W35" i="2"/>
  <c r="X35" i="2" s="1"/>
  <c r="AA30" i="2"/>
  <c r="AB30" i="2" s="1"/>
  <c r="AA12" i="2"/>
  <c r="AB12" i="2" s="1"/>
  <c r="AA57" i="2"/>
  <c r="AB57" i="2" s="1"/>
  <c r="W41" i="2"/>
  <c r="X41" i="2" s="1"/>
  <c r="AA16" i="2"/>
  <c r="AB16" i="2" s="1"/>
  <c r="AA41" i="2"/>
  <c r="AB41" i="2" s="1"/>
  <c r="AA59" i="2"/>
  <c r="AB59" i="2" s="1"/>
  <c r="W17" i="2"/>
  <c r="X17" i="2" s="1"/>
  <c r="W14" i="2"/>
  <c r="X14" i="2" s="1"/>
  <c r="I29" i="3" l="1"/>
  <c r="I82" i="3"/>
  <c r="C12" i="6" s="1"/>
  <c r="C14" i="6" s="1"/>
  <c r="D29" i="3"/>
  <c r="D24" i="3"/>
  <c r="B17" i="2"/>
  <c r="R9" i="2" s="1"/>
  <c r="S9" i="2" s="1"/>
  <c r="T9" i="2" s="1"/>
  <c r="I75" i="3"/>
  <c r="C7" i="6" s="1"/>
  <c r="C9" i="6" s="1"/>
  <c r="O82" i="3"/>
  <c r="O75" i="3"/>
  <c r="K29" i="3"/>
  <c r="C24" i="3"/>
  <c r="M22" i="3"/>
  <c r="M23" i="3"/>
  <c r="C29" i="3"/>
  <c r="M29" i="3" s="1"/>
  <c r="M27" i="3"/>
  <c r="K24" i="3"/>
  <c r="M28" i="3"/>
  <c r="B20" i="2"/>
  <c r="B27" i="2"/>
  <c r="B29" i="2"/>
  <c r="B26" i="2"/>
  <c r="M47" i="2" l="1"/>
  <c r="N47" i="2" s="1"/>
  <c r="O47" i="2" s="1"/>
  <c r="M39" i="2"/>
  <c r="N39" i="2" s="1"/>
  <c r="O39" i="2" s="1"/>
  <c r="R14" i="2"/>
  <c r="S14" i="2" s="1"/>
  <c r="T14" i="2" s="1"/>
  <c r="R55" i="2"/>
  <c r="S55" i="2" s="1"/>
  <c r="T55" i="2" s="1"/>
  <c r="M61" i="2"/>
  <c r="N61" i="2" s="1"/>
  <c r="O61" i="2" s="1"/>
  <c r="M13" i="2"/>
  <c r="N13" i="2" s="1"/>
  <c r="O13" i="2" s="1"/>
  <c r="R61" i="2"/>
  <c r="S61" i="2" s="1"/>
  <c r="T61" i="2" s="1"/>
  <c r="R53" i="2"/>
  <c r="S53" i="2" s="1"/>
  <c r="T53" i="2" s="1"/>
  <c r="M20" i="2"/>
  <c r="N20" i="2" s="1"/>
  <c r="O20" i="2" s="1"/>
  <c r="R30" i="2"/>
  <c r="S30" i="2" s="1"/>
  <c r="T30" i="2" s="1"/>
  <c r="R11" i="2"/>
  <c r="S11" i="2" s="1"/>
  <c r="T11" i="2" s="1"/>
  <c r="R39" i="2"/>
  <c r="S39" i="2" s="1"/>
  <c r="T39" i="2" s="1"/>
  <c r="R57" i="2"/>
  <c r="S57" i="2" s="1"/>
  <c r="T57" i="2" s="1"/>
  <c r="R24" i="2"/>
  <c r="S24" i="2" s="1"/>
  <c r="T24" i="2" s="1"/>
  <c r="M56" i="2"/>
  <c r="N56" i="2" s="1"/>
  <c r="O56" i="2" s="1"/>
  <c r="M52" i="2"/>
  <c r="N52" i="2" s="1"/>
  <c r="O52" i="2" s="1"/>
  <c r="M44" i="2"/>
  <c r="N44" i="2" s="1"/>
  <c r="O44" i="2" s="1"/>
  <c r="R3" i="2"/>
  <c r="S3" i="2" s="1"/>
  <c r="T3" i="2" s="1"/>
  <c r="R49" i="2"/>
  <c r="S49" i="2" s="1"/>
  <c r="T49" i="2" s="1"/>
  <c r="M26" i="2"/>
  <c r="N26" i="2" s="1"/>
  <c r="O26" i="2" s="1"/>
  <c r="M46" i="2"/>
  <c r="N46" i="2" s="1"/>
  <c r="O46" i="2" s="1"/>
  <c r="M62" i="2"/>
  <c r="N62" i="2" s="1"/>
  <c r="O62" i="2" s="1"/>
  <c r="R59" i="2"/>
  <c r="S59" i="2" s="1"/>
  <c r="T59" i="2" s="1"/>
  <c r="M25" i="2"/>
  <c r="N25" i="2" s="1"/>
  <c r="O25" i="2" s="1"/>
  <c r="R33" i="2"/>
  <c r="S33" i="2" s="1"/>
  <c r="T33" i="2" s="1"/>
  <c r="M57" i="2"/>
  <c r="N57" i="2" s="1"/>
  <c r="O57" i="2" s="1"/>
  <c r="M17" i="2"/>
  <c r="N17" i="2" s="1"/>
  <c r="O17" i="2" s="1"/>
  <c r="R43" i="2"/>
  <c r="S43" i="2" s="1"/>
  <c r="T43" i="2" s="1"/>
  <c r="M23" i="2"/>
  <c r="N23" i="2" s="1"/>
  <c r="O23" i="2" s="1"/>
  <c r="R42" i="2"/>
  <c r="S42" i="2" s="1"/>
  <c r="T42" i="2" s="1"/>
  <c r="R38" i="2"/>
  <c r="S38" i="2" s="1"/>
  <c r="T38" i="2" s="1"/>
  <c r="R28" i="2"/>
  <c r="S28" i="2" s="1"/>
  <c r="T28" i="2" s="1"/>
  <c r="M31" i="2"/>
  <c r="N31" i="2" s="1"/>
  <c r="O31" i="2" s="1"/>
  <c r="R51" i="2"/>
  <c r="S51" i="2" s="1"/>
  <c r="T51" i="2" s="1"/>
  <c r="R41" i="2"/>
  <c r="S41" i="2" s="1"/>
  <c r="T41" i="2" s="1"/>
  <c r="M8" i="2"/>
  <c r="N8" i="2" s="1"/>
  <c r="O8" i="2" s="1"/>
  <c r="R16" i="2"/>
  <c r="S16" i="2" s="1"/>
  <c r="T16" i="2" s="1"/>
  <c r="R8" i="2"/>
  <c r="S8" i="2" s="1"/>
  <c r="T8" i="2" s="1"/>
  <c r="R25" i="2"/>
  <c r="S25" i="2" s="1"/>
  <c r="T25" i="2" s="1"/>
  <c r="R15" i="2"/>
  <c r="S15" i="2" s="1"/>
  <c r="T15" i="2" s="1"/>
  <c r="M60" i="2"/>
  <c r="N60" i="2" s="1"/>
  <c r="O60" i="2" s="1"/>
  <c r="M51" i="2"/>
  <c r="N51" i="2" s="1"/>
  <c r="O51" i="2" s="1"/>
  <c r="M30" i="2"/>
  <c r="N30" i="2" s="1"/>
  <c r="O30" i="2" s="1"/>
  <c r="M7" i="2"/>
  <c r="N7" i="2" s="1"/>
  <c r="O7" i="2" s="1"/>
  <c r="M38" i="2"/>
  <c r="N38" i="2" s="1"/>
  <c r="O38" i="2" s="1"/>
  <c r="R50" i="2"/>
  <c r="S50" i="2" s="1"/>
  <c r="T50" i="2" s="1"/>
  <c r="M18" i="2"/>
  <c r="N18" i="2" s="1"/>
  <c r="O18" i="2" s="1"/>
  <c r="M21" i="2"/>
  <c r="N21" i="2" s="1"/>
  <c r="O21" i="2" s="1"/>
  <c r="M43" i="2"/>
  <c r="N43" i="2" s="1"/>
  <c r="O43" i="2" s="1"/>
  <c r="M49" i="2"/>
  <c r="N49" i="2" s="1"/>
  <c r="O49" i="2" s="1"/>
  <c r="M33" i="2"/>
  <c r="N33" i="2" s="1"/>
  <c r="O33" i="2" s="1"/>
  <c r="R10" i="2"/>
  <c r="S10" i="2" s="1"/>
  <c r="T10" i="2" s="1"/>
  <c r="M50" i="2"/>
  <c r="N50" i="2" s="1"/>
  <c r="O50" i="2" s="1"/>
  <c r="R34" i="2"/>
  <c r="S34" i="2" s="1"/>
  <c r="T34" i="2" s="1"/>
  <c r="R52" i="2"/>
  <c r="S52" i="2" s="1"/>
  <c r="T52" i="2" s="1"/>
  <c r="M36" i="2"/>
  <c r="N36" i="2" s="1"/>
  <c r="O36" i="2" s="1"/>
  <c r="R17" i="2"/>
  <c r="S17" i="2" s="1"/>
  <c r="T17" i="2" s="1"/>
  <c r="R31" i="2"/>
  <c r="S31" i="2" s="1"/>
  <c r="T31" i="2" s="1"/>
  <c r="R18" i="2"/>
  <c r="S18" i="2" s="1"/>
  <c r="T18" i="2" s="1"/>
  <c r="R7" i="2"/>
  <c r="S7" i="2" s="1"/>
  <c r="T7" i="2" s="1"/>
  <c r="M42" i="2"/>
  <c r="N42" i="2" s="1"/>
  <c r="O42" i="2" s="1"/>
  <c r="R27" i="2"/>
  <c r="S27" i="2" s="1"/>
  <c r="T27" i="2" s="1"/>
  <c r="R13" i="2"/>
  <c r="S13" i="2" s="1"/>
  <c r="T13" i="2" s="1"/>
  <c r="R37" i="2"/>
  <c r="S37" i="2" s="1"/>
  <c r="T37" i="2" s="1"/>
  <c r="M54" i="2"/>
  <c r="N54" i="2" s="1"/>
  <c r="O54" i="2" s="1"/>
  <c r="R22" i="2"/>
  <c r="S22" i="2" s="1"/>
  <c r="T22" i="2" s="1"/>
  <c r="M4" i="2"/>
  <c r="N4" i="2" s="1"/>
  <c r="O4" i="2" s="1"/>
  <c r="R62" i="2"/>
  <c r="S62" i="2" s="1"/>
  <c r="T62" i="2" s="1"/>
  <c r="R23" i="2"/>
  <c r="S23" i="2" s="1"/>
  <c r="T23" i="2" s="1"/>
  <c r="M41" i="2"/>
  <c r="N41" i="2" s="1"/>
  <c r="O41" i="2" s="1"/>
  <c r="R56" i="2"/>
  <c r="S56" i="2" s="1"/>
  <c r="T56" i="2" s="1"/>
  <c r="M29" i="2"/>
  <c r="N29" i="2" s="1"/>
  <c r="O29" i="2" s="1"/>
  <c r="R47" i="2"/>
  <c r="S47" i="2" s="1"/>
  <c r="T47" i="2" s="1"/>
  <c r="R35" i="2"/>
  <c r="S35" i="2" s="1"/>
  <c r="T35" i="2" s="1"/>
  <c r="M24" i="2"/>
  <c r="N24" i="2" s="1"/>
  <c r="O24" i="2" s="1"/>
  <c r="R4" i="2"/>
  <c r="S4" i="2" s="1"/>
  <c r="T4" i="2" s="1"/>
  <c r="R46" i="2"/>
  <c r="S46" i="2" s="1"/>
  <c r="T46" i="2" s="1"/>
  <c r="R36" i="2"/>
  <c r="S36" i="2" s="1"/>
  <c r="T36" i="2" s="1"/>
  <c r="M14" i="2"/>
  <c r="N14" i="2" s="1"/>
  <c r="O14" i="2" s="1"/>
  <c r="R54" i="2"/>
  <c r="S54" i="2" s="1"/>
  <c r="T54" i="2" s="1"/>
  <c r="R44" i="2"/>
  <c r="S44" i="2" s="1"/>
  <c r="T44" i="2" s="1"/>
  <c r="M32" i="2"/>
  <c r="N32" i="2" s="1"/>
  <c r="O32" i="2" s="1"/>
  <c r="M19" i="2"/>
  <c r="N19" i="2" s="1"/>
  <c r="O19" i="2" s="1"/>
  <c r="R12" i="2"/>
  <c r="S12" i="2" s="1"/>
  <c r="T12" i="2" s="1"/>
  <c r="R6" i="2"/>
  <c r="S6" i="2" s="1"/>
  <c r="T6" i="2" s="1"/>
  <c r="M59" i="2"/>
  <c r="N59" i="2" s="1"/>
  <c r="O59" i="2" s="1"/>
  <c r="M22" i="2"/>
  <c r="N22" i="2" s="1"/>
  <c r="O22" i="2" s="1"/>
  <c r="M55" i="2"/>
  <c r="N55" i="2" s="1"/>
  <c r="O55" i="2" s="1"/>
  <c r="R26" i="2"/>
  <c r="S26" i="2" s="1"/>
  <c r="T26" i="2" s="1"/>
  <c r="R5" i="2"/>
  <c r="S5" i="2" s="1"/>
  <c r="T5" i="2" s="1"/>
  <c r="R58" i="2"/>
  <c r="S58" i="2" s="1"/>
  <c r="T58" i="2" s="1"/>
  <c r="M12" i="2"/>
  <c r="N12" i="2" s="1"/>
  <c r="O12" i="2" s="1"/>
  <c r="R45" i="2"/>
  <c r="S45" i="2" s="1"/>
  <c r="T45" i="2" s="1"/>
  <c r="R60" i="2"/>
  <c r="S60" i="2" s="1"/>
  <c r="T60" i="2" s="1"/>
  <c r="M27" i="2"/>
  <c r="N27" i="2" s="1"/>
  <c r="O27" i="2" s="1"/>
  <c r="M58" i="2"/>
  <c r="N58" i="2" s="1"/>
  <c r="O58" i="2" s="1"/>
  <c r="M35" i="2"/>
  <c r="N35" i="2" s="1"/>
  <c r="O35" i="2" s="1"/>
  <c r="M53" i="2"/>
  <c r="N53" i="2" s="1"/>
  <c r="O53" i="2" s="1"/>
  <c r="M45" i="2"/>
  <c r="N45" i="2" s="1"/>
  <c r="O45" i="2" s="1"/>
  <c r="M37" i="2"/>
  <c r="N37" i="2" s="1"/>
  <c r="O37" i="2" s="1"/>
  <c r="M28" i="2"/>
  <c r="N28" i="2" s="1"/>
  <c r="O28" i="2" s="1"/>
  <c r="M11" i="2"/>
  <c r="N11" i="2" s="1"/>
  <c r="O11" i="2" s="1"/>
  <c r="M3" i="2"/>
  <c r="N3" i="2" s="1"/>
  <c r="O3" i="2" s="1"/>
  <c r="M48" i="2"/>
  <c r="N48" i="2" s="1"/>
  <c r="O48" i="2" s="1"/>
  <c r="M40" i="2"/>
  <c r="N40" i="2" s="1"/>
  <c r="O40" i="2" s="1"/>
  <c r="R19" i="2"/>
  <c r="S19" i="2" s="1"/>
  <c r="T19" i="2" s="1"/>
  <c r="M9" i="2"/>
  <c r="N9" i="2" s="1"/>
  <c r="O9" i="2" s="1"/>
  <c r="M6" i="2"/>
  <c r="N6" i="2" s="1"/>
  <c r="O6" i="2" s="1"/>
  <c r="R48" i="2"/>
  <c r="S48" i="2" s="1"/>
  <c r="T48" i="2" s="1"/>
  <c r="R40" i="2"/>
  <c r="S40" i="2" s="1"/>
  <c r="T40" i="2" s="1"/>
  <c r="R32" i="2"/>
  <c r="S32" i="2" s="1"/>
  <c r="T32" i="2" s="1"/>
  <c r="R21" i="2"/>
  <c r="S21" i="2" s="1"/>
  <c r="T21" i="2" s="1"/>
  <c r="M15" i="2"/>
  <c r="N15" i="2" s="1"/>
  <c r="O15" i="2" s="1"/>
  <c r="M5" i="2"/>
  <c r="N5" i="2" s="1"/>
  <c r="O5" i="2" s="1"/>
  <c r="M34" i="2"/>
  <c r="N34" i="2" s="1"/>
  <c r="O34" i="2" s="1"/>
  <c r="R29" i="2"/>
  <c r="S29" i="2" s="1"/>
  <c r="T29" i="2" s="1"/>
  <c r="R20" i="2"/>
  <c r="S20" i="2" s="1"/>
  <c r="T20" i="2" s="1"/>
  <c r="M16" i="2"/>
  <c r="N16" i="2" s="1"/>
  <c r="O16" i="2" s="1"/>
  <c r="M10" i="2"/>
  <c r="N10" i="2" s="1"/>
  <c r="O10" i="2" s="1"/>
  <c r="M24" i="3"/>
  <c r="M31" i="3" s="1"/>
  <c r="O23" i="4"/>
  <c r="E20" i="1" s="1"/>
  <c r="M46" i="3"/>
  <c r="E19" i="1" s="1"/>
  <c r="C16" i="6"/>
  <c r="E26" i="1" s="1"/>
  <c r="L68" i="4"/>
  <c r="E16" i="1" s="1"/>
  <c r="F48" i="4"/>
  <c r="E22" i="1" s="1"/>
  <c r="B19" i="2" l="1"/>
  <c r="C38" i="4" s="1"/>
  <c r="E21" i="1" s="1"/>
  <c r="C40" i="5" l="1"/>
  <c r="E23" i="1" s="1"/>
  <c r="M18" i="3"/>
  <c r="E17" i="1" s="1"/>
  <c r="D40" i="5"/>
  <c r="E24" i="1" s="1"/>
  <c r="E40" i="5"/>
  <c r="E25" i="1" s="1"/>
  <c r="F40" i="5"/>
  <c r="E29" i="1" l="1"/>
  <c r="E6" i="1" s="1"/>
  <c r="E12" i="1"/>
  <c r="E9" i="1" l="1"/>
</calcChain>
</file>

<file path=xl/sharedStrings.xml><?xml version="1.0" encoding="utf-8"?>
<sst xmlns="http://schemas.openxmlformats.org/spreadsheetml/2006/main" count="1043" uniqueCount="198">
  <si>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</si>
  <si>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</si>
  <si>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</si>
  <si>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</si>
  <si>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</si>
  <si>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Hyodyt</t>
  </si>
  <si>
    <t>Kustannukset</t>
  </si>
  <si>
    <t>M€</t>
  </si>
  <si>
    <t>Vaikutukset vaylanpidon kustannuksiin</t>
  </si>
  <si>
    <t>Investointikustannukset</t>
  </si>
  <si>
    <t>Kayttajahyodyt (ajoneuvo- ja aikakustannukset)</t>
  </si>
  <si>
    <t>Summa</t>
  </si>
  <si>
    <t>Kayttajahyodyt (lippumenot)</t>
  </si>
  <si>
    <t>Käyttäjähyödyt (verot ja maksut)</t>
  </si>
  <si>
    <t>Tuottajan ylijäämän muutos (liikennöintikustannus)</t>
  </si>
  <si>
    <t>Tuottajan ylijäämän muutos (verot ja maksut)</t>
  </si>
  <si>
    <t>Tuottajan ylijäämän muutos (tulot liikennepalveluista)</t>
  </si>
  <si>
    <t>Turvallisuusvaikutukset</t>
  </si>
  <si>
    <t>Ympäristövaikutukset (päästökustannukset)</t>
  </si>
  <si>
    <t>Ympäristövaikutukset (melukustannukset)</t>
  </si>
  <si>
    <t>Vaikutukset julkistalouteen (vero-, maksu- ja muut tulot)</t>
  </si>
  <si>
    <t>Vaikutukset julkistalouteen (tuet, ostot ja muut menot)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</si>
  <si>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</si>
  <si>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</si>
  <si>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</si>
  <si>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</si>
  <si>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</si>
  <si>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</si>
  <si>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</si>
  <si>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</si>
  <si>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</si>
  <si>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</si>
  <si>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</si>
  <si>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</si>
  <si>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</si>
  <si>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</si>
  <si>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</si>
  <si>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</si>
  <si>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</si>
  <si>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</si>
  <si>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</si>
  <si>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</si>
  <si>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</si>
  <si>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</si>
  <si>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</si>
  <si>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</si>
  <si>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</si>
  <si>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</si>
  <si>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</si>
  <si>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</si>
  <si>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</si>
  <si>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</si>
  <si>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</si>
  <si>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</si>
  <si>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</si>
  <si>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</si>
  <si>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Lähde: Liikennevirasto yksikköarvot</t>
  </si>
  <si>
    <t>Henkilöauto</t>
  </si>
  <si>
    <t>Joukkoliikenne</t>
  </si>
  <si>
    <t>Ajoneuvo- ja aikakustannukset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</si>
  <si>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</si>
  <si>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</si>
  <si>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</si>
  <si>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</si>
  <si>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</si>
  <si>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</si>
  <si>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</si>
  <si>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</si>
  <si>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</si>
  <si>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</si>
  <si>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</si>
  <si>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</si>
  <si>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</si>
  <si>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</si>
  <si>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</si>
  <si>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</si>
  <si>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</si>
  <si>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</si>
  <si>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</si>
  <si>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</si>
  <si>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</si>
  <si>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</si>
  <si>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</si>
  <si>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</si>
  <si>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</si>
  <si>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</si>
  <si>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</si>
  <si>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</si>
  <si>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</si>
  <si>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</si>
  <si>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</si>
  <si>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</si>
  <si>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</si>
  <si>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</si>
  <si>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</si>
  <si>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</si>
  <si>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</si>
  <si>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</si>
  <si>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</si>
  <si>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</si>
  <si>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</si>
  <si>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</si>
  <si>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</si>
  <si>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</si>
  <si>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</si>
  <si>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</si>
  <si>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</si>
  <si>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</si>
  <si>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</si>
  <si>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Tie</t>
  </si>
  <si>
    <t>Tie, ha</t>
  </si>
  <si>
    <t>Ylläpitokustannukset</t>
  </si>
  <si>
    <t>Ratikka 2015</t>
  </si>
  <si>
    <t>Metro 2015</t>
  </si>
  <si>
    <t>Infrakulut</t>
  </si>
  <si>
    <t>suorite</t>
  </si>
  <si>
    <t xml:space="preserve">Kilometrikustannus </t>
  </si>
  <si>
    <t>Metroaseman ylläpitokustannus M€</t>
  </si>
  <si>
    <t>v. 2013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</si>
  <si>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</si>
  <si>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</si>
  <si>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</si>
  <si>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</si>
  <si>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</si>
  <si>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</si>
  <si>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</si>
  <si>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</si>
  <si>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</si>
  <si>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</si>
  <si>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</si>
  <si>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</si>
  <si>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</si>
  <si>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</si>
  <si>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Tehtävä selvitys yksikköarvojen määrittämiseksi LIVI:n yksikköarvoraportin pohjalta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</si>
  <si>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</si>
  <si>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</si>
  <si>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</si>
  <si>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</si>
  <si>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</si>
  <si>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</si>
  <si>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</si>
  <si>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</si>
  <si>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</si>
  <si>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</si>
  <si>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</si>
  <si>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</si>
  <si>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</si>
  <si>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</si>
  <si>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</si>
  <si>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</si>
  <si>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</si>
  <si>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</si>
  <si>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</si>
  <si>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</si>
  <si>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</si>
  <si>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</si>
  <si>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</si>
  <si>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</si>
  <si>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</si>
  <si>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</si>
  <si>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</si>
  <si>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</si>
  <si>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</si>
  <si>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Espoon kaupunkirata</t>
  </si>
  <si>
    <t>Pasila-Riihimäki parantaminen osa 2</t>
  </si>
  <si>
    <t>Pikaratikat vaihe 1 (Malmi, Vihdintie, Tuusulanväylä)</t>
  </si>
  <si>
    <t>Uudet runkolinjat (bussit+ratikka) vol 2.</t>
  </si>
  <si>
    <t>Uudet runkomaiset bussiyhteydet KUUMA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</si>
  <si>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</si>
  <si>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</si>
  <si>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</si>
  <si>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</si>
  <si>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</si>
  <si>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</si>
  <si>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</si>
  <si>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</si>
  <si>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</si>
  <si>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</si>
  <si>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</si>
  <si>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</si>
  <si>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</si>
  <si>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</si>
  <si>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</si>
  <si>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</si>
  <si>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</si>
  <si>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</si>
  <si>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</si>
  <si>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</si>
  <si>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</si>
  <si>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</si>
  <si>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Työajan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</si>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</sst>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\ %"/>
    <numFmt numFmtId="165" formatCode="0.000\ %"/>
    <numFmt numFmtId="166" formatCode="0.000"/>
    <numFmt numFmtId="167" formatCode="0.0000"/>
    <numFmt numFmtId="168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6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2" xfId="0" applyBorder="1"/>
    <xf numFmtId="9" fontId="0" fillId="0" borderId="0" xfId="0" applyNumberFormat="1"/>
    <xf numFmtId="1" fontId="0" fillId="0" borderId="1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2" xfId="0" applyNumberFormat="1" applyBorder="1"/>
    <xf numFmtId="1" fontId="0" fillId="0" borderId="10" xfId="0" applyNumberFormat="1" applyBorder="1"/>
    <xf numFmtId="1" fontId="0" fillId="0" borderId="3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3" fillId="0" borderId="0" xfId="0" applyFont="1"/>
    <xf numFmtId="166" fontId="0" fillId="0" borderId="0" xfId="0" applyNumberFormat="1"/>
    <xf numFmtId="0" fontId="4" fillId="0" borderId="0" xfId="1"/>
    <xf numFmtId="0" fontId="0" fillId="0" borderId="23" xfId="0" applyBorder="1"/>
    <xf numFmtId="0" fontId="0" fillId="0" borderId="24" xfId="0" applyBorder="1"/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/>
    <xf numFmtId="0" fontId="0" fillId="0" borderId="28" xfId="0" applyBorder="1"/>
    <xf numFmtId="0" fontId="0" fillId="0" borderId="30" xfId="0" applyBorder="1"/>
    <xf numFmtId="0" fontId="0" fillId="0" borderId="15" xfId="0" applyBorder="1" applyAlignment="1">
      <alignment horizontal="center"/>
    </xf>
    <xf numFmtId="0" fontId="0" fillId="0" borderId="26" xfId="0" applyBorder="1"/>
    <xf numFmtId="0" fontId="1" fillId="0" borderId="13" xfId="0" applyFont="1" applyBorder="1"/>
    <xf numFmtId="0" fontId="0" fillId="0" borderId="31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2" xfId="0" applyBorder="1"/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6" xfId="0" applyBorder="1"/>
    <xf numFmtId="0" fontId="0" fillId="0" borderId="25" xfId="0" applyBorder="1"/>
    <xf numFmtId="0" fontId="0" fillId="0" borderId="37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22" xfId="0" applyBorder="1"/>
    <xf numFmtId="0" fontId="1" fillId="0" borderId="38" xfId="0" applyFont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0" borderId="42" xfId="0" applyFont="1" applyBorder="1"/>
    <xf numFmtId="0" fontId="0" fillId="0" borderId="35" xfId="0" applyBorder="1"/>
    <xf numFmtId="0" fontId="0" fillId="0" borderId="44" xfId="0" applyBorder="1"/>
    <xf numFmtId="0" fontId="0" fillId="0" borderId="45" xfId="0" applyBorder="1"/>
    <xf numFmtId="168" fontId="0" fillId="0" borderId="0" xfId="0" applyNumberFormat="1"/>
    <xf numFmtId="1" fontId="0" fillId="0" borderId="7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38" xfId="0" applyBorder="1"/>
    <xf numFmtId="3" fontId="0" fillId="0" borderId="18" xfId="0" applyNumberFormat="1" applyBorder="1"/>
    <xf numFmtId="3" fontId="0" fillId="0" borderId="43" xfId="0" applyNumberFormat="1" applyBorder="1"/>
    <xf numFmtId="3" fontId="0" fillId="0" borderId="20" xfId="0" applyNumberFormat="1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7" xfId="0" applyNumberFormat="1" applyBorder="1"/>
    <xf numFmtId="0" fontId="0" fillId="0" borderId="50" xfId="0" applyBorder="1"/>
    <xf numFmtId="1" fontId="0" fillId="0" borderId="52" xfId="0" applyNumberFormat="1" applyBorder="1"/>
    <xf numFmtId="0" fontId="0" fillId="0" borderId="57" xfId="0" applyBorder="1"/>
    <xf numFmtId="1" fontId="0" fillId="0" borderId="18" xfId="0" applyNumberFormat="1" applyBorder="1"/>
    <xf numFmtId="1" fontId="0" fillId="0" borderId="19" xfId="0" applyNumberFormat="1" applyBorder="1"/>
    <xf numFmtId="1" fontId="0" fillId="0" borderId="21" xfId="0" applyNumberFormat="1" applyBorder="1"/>
    <xf numFmtId="0" fontId="1" fillId="0" borderId="45" xfId="0" applyFont="1" applyBorder="1"/>
    <xf numFmtId="0" fontId="1" fillId="0" borderId="23" xfId="0" applyFont="1" applyBorder="1"/>
    <xf numFmtId="0" fontId="0" fillId="0" borderId="51" xfId="0" applyBorder="1"/>
    <xf numFmtId="2" fontId="0" fillId="0" borderId="7" xfId="0" applyNumberFormat="1" applyBorder="1"/>
    <xf numFmtId="0" fontId="0" fillId="0" borderId="59" xfId="0" applyBorder="1"/>
    <xf numFmtId="3" fontId="0" fillId="0" borderId="54" xfId="0" applyNumberFormat="1" applyBorder="1"/>
    <xf numFmtId="0" fontId="0" fillId="0" borderId="24" xfId="0" applyBorder="1" applyAlignment="1">
      <alignment horizontal="center"/>
    </xf>
    <xf numFmtId="0" fontId="0" fillId="0" borderId="52" xfId="0" applyBorder="1"/>
    <xf numFmtId="0" fontId="0" fillId="0" borderId="62" xfId="0" applyBorder="1"/>
    <xf numFmtId="3" fontId="0" fillId="0" borderId="57" xfId="0" applyNumberFormat="1" applyBorder="1"/>
    <xf numFmtId="0" fontId="0" fillId="0" borderId="64" xfId="0" applyBorder="1"/>
    <xf numFmtId="3" fontId="0" fillId="0" borderId="63" xfId="0" applyNumberFormat="1" applyBorder="1"/>
    <xf numFmtId="3" fontId="0" fillId="0" borderId="13" xfId="0" applyNumberFormat="1" applyBorder="1"/>
    <xf numFmtId="1" fontId="0" fillId="0" borderId="53" xfId="0" applyNumberFormat="1" applyBorder="1"/>
    <xf numFmtId="1" fontId="0" fillId="0" borderId="65" xfId="0" applyNumberFormat="1" applyBorder="1"/>
    <xf numFmtId="2" fontId="7" fillId="0" borderId="1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16" xfId="0" applyFont="1" applyBorder="1"/>
    <xf numFmtId="1" fontId="0" fillId="0" borderId="63" xfId="0" applyNumberFormat="1" applyBorder="1"/>
    <xf numFmtId="0" fontId="0" fillId="0" borderId="13" xfId="0" applyBorder="1"/>
    <xf numFmtId="0" fontId="9" fillId="0" borderId="0" xfId="0" applyFont="1"/>
    <xf numFmtId="0" fontId="0" fillId="0" borderId="66" xfId="0" applyBorder="1"/>
    <xf numFmtId="0" fontId="0" fillId="0" borderId="67" xfId="0" applyBorder="1"/>
    <xf numFmtId="0" fontId="0" fillId="0" borderId="68" xfId="0" applyBorder="1"/>
    <xf numFmtId="3" fontId="0" fillId="0" borderId="0" xfId="0" applyNumberFormat="1"/>
    <xf numFmtId="3" fontId="0" fillId="0" borderId="19" xfId="0" applyNumberFormat="1" applyBorder="1"/>
    <xf numFmtId="1" fontId="0" fillId="0" borderId="60" xfId="0" applyNumberFormat="1" applyBorder="1"/>
    <xf numFmtId="1" fontId="0" fillId="0" borderId="0" xfId="0" applyNumberFormat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5" xfId="0" applyNumberFormat="1" applyBorder="1"/>
    <xf numFmtId="3" fontId="0" fillId="0" borderId="16" xfId="0" applyNumberFormat="1" applyBorder="1"/>
    <xf numFmtId="3" fontId="0" fillId="0" borderId="12" xfId="0" applyNumberFormat="1" applyBorder="1"/>
    <xf numFmtId="3" fontId="0" fillId="0" borderId="35" xfId="0" applyNumberFormat="1" applyBorder="1"/>
    <xf numFmtId="3" fontId="0" fillId="0" borderId="38" xfId="0" applyNumberFormat="1" applyBorder="1"/>
    <xf numFmtId="3" fontId="0" fillId="0" borderId="39" xfId="0" applyNumberFormat="1" applyBorder="1"/>
    <xf numFmtId="0" fontId="0" fillId="2" borderId="0" xfId="0" applyFill="1"/>
    <xf numFmtId="0" fontId="9" fillId="2" borderId="0" xfId="0" applyFont="1" applyFill="1"/>
    <xf numFmtId="3" fontId="0" fillId="5" borderId="7" xfId="0" applyNumberFormat="1" applyFill="1" applyBorder="1"/>
    <xf numFmtId="3" fontId="0" fillId="5" borderId="54" xfId="0" applyNumberFormat="1" applyFill="1" applyBorder="1"/>
    <xf numFmtId="3" fontId="1" fillId="5" borderId="21" xfId="0" applyNumberFormat="1" applyFont="1" applyFill="1" applyBorder="1"/>
    <xf numFmtId="3" fontId="1" fillId="5" borderId="57" xfId="0" applyNumberFormat="1" applyFont="1" applyFill="1" applyBorder="1"/>
    <xf numFmtId="3" fontId="0" fillId="5" borderId="38" xfId="0" applyNumberFormat="1" applyFill="1" applyBorder="1"/>
    <xf numFmtId="3" fontId="0" fillId="5" borderId="31" xfId="0" applyNumberFormat="1" applyFill="1" applyBorder="1"/>
    <xf numFmtId="3" fontId="0" fillId="5" borderId="57" xfId="0" applyNumberFormat="1" applyFill="1" applyBorder="1"/>
    <xf numFmtId="3" fontId="0" fillId="5" borderId="13" xfId="0" applyNumberFormat="1" applyFill="1" applyBorder="1"/>
    <xf numFmtId="0" fontId="0" fillId="5" borderId="54" xfId="0" applyFill="1" applyBorder="1"/>
    <xf numFmtId="0" fontId="0" fillId="0" borderId="65" xfId="0" applyBorder="1"/>
    <xf numFmtId="1" fontId="0" fillId="4" borderId="13" xfId="0" applyNumberFormat="1" applyFill="1" applyBorder="1"/>
    <xf numFmtId="0" fontId="11" fillId="0" borderId="0" xfId="0" applyFont="1"/>
    <xf numFmtId="3" fontId="0" fillId="0" borderId="53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3" xfId="0" applyNumberFormat="1" applyFont="1" applyFill="1" applyBorder="1"/>
    <xf numFmtId="0" fontId="13" fillId="0" borderId="13" xfId="0" applyFont="1" applyBorder="1"/>
    <xf numFmtId="0" fontId="13" fillId="0" borderId="0" xfId="0" applyFont="1"/>
    <xf numFmtId="3" fontId="12" fillId="3" borderId="38" xfId="0" applyNumberFormat="1" applyFont="1" applyFill="1" applyBorder="1"/>
    <xf numFmtId="3" fontId="12" fillId="3" borderId="39" xfId="0" applyNumberFormat="1" applyFont="1" applyFill="1" applyBorder="1"/>
    <xf numFmtId="3" fontId="12" fillId="3" borderId="57" xfId="0" applyNumberFormat="1" applyFont="1" applyFill="1" applyBorder="1"/>
    <xf numFmtId="3" fontId="13" fillId="3" borderId="57" xfId="0" applyNumberFormat="1" applyFont="1" applyFill="1" applyBorder="1"/>
    <xf numFmtId="0" fontId="13" fillId="3" borderId="13" xfId="0" applyFont="1" applyFill="1" applyBorder="1"/>
    <xf numFmtId="0" fontId="14" fillId="0" borderId="0" xfId="0" applyFont="1"/>
    <xf numFmtId="3" fontId="0" fillId="6" borderId="17" xfId="0" applyNumberFormat="1" applyFill="1" applyBorder="1"/>
    <xf numFmtId="3" fontId="0" fillId="6" borderId="7" xfId="0" applyNumberFormat="1" applyFill="1" applyBorder="1"/>
    <xf numFmtId="1" fontId="0" fillId="6" borderId="17" xfId="0" applyNumberFormat="1" applyFill="1" applyBorder="1"/>
    <xf numFmtId="1" fontId="0" fillId="6" borderId="7" xfId="0" applyNumberFormat="1" applyFill="1" applyBorder="1"/>
    <xf numFmtId="9" fontId="0" fillId="7" borderId="14" xfId="2" applyNumberFormat="1" applyFont="1" applyFill="1" applyBorder="1"/>
    <xf numFmtId="9" fontId="0" fillId="7" borderId="15" xfId="2" applyNumberFormat="1" applyFont="1" applyFill="1" applyBorder="1"/>
    <xf numFmtId="9" fontId="0" fillId="7" borderId="14" xfId="0" applyNumberFormat="1" applyFill="1" applyBorder="1"/>
    <xf numFmtId="9" fontId="0" fillId="7" borderId="15" xfId="0" applyNumberFormat="1" applyFill="1" applyBorder="1"/>
    <xf numFmtId="9" fontId="0" fillId="7" borderId="12" xfId="0" applyNumberFormat="1" applyFill="1" applyBorder="1"/>
    <xf numFmtId="9" fontId="0" fillId="7" borderId="6" xfId="0" applyNumberFormat="1" applyFill="1" applyBorder="1"/>
    <xf numFmtId="1" fontId="0" fillId="6" borderId="35" xfId="0" applyNumberFormat="1" applyFill="1" applyBorder="1"/>
    <xf numFmtId="1" fontId="0" fillId="0" borderId="43" xfId="0" applyNumberFormat="1" applyBorder="1"/>
    <xf numFmtId="1" fontId="0" fillId="0" borderId="20" xfId="0" applyNumberFormat="1" applyBorder="1"/>
    <xf numFmtId="0" fontId="0" fillId="0" borderId="69" xfId="0" applyBorder="1"/>
    <xf numFmtId="1" fontId="0" fillId="0" borderId="61" xfId="0" applyNumberFormat="1" applyBorder="1"/>
    <xf numFmtId="2" fontId="0" fillId="7" borderId="7" xfId="0" applyNumberFormat="1" applyFill="1" applyBorder="1"/>
    <xf numFmtId="2" fontId="0" fillId="7" borderId="60" xfId="0" applyNumberFormat="1" applyFill="1" applyBorder="1"/>
    <xf numFmtId="1" fontId="16" fillId="6" borderId="7" xfId="0" applyNumberFormat="1" applyFont="1" applyFill="1" applyBorder="1"/>
    <xf numFmtId="0" fontId="0" fillId="7" borderId="7" xfId="0" applyFill="1" applyBorder="1"/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7" fontId="0" fillId="0" borderId="18" xfId="0" applyNumberFormat="1" applyBorder="1"/>
    <xf numFmtId="167" fontId="0" fillId="0" borderId="21" xfId="0" applyNumberFormat="1" applyBorder="1"/>
    <xf numFmtId="167" fontId="0" fillId="0" borderId="22" xfId="0" applyNumberFormat="1" applyBorder="1"/>
    <xf numFmtId="167" fontId="0" fillId="0" borderId="12" xfId="0" applyNumberFormat="1" applyBorder="1"/>
    <xf numFmtId="167" fontId="0" fillId="0" borderId="35" xfId="0" applyNumberFormat="1" applyBorder="1"/>
    <xf numFmtId="167" fontId="0" fillId="0" borderId="43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43" xfId="0" applyNumberFormat="1" applyBorder="1"/>
    <xf numFmtId="2" fontId="0" fillId="7" borderId="12" xfId="0" applyNumberFormat="1" applyFill="1" applyBorder="1"/>
    <xf numFmtId="2" fontId="0" fillId="7" borderId="6" xfId="0" applyNumberFormat="1" applyFill="1" applyBorder="1"/>
    <xf numFmtId="2" fontId="0" fillId="7" borderId="22" xfId="0" applyNumberFormat="1" applyFill="1" applyBorder="1"/>
    <xf numFmtId="0" fontId="0" fillId="6" borderId="35" xfId="0" applyFill="1" applyBorder="1"/>
    <xf numFmtId="0" fontId="0" fillId="6" borderId="7" xfId="0" applyFill="1" applyBorder="1"/>
    <xf numFmtId="0" fontId="0" fillId="6" borderId="60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43" xfId="0" applyFill="1" applyBorder="1"/>
    <xf numFmtId="0" fontId="0" fillId="6" borderId="20" xfId="0" applyFill="1" applyBorder="1"/>
    <xf numFmtId="0" fontId="0" fillId="6" borderId="61" xfId="0" applyFill="1" applyBorder="1"/>
    <xf numFmtId="166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67" fontId="0" fillId="0" borderId="0" xfId="0" applyNumberFormat="1"/>
    <xf numFmtId="1" fontId="13" fillId="8" borderId="13" xfId="0" applyNumberFormat="1" applyFont="1" applyFill="1" applyBorder="1" applyAlignment="1">
      <alignment horizontal="center"/>
    </xf>
    <xf numFmtId="1" fontId="0" fillId="8" borderId="13" xfId="0" applyNumberFormat="1" applyFill="1" applyBorder="1"/>
    <xf numFmtId="0" fontId="0" fillId="7" borderId="70" xfId="0" applyFill="1" applyBorder="1"/>
    <xf numFmtId="2" fontId="0" fillId="7" borderId="71" xfId="0" applyNumberFormat="1" applyFill="1" applyBorder="1"/>
    <xf numFmtId="0" fontId="0" fillId="7" borderId="34" xfId="0" applyFill="1" applyBorder="1"/>
    <xf numFmtId="0" fontId="0" fillId="0" borderId="14" xfId="0" applyBorder="1"/>
    <xf numFmtId="0" fontId="0" fillId="0" borderId="9" xfId="0" applyBorder="1"/>
    <xf numFmtId="2" fontId="0" fillId="0" borderId="31" xfId="0" applyNumberFormat="1" applyBorder="1"/>
    <xf numFmtId="2" fontId="0" fillId="0" borderId="23" xfId="0" applyNumberFormat="1" applyBorder="1"/>
    <xf numFmtId="1" fontId="0" fillId="6" borderId="19" xfId="0" applyNumberFormat="1" applyFill="1" applyBorder="1"/>
    <xf numFmtId="1" fontId="0" fillId="6" borderId="20" xfId="0" applyNumberFormat="1" applyFill="1" applyBorder="1"/>
    <xf numFmtId="9" fontId="0" fillId="7" borderId="58" xfId="0" applyNumberFormat="1" applyFill="1" applyBorder="1"/>
    <xf numFmtId="0" fontId="0" fillId="0" borderId="42" xfId="0" applyBorder="1"/>
    <xf numFmtId="3" fontId="1" fillId="9" borderId="21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7" borderId="35" xfId="0" applyFill="1" applyBorder="1"/>
    <xf numFmtId="0" fontId="0" fillId="7" borderId="4" xfId="0" applyFill="1" applyBorder="1"/>
    <xf numFmtId="0" fontId="0" fillId="7" borderId="5" xfId="0" applyFill="1" applyBorder="1"/>
    <xf numFmtId="164" fontId="0" fillId="7" borderId="5" xfId="0" applyNumberFormat="1" applyFill="1" applyBorder="1"/>
    <xf numFmtId="165" fontId="0" fillId="7" borderId="6" xfId="0" applyNumberFormat="1" applyFill="1" applyBorder="1"/>
    <xf numFmtId="0" fontId="0" fillId="0" borderId="8" xfId="0" applyBorder="1"/>
    <xf numFmtId="3" fontId="0" fillId="0" borderId="16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9" borderId="12" xfId="0" applyFill="1" applyBorder="1"/>
    <xf numFmtId="0" fontId="0" fillId="9" borderId="6" xfId="0" applyFill="1" applyBorder="1"/>
    <xf numFmtId="1" fontId="0" fillId="9" borderId="3" xfId="0" applyNumberFormat="1" applyFill="1" applyBorder="1"/>
    <xf numFmtId="0" fontId="0" fillId="9" borderId="35" xfId="0" applyFill="1" applyBorder="1"/>
    <xf numFmtId="0" fontId="0" fillId="9" borderId="7" xfId="0" applyFill="1" applyBorder="1"/>
    <xf numFmtId="1" fontId="0" fillId="9" borderId="60" xfId="0" applyNumberFormat="1" applyFill="1" applyBorder="1"/>
    <xf numFmtId="0" fontId="0" fillId="9" borderId="60" xfId="0" applyFill="1" applyBorder="1"/>
    <xf numFmtId="1" fontId="7" fillId="0" borderId="13" xfId="0" applyNumberFormat="1" applyFont="1" applyBorder="1" applyAlignment="1">
      <alignment horizontal="center"/>
    </xf>
    <xf numFmtId="3" fontId="0" fillId="0" borderId="60" xfId="0" applyNumberFormat="1" applyBorder="1"/>
    <xf numFmtId="3" fontId="0" fillId="0" borderId="21" xfId="0" applyNumberFormat="1" applyBorder="1"/>
    <xf numFmtId="0" fontId="0" fillId="0" borderId="0" xfId="0" applyFill="1"/>
    <xf numFmtId="3" fontId="0" fillId="0" borderId="3" xfId="0" applyNumberFormat="1" applyBorder="1"/>
    <xf numFmtId="3" fontId="0" fillId="5" borderId="61" xfId="0" applyNumberFormat="1" applyFill="1" applyBorder="1"/>
    <xf numFmtId="3" fontId="15" fillId="3" borderId="55" xfId="0" applyNumberFormat="1" applyFont="1" applyFill="1" applyBorder="1"/>
    <xf numFmtId="3" fontId="0" fillId="0" borderId="40" xfId="0" applyNumberFormat="1" applyBorder="1"/>
    <xf numFmtId="3" fontId="0" fillId="0" borderId="36" xfId="0" applyNumberFormat="1" applyBorder="1"/>
    <xf numFmtId="3" fontId="0" fillId="5" borderId="41" xfId="0" applyNumberFormat="1" applyFill="1" applyBorder="1"/>
    <xf numFmtId="3" fontId="15" fillId="3" borderId="55" xfId="0" applyNumberFormat="1" applyFont="1" applyFill="1" applyBorder="1" applyAlignment="1">
      <alignment horizontal="center"/>
    </xf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9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9"/>
  <sheetViews>
    <sheetView workbookViewId="0">
      <selection activeCell="G5" sqref="G5"/>
    </sheetView>
  </sheetViews>
  <sheetFormatPr defaultRowHeight="14.4" x14ac:dyDescent="0.3"/>
  <cols>
    <col min="4" max="4" width="52.6640625" bestFit="1" customWidth="1"/>
    <col min="5" max="5" width="10.5546875" customWidth="1"/>
    <col min="6" max="6" width="17.6640625" bestFit="1" customWidth="1"/>
    <col min="7" max="7" width="22.88671875" bestFit="1" customWidth="1"/>
    <col min="9" max="9" width="22.88671875" bestFit="1" customWidth="1"/>
    <col min="11" max="11" width="17.6640625" bestFit="1" customWidth="1"/>
  </cols>
  <sheetData>
    <row r="5" spans="4:13" ht="15" thickBot="1" x14ac:dyDescent="0.35"/>
    <row r="6" spans="4:13" ht="29.4" thickBot="1" x14ac:dyDescent="0.6">
      <c r="D6" s="106" t="s">
        <v>0</v>
      </c>
      <c r="E6" s="244">
        <f ca="1">E29-H17</f>
        <v>0</v>
      </c>
    </row>
    <row r="8" spans="4:13" ht="15" customHeight="1" thickBot="1" x14ac:dyDescent="0.35">
      <c r="D8" t="s">
        <v>1</v>
      </c>
    </row>
    <row r="9" spans="4:13" ht="29.4" customHeight="1" thickBot="1" x14ac:dyDescent="0.8">
      <c r="D9" s="106" t="s">
        <v>2</v>
      </c>
      <c r="E9" s="105" t="e">
        <f ca="1">E29/H17</f>
        <v>#DIV/0!</v>
      </c>
    </row>
    <row r="11" spans="4:13" ht="15" thickBot="1" x14ac:dyDescent="0.35">
      <c r="D11" t="s">
        <v>3</v>
      </c>
    </row>
    <row r="12" spans="4:13" ht="34.200000000000003" thickBot="1" x14ac:dyDescent="0.8">
      <c r="D12" s="106" t="s">
        <v>4</v>
      </c>
      <c r="E12" s="105" t="e">
        <f ca="1">(SUM(E17:E19)+SUM(E23:E25)+E28)/(H17-SUM(E20:E22)-E26)</f>
        <v>#DIV/0!</v>
      </c>
    </row>
    <row r="13" spans="4:13" x14ac:dyDescent="0.3">
      <c r="D13" s="51"/>
    </row>
    <row r="14" spans="4:13" ht="15" customHeight="1" thickBot="1" x14ac:dyDescent="0.35"/>
    <row r="15" spans="4:13" ht="15" customHeight="1" thickBot="1" x14ac:dyDescent="0.35">
      <c r="D15" s="40" t="s">
        <v>5</v>
      </c>
      <c r="E15" s="86"/>
      <c r="F15" s="11"/>
      <c r="G15" s="40" t="s">
        <v>6</v>
      </c>
      <c r="H15" s="107" t="s">
        <v>7</v>
      </c>
      <c r="K15" s="11"/>
      <c r="L15" s="11"/>
      <c r="M15" s="11"/>
    </row>
    <row r="16" spans="4:13" ht="15" customHeight="1" thickBot="1" x14ac:dyDescent="0.35">
      <c r="D16" s="66" t="s">
        <v>8</v>
      </c>
      <c r="E16" s="109">
        <f ca="1">-Tuottajahyodyt!L68/1000000</f>
        <v>0</v>
      </c>
      <c r="G16" s="42" t="s">
        <v>9</v>
      </c>
      <c r="H16" s="85">
        <f>SUM(Investointikustannus!C41:L41)</f>
        <v>0</v>
      </c>
    </row>
    <row r="17" spans="4:8" ht="15" customHeight="1" thickBot="1" x14ac:dyDescent="0.35">
      <c r="D17" s="44" t="s">
        <v>10</v>
      </c>
      <c r="E17" s="146">
        <f ca="1">(Kayttajahyodyt!M18+Kayttajahyodyt!M31)/1000000</f>
        <v>0</v>
      </c>
      <c r="G17" s="110" t="s">
        <v>11</v>
      </c>
      <c r="H17" s="213">
        <f>H16</f>
        <v>0</v>
      </c>
    </row>
    <row r="18" spans="4:8" x14ac:dyDescent="0.3">
      <c r="D18" s="44" t="s">
        <v>12</v>
      </c>
      <c r="E18" s="78"/>
    </row>
    <row r="19" spans="4:8" x14ac:dyDescent="0.3">
      <c r="D19" s="44" t="s">
        <v>13</v>
      </c>
      <c r="E19" s="103">
        <f ca="1">Kayttajahyodyt!M46/1000000</f>
        <v>0</v>
      </c>
    </row>
    <row r="20" spans="4:8" x14ac:dyDescent="0.3">
      <c r="D20" s="44" t="s">
        <v>14</v>
      </c>
      <c r="E20" s="103">
        <f ca="1">-Tuottajahyodyt!O23/1000000</f>
        <v>0</v>
      </c>
    </row>
    <row r="21" spans="4:8" x14ac:dyDescent="0.3">
      <c r="D21" s="44" t="s">
        <v>15</v>
      </c>
      <c r="E21" s="103">
        <f ca="1">Tuottajahyodyt!C38/1000000</f>
        <v>0</v>
      </c>
    </row>
    <row r="22" spans="4:8" x14ac:dyDescent="0.3">
      <c r="D22" s="44" t="s">
        <v>16</v>
      </c>
      <c r="E22" s="103">
        <f ca="1">Tuottajahyodyt!F48/1000000</f>
        <v>0</v>
      </c>
    </row>
    <row r="23" spans="4:8" x14ac:dyDescent="0.3">
      <c r="D23" s="44" t="s">
        <v>17</v>
      </c>
      <c r="E23" s="146">
        <f ca="1">-Ulkoisvaikutukset!C40/1000000</f>
        <v>0</v>
      </c>
    </row>
    <row r="24" spans="4:8" x14ac:dyDescent="0.3">
      <c r="D24" s="44" t="s">
        <v>18</v>
      </c>
      <c r="E24" s="103">
        <f ca="1">-Ulkoisvaikutukset!D40/1000000</f>
        <v>0</v>
      </c>
    </row>
    <row r="25" spans="4:8" x14ac:dyDescent="0.3">
      <c r="D25" s="44" t="s">
        <v>19</v>
      </c>
      <c r="E25" s="146">
        <f ca="1">-Ulkoisvaikutukset!E40/1000000</f>
        <v>0</v>
      </c>
    </row>
    <row r="26" spans="4:8" x14ac:dyDescent="0.3">
      <c r="D26" s="44" t="s">
        <v>20</v>
      </c>
      <c r="E26" s="103">
        <f ca="1">Julkistaloudelliset!C16/1000000</f>
        <v>0</v>
      </c>
    </row>
    <row r="27" spans="4:8" x14ac:dyDescent="0.3">
      <c r="D27" s="44" t="s">
        <v>21</v>
      </c>
      <c r="E27" s="78"/>
    </row>
    <row r="28" spans="4:8" ht="15" customHeight="1" thickBot="1" x14ac:dyDescent="0.35">
      <c r="D28" s="67" t="s">
        <v>22</v>
      </c>
      <c r="E28" s="104">
        <f>Investointikustannus!AA23</f>
        <v>0</v>
      </c>
    </row>
    <row r="29" spans="4:8" ht="15" customHeight="1" thickBot="1" x14ac:dyDescent="0.35">
      <c r="D29" s="79" t="s">
        <v>11</v>
      </c>
      <c r="E29" s="144">
        <f ca="1">SUM(E16:E28)</f>
        <v>0</v>
      </c>
    </row>
  </sheetData>
  <conditionalFormatting sqref="E9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/>
  </sheetViews>
  <sheetFormatPr defaultRowHeight="14.4" x14ac:dyDescent="0.3"/>
  <cols>
    <col min="1" max="1" width="17" bestFit="1" customWidth="1"/>
    <col min="2" max="5" width="9.21875" customWidth="1"/>
    <col min="6" max="6" width="10.88671875" bestFit="1" customWidth="1"/>
  </cols>
  <sheetData>
    <row r="1" spans="1:6" x14ac:dyDescent="0.3">
      <c r="A1" t="s">
        <v>184</v>
      </c>
    </row>
    <row r="6" spans="1:6" ht="15" thickBot="1" x14ac:dyDescent="0.35"/>
    <row r="7" spans="1:6" ht="15" thickBot="1" x14ac:dyDescent="0.35">
      <c r="A7" s="110"/>
      <c r="B7" s="39" t="s">
        <v>61</v>
      </c>
      <c r="C7" s="36" t="s">
        <v>62</v>
      </c>
      <c r="D7" s="36" t="s">
        <v>63</v>
      </c>
      <c r="E7" s="37" t="s">
        <v>64</v>
      </c>
      <c r="F7" s="70" t="s">
        <v>65</v>
      </c>
    </row>
    <row r="8" spans="1:6" x14ac:dyDescent="0.3">
      <c r="A8" s="62"/>
      <c r="B8" s="163">
        <v>0.47</v>
      </c>
      <c r="C8" s="164">
        <v>0.09</v>
      </c>
      <c r="D8" s="164">
        <v>0.38</v>
      </c>
      <c r="E8" s="82"/>
      <c r="F8" s="172"/>
    </row>
    <row r="9" spans="1:6" x14ac:dyDescent="0.3">
      <c r="A9" s="47" t="s">
        <v>66</v>
      </c>
      <c r="B9" s="159"/>
      <c r="C9" s="160"/>
      <c r="D9" s="160"/>
      <c r="E9" s="148">
        <f>B9/B$8+C9/C$8+D9/D$8</f>
        <v>0</v>
      </c>
      <c r="F9" s="117">
        <f>E9/60*300</f>
        <v>0</v>
      </c>
    </row>
    <row r="10" spans="1:6" ht="15" thickBot="1" x14ac:dyDescent="0.35">
      <c r="A10" s="63" t="s">
        <v>67</v>
      </c>
      <c r="B10" s="159"/>
      <c r="C10" s="160"/>
      <c r="D10" s="160"/>
      <c r="E10" s="148">
        <f>B10/B$8+C10/C$8+D10/D$8</f>
        <v>0</v>
      </c>
      <c r="F10" s="117">
        <f>E10/60*300</f>
        <v>0</v>
      </c>
    </row>
    <row r="11" spans="1:6" ht="15" thickBot="1" x14ac:dyDescent="0.35">
      <c r="A11" s="79" t="s">
        <v>11</v>
      </c>
      <c r="B11" s="88">
        <f>B9+B10</f>
        <v>0</v>
      </c>
      <c r="C11" s="171">
        <f>C9+C10</f>
        <v>0</v>
      </c>
      <c r="D11" s="171">
        <f>D9+D10</f>
        <v>0</v>
      </c>
      <c r="E11" s="171">
        <f>B11/B$8+C11/C$8+D11/D$8</f>
        <v>0</v>
      </c>
      <c r="F11" s="173">
        <f>E11/60*300</f>
        <v>0</v>
      </c>
    </row>
    <row r="12" spans="1:6" ht="15" thickBot="1" x14ac:dyDescent="0.35">
      <c r="A12" s="110"/>
      <c r="B12" s="39" t="s">
        <v>61</v>
      </c>
      <c r="C12" s="36" t="s">
        <v>62</v>
      </c>
      <c r="D12" s="36" t="s">
        <v>63</v>
      </c>
      <c r="E12" s="37" t="s">
        <v>64</v>
      </c>
      <c r="F12" s="70" t="s">
        <v>65</v>
      </c>
    </row>
    <row r="13" spans="1:6" x14ac:dyDescent="0.3">
      <c r="A13" s="62" t="s">
        <v>57</v>
      </c>
      <c r="B13" s="163">
        <v>0.47</v>
      </c>
      <c r="C13" s="164">
        <v>0.09</v>
      </c>
      <c r="D13" s="164">
        <v>0.38</v>
      </c>
      <c r="E13" s="82"/>
      <c r="F13" s="172"/>
    </row>
    <row r="14" spans="1:6" x14ac:dyDescent="0.3">
      <c r="A14" s="47" t="s">
        <v>66</v>
      </c>
      <c r="B14" s="159"/>
      <c r="C14" s="160"/>
      <c r="D14" s="160"/>
      <c r="E14" s="148">
        <f>B14/B$8+C14/C$8+D14/D$8</f>
        <v>0</v>
      </c>
      <c r="F14" s="117">
        <f>E14/60*300</f>
        <v>0</v>
      </c>
    </row>
    <row r="15" spans="1:6" ht="15" thickBot="1" x14ac:dyDescent="0.35">
      <c r="A15" s="63" t="s">
        <v>67</v>
      </c>
      <c r="B15" s="159"/>
      <c r="C15" s="160"/>
      <c r="D15" s="160"/>
      <c r="E15" s="148">
        <f>B15/B$8+C15/C$8+D15/D$8</f>
        <v>0</v>
      </c>
      <c r="F15" s="117">
        <f>E15/60*300</f>
        <v>0</v>
      </c>
    </row>
    <row r="16" spans="1:6" ht="15" thickBot="1" x14ac:dyDescent="0.35">
      <c r="A16" s="79" t="s">
        <v>11</v>
      </c>
      <c r="B16" s="88">
        <f>B14+B15</f>
        <v>0</v>
      </c>
      <c r="C16" s="171">
        <f>C14+C15</f>
        <v>0</v>
      </c>
      <c r="D16" s="171">
        <f>D14+D15</f>
        <v>0</v>
      </c>
      <c r="E16" s="171">
        <f>B16/B$8+C16/C$8+D16/D$8</f>
        <v>0</v>
      </c>
      <c r="F16" s="173">
        <f>E16/60*300</f>
        <v>0</v>
      </c>
    </row>
    <row r="19" spans="1:6" ht="15" thickBot="1" x14ac:dyDescent="0.35"/>
    <row r="20" spans="1:6" ht="15" thickBot="1" x14ac:dyDescent="0.35">
      <c r="A20" s="110"/>
      <c r="B20" s="39" t="s">
        <v>61</v>
      </c>
      <c r="C20" s="36" t="s">
        <v>62</v>
      </c>
      <c r="D20" s="36" t="s">
        <v>63</v>
      </c>
      <c r="E20" s="37" t="s">
        <v>64</v>
      </c>
      <c r="F20" s="80" t="s">
        <v>65</v>
      </c>
    </row>
    <row r="21" spans="1:6" x14ac:dyDescent="0.3">
      <c r="A21" s="62"/>
      <c r="B21" s="165">
        <v>0.47</v>
      </c>
      <c r="C21" s="166">
        <v>0.09</v>
      </c>
      <c r="D21" s="166">
        <v>0.38</v>
      </c>
      <c r="E21" s="52"/>
      <c r="F21" s="53"/>
    </row>
    <row r="22" spans="1:6" x14ac:dyDescent="0.3">
      <c r="A22" s="47" t="s">
        <v>66</v>
      </c>
      <c r="B22" s="161"/>
      <c r="C22" s="162"/>
      <c r="D22" s="162"/>
      <c r="E22" s="69">
        <f>B22/B$21+C22/C$21+D22/D$21</f>
        <v>0</v>
      </c>
      <c r="F22" s="87">
        <f>E22/60*300</f>
        <v>0</v>
      </c>
    </row>
    <row r="23" spans="1:6" ht="15" thickBot="1" x14ac:dyDescent="0.35">
      <c r="A23" s="63" t="s">
        <v>67</v>
      </c>
      <c r="B23" s="161"/>
      <c r="C23" s="162"/>
      <c r="D23" s="162"/>
      <c r="E23" s="69">
        <f>B23/B$21+C23/C$21+D23/D$21</f>
        <v>0</v>
      </c>
      <c r="F23" s="87">
        <f>E23/60*300</f>
        <v>0</v>
      </c>
    </row>
    <row r="24" spans="1:6" ht="15" thickBot="1" x14ac:dyDescent="0.35">
      <c r="A24" s="79" t="s">
        <v>11</v>
      </c>
      <c r="B24" s="88">
        <f>B22+B23</f>
        <v>0</v>
      </c>
      <c r="C24" s="171">
        <f>C22+C23</f>
        <v>0</v>
      </c>
      <c r="D24" s="171">
        <f>D22+D23</f>
        <v>0</v>
      </c>
      <c r="E24" s="171">
        <f>B24/B$21+C24/C$21+D24/D$21</f>
        <v>0</v>
      </c>
      <c r="F24" s="89">
        <f>E24/60*300</f>
        <v>0</v>
      </c>
    </row>
    <row r="25" spans="1:6" ht="15" thickBot="1" x14ac:dyDescent="0.35">
      <c r="A25" s="110"/>
      <c r="B25" s="39" t="s">
        <v>61</v>
      </c>
      <c r="C25" s="36" t="s">
        <v>62</v>
      </c>
      <c r="D25" s="36" t="s">
        <v>63</v>
      </c>
      <c r="E25" s="37" t="s">
        <v>64</v>
      </c>
      <c r="F25" s="80" t="s">
        <v>65</v>
      </c>
    </row>
    <row r="26" spans="1:6" x14ac:dyDescent="0.3">
      <c r="A26" s="62" t="s">
        <v>57</v>
      </c>
      <c r="B26" s="165">
        <v>0.47</v>
      </c>
      <c r="C26" s="166">
        <v>0.09</v>
      </c>
      <c r="D26" s="166">
        <v>0.38</v>
      </c>
      <c r="E26" s="52"/>
      <c r="F26" s="53"/>
    </row>
    <row r="27" spans="1:6" x14ac:dyDescent="0.3">
      <c r="A27" s="47" t="s">
        <v>66</v>
      </c>
      <c r="B27" s="161"/>
      <c r="C27" s="162"/>
      <c r="D27" s="162"/>
      <c r="E27" s="69">
        <f>B27/B$21+C27/C$21+D27/D$21</f>
        <v>0</v>
      </c>
      <c r="F27" s="87">
        <f>E27/60*300</f>
        <v>0</v>
      </c>
    </row>
    <row r="28" spans="1:6" ht="15" thickBot="1" x14ac:dyDescent="0.35">
      <c r="A28" s="63" t="s">
        <v>67</v>
      </c>
      <c r="B28" s="161"/>
      <c r="C28" s="162"/>
      <c r="D28" s="162"/>
      <c r="E28" s="69">
        <f>B28/B$21+C28/C$21+D28/D$21</f>
        <v>0</v>
      </c>
      <c r="F28" s="87">
        <f>E28/60*300</f>
        <v>0</v>
      </c>
    </row>
    <row r="29" spans="1:6" ht="15" thickBot="1" x14ac:dyDescent="0.35">
      <c r="A29" s="79" t="s">
        <v>11</v>
      </c>
      <c r="B29" s="88">
        <f>B27+B28</f>
        <v>0</v>
      </c>
      <c r="C29" s="171">
        <f>C27+C28</f>
        <v>0</v>
      </c>
      <c r="D29" s="171">
        <f>D27+D28</f>
        <v>0</v>
      </c>
      <c r="E29" s="171">
        <f>B29/B$21+C29/C$21+D29/D$21</f>
        <v>0</v>
      </c>
      <c r="F29" s="89">
        <f>E29/60*300</f>
        <v>0</v>
      </c>
    </row>
    <row r="32" spans="1:6" x14ac:dyDescent="0.3">
      <c r="A32" s="111"/>
      <c r="B32" s="111"/>
      <c r="C32" s="111"/>
      <c r="D32" s="111"/>
      <c r="E32" s="111"/>
      <c r="F32" s="111"/>
    </row>
    <row r="33" spans="1:6" x14ac:dyDescent="0.3">
      <c r="A33" s="132"/>
      <c r="B33" s="132"/>
      <c r="C33" s="132"/>
      <c r="D33" s="132"/>
      <c r="E33" s="132"/>
      <c r="F33" s="132"/>
    </row>
    <row r="34" spans="1:6" ht="15" thickBot="1" x14ac:dyDescent="0.35"/>
    <row r="35" spans="1:6" ht="15" thickBot="1" x14ac:dyDescent="0.35">
      <c r="A35" s="110"/>
      <c r="B35" s="41" t="s">
        <v>61</v>
      </c>
      <c r="C35" s="61" t="s">
        <v>62</v>
      </c>
      <c r="D35" s="61" t="s">
        <v>63</v>
      </c>
      <c r="E35" s="61" t="s">
        <v>64</v>
      </c>
      <c r="F35" s="29" t="s">
        <v>65</v>
      </c>
    </row>
    <row r="36" spans="1:6" x14ac:dyDescent="0.3">
      <c r="A36" s="66"/>
      <c r="B36" s="167">
        <v>0.47</v>
      </c>
      <c r="C36" s="168">
        <v>0.09</v>
      </c>
      <c r="D36" s="168">
        <v>0.38</v>
      </c>
      <c r="E36" s="58"/>
      <c r="F36" s="59"/>
    </row>
    <row r="37" spans="1:6" x14ac:dyDescent="0.3">
      <c r="A37" s="44" t="s">
        <v>66</v>
      </c>
      <c r="B37" s="169"/>
      <c r="C37" s="162"/>
      <c r="D37" s="162"/>
      <c r="E37" s="69">
        <f>B37/B$36+C37/C$36+D37/D$36</f>
        <v>0</v>
      </c>
      <c r="F37" s="87">
        <f>E37*300</f>
        <v>0</v>
      </c>
    </row>
    <row r="38" spans="1:6" x14ac:dyDescent="0.3">
      <c r="A38" s="44" t="s">
        <v>67</v>
      </c>
      <c r="B38" s="169"/>
      <c r="C38" s="162"/>
      <c r="D38" s="162"/>
      <c r="E38" s="69">
        <f>B38/B$36+C38/C$36+D38/D$36</f>
        <v>0</v>
      </c>
      <c r="F38" s="87">
        <f>E38*300</f>
        <v>0</v>
      </c>
    </row>
    <row r="39" spans="1:6" ht="15" thickBot="1" x14ac:dyDescent="0.35">
      <c r="A39" s="67" t="s">
        <v>11</v>
      </c>
      <c r="B39" s="170">
        <f>B37+B38</f>
        <v>0</v>
      </c>
      <c r="C39" s="171">
        <f>C37+C38</f>
        <v>0</v>
      </c>
      <c r="D39" s="171">
        <f>D37+D38</f>
        <v>0</v>
      </c>
      <c r="E39" s="171">
        <f>B39/B$36+C39/C$36+D39/D$36</f>
        <v>0</v>
      </c>
      <c r="F39" s="89">
        <f>E39*300</f>
        <v>0</v>
      </c>
    </row>
    <row r="40" spans="1:6" ht="15" thickBot="1" x14ac:dyDescent="0.35">
      <c r="A40" s="110"/>
      <c r="B40" s="41" t="s">
        <v>61</v>
      </c>
      <c r="C40" s="61" t="s">
        <v>62</v>
      </c>
      <c r="D40" s="61" t="s">
        <v>63</v>
      </c>
      <c r="E40" s="61" t="s">
        <v>64</v>
      </c>
      <c r="F40" s="29" t="s">
        <v>65</v>
      </c>
    </row>
    <row r="41" spans="1:6" x14ac:dyDescent="0.3">
      <c r="A41" s="66"/>
      <c r="B41" s="167">
        <v>0.47</v>
      </c>
      <c r="C41" s="168">
        <v>0.09</v>
      </c>
      <c r="D41" s="168">
        <v>0.38</v>
      </c>
      <c r="E41" s="58"/>
      <c r="F41" s="59"/>
    </row>
    <row r="42" spans="1:6" x14ac:dyDescent="0.3">
      <c r="A42" s="44" t="s">
        <v>66</v>
      </c>
      <c r="B42" s="169"/>
      <c r="C42" s="162"/>
      <c r="D42" s="162"/>
      <c r="E42" s="69">
        <f>B42/B$36+C42/C$36+D42/D$36</f>
        <v>0</v>
      </c>
      <c r="F42" s="87">
        <f>E42*300</f>
        <v>0</v>
      </c>
    </row>
    <row r="43" spans="1:6" x14ac:dyDescent="0.3">
      <c r="A43" s="44" t="s">
        <v>67</v>
      </c>
      <c r="B43" s="169"/>
      <c r="C43" s="162"/>
      <c r="D43" s="162"/>
      <c r="E43" s="69">
        <f>B43/B$36+C43/C$36+D43/D$36</f>
        <v>0</v>
      </c>
      <c r="F43" s="87">
        <f>E43*300</f>
        <v>0</v>
      </c>
    </row>
    <row r="44" spans="1:6" ht="15" thickBot="1" x14ac:dyDescent="0.35">
      <c r="A44" s="67" t="s">
        <v>11</v>
      </c>
      <c r="B44" s="170">
        <f>B42+B43</f>
        <v>0</v>
      </c>
      <c r="C44" s="171">
        <f>C42+C43</f>
        <v>0</v>
      </c>
      <c r="D44" s="171">
        <f>D42+D43</f>
        <v>0</v>
      </c>
      <c r="E44" s="171">
        <f>B44/B$36+C44/C$36+D44/D$36</f>
        <v>0</v>
      </c>
      <c r="F44" s="89">
        <f>E44*300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defaultRowHeight="14.4" x14ac:dyDescent="0.3"/>
  <cols>
    <col min="1" max="1" width="17" bestFit="1" customWidth="1"/>
    <col min="2" max="5" width="9.21875" customWidth="1"/>
    <col min="6" max="6" width="10.88671875" bestFit="1" customWidth="1"/>
  </cols>
  <sheetData>
    <row r="1" spans="1:6" x14ac:dyDescent="0.3">
      <c r="A1" t="s">
        <v>184</v>
      </c>
    </row>
    <row r="6" spans="1:6" ht="15" thickBot="1" x14ac:dyDescent="0.35"/>
    <row r="7" spans="1:6" ht="15" thickBot="1" x14ac:dyDescent="0.35">
      <c r="A7" s="110"/>
      <c r="B7" s="39" t="s">
        <v>61</v>
      </c>
      <c r="C7" s="36" t="s">
        <v>62</v>
      </c>
      <c r="D7" s="36" t="s">
        <v>63</v>
      </c>
      <c r="E7" s="37" t="s">
        <v>64</v>
      </c>
      <c r="F7" s="70" t="s">
        <v>65</v>
      </c>
    </row>
    <row r="8" spans="1:6" x14ac:dyDescent="0.3">
      <c r="A8" s="62"/>
      <c r="B8" s="163">
        <v>0.47</v>
      </c>
      <c r="C8" s="164">
        <v>0.09</v>
      </c>
      <c r="D8" s="164">
        <v>0.38</v>
      </c>
      <c r="E8" s="82"/>
      <c r="F8" s="172"/>
    </row>
    <row r="9" spans="1:6" x14ac:dyDescent="0.3">
      <c r="A9" s="47" t="s">
        <v>66</v>
      </c>
      <c r="B9" s="159"/>
      <c r="C9" s="160"/>
      <c r="D9" s="160"/>
      <c r="E9" s="148">
        <f>B9/B$8+C9/C$8+D9/D$8</f>
        <v>0</v>
      </c>
      <c r="F9" s="117">
        <f>E9/60*300</f>
        <v>0</v>
      </c>
    </row>
    <row r="10" spans="1:6" ht="15" thickBot="1" x14ac:dyDescent="0.35">
      <c r="A10" s="63" t="s">
        <v>67</v>
      </c>
      <c r="B10" s="159"/>
      <c r="C10" s="160"/>
      <c r="D10" s="160"/>
      <c r="E10" s="148">
        <f>B10/B$8+C10/C$8+D10/D$8</f>
        <v>0</v>
      </c>
      <c r="F10" s="117">
        <f>E10/60*300</f>
        <v>0</v>
      </c>
    </row>
    <row r="11" spans="1:6" ht="15" thickBot="1" x14ac:dyDescent="0.35">
      <c r="A11" s="79" t="s">
        <v>11</v>
      </c>
      <c r="B11" s="88">
        <f>B9+B10</f>
        <v>0</v>
      </c>
      <c r="C11" s="171">
        <f>C9+C10</f>
        <v>0</v>
      </c>
      <c r="D11" s="171">
        <f>D9+D10</f>
        <v>0</v>
      </c>
      <c r="E11" s="171">
        <f>B11/B$8+C11/C$8+D11/D$8</f>
        <v>0</v>
      </c>
      <c r="F11" s="173">
        <f>E11/60*300</f>
        <v>0</v>
      </c>
    </row>
    <row r="12" spans="1:6" ht="15" thickBot="1" x14ac:dyDescent="0.35">
      <c r="A12" s="110"/>
      <c r="B12" s="39" t="s">
        <v>61</v>
      </c>
      <c r="C12" s="36" t="s">
        <v>62</v>
      </c>
      <c r="D12" s="36" t="s">
        <v>63</v>
      </c>
      <c r="E12" s="37" t="s">
        <v>64</v>
      </c>
      <c r="F12" s="70" t="s">
        <v>65</v>
      </c>
    </row>
    <row r="13" spans="1:6" x14ac:dyDescent="0.3">
      <c r="A13" s="62" t="s">
        <v>57</v>
      </c>
      <c r="B13" s="163">
        <v>0.47</v>
      </c>
      <c r="C13" s="164">
        <v>0.09</v>
      </c>
      <c r="D13" s="164">
        <v>0.38</v>
      </c>
      <c r="E13" s="82"/>
      <c r="F13" s="172"/>
    </row>
    <row r="14" spans="1:6" x14ac:dyDescent="0.3">
      <c r="A14" s="47" t="s">
        <v>66</v>
      </c>
      <c r="B14" s="159"/>
      <c r="C14" s="160"/>
      <c r="D14" s="160"/>
      <c r="E14" s="148">
        <f>B14/B$8+C14/C$8+D14/D$8</f>
        <v>0</v>
      </c>
      <c r="F14" s="117">
        <f>E14/60*300</f>
        <v>0</v>
      </c>
    </row>
    <row r="15" spans="1:6" ht="15" thickBot="1" x14ac:dyDescent="0.35">
      <c r="A15" s="63" t="s">
        <v>67</v>
      </c>
      <c r="B15" s="159"/>
      <c r="C15" s="160"/>
      <c r="D15" s="160"/>
      <c r="E15" s="148">
        <f>B15/B$8+C15/C$8+D15/D$8</f>
        <v>0</v>
      </c>
      <c r="F15" s="117">
        <f>E15/60*300</f>
        <v>0</v>
      </c>
    </row>
    <row r="16" spans="1:6" ht="15" thickBot="1" x14ac:dyDescent="0.35">
      <c r="A16" s="79" t="s">
        <v>11</v>
      </c>
      <c r="B16" s="88">
        <f>B14+B15</f>
        <v>0</v>
      </c>
      <c r="C16" s="171">
        <f>C14+C15</f>
        <v>0</v>
      </c>
      <c r="D16" s="171">
        <f>D14+D15</f>
        <v>0</v>
      </c>
      <c r="E16" s="171">
        <f>B16/B$8+C16/C$8+D16/D$8</f>
        <v>0</v>
      </c>
      <c r="F16" s="173">
        <f>E16/60*300</f>
        <v>0</v>
      </c>
    </row>
    <row r="19" spans="1:6" ht="15" thickBot="1" x14ac:dyDescent="0.35"/>
    <row r="20" spans="1:6" ht="15" thickBot="1" x14ac:dyDescent="0.35">
      <c r="A20" s="110"/>
      <c r="B20" s="39" t="s">
        <v>61</v>
      </c>
      <c r="C20" s="36" t="s">
        <v>62</v>
      </c>
      <c r="D20" s="36" t="s">
        <v>63</v>
      </c>
      <c r="E20" s="37" t="s">
        <v>64</v>
      </c>
      <c r="F20" s="80" t="s">
        <v>65</v>
      </c>
    </row>
    <row r="21" spans="1:6" x14ac:dyDescent="0.3">
      <c r="A21" s="62"/>
      <c r="B21" s="165">
        <v>0.47</v>
      </c>
      <c r="C21" s="166">
        <v>0.09</v>
      </c>
      <c r="D21" s="166">
        <v>0.38</v>
      </c>
      <c r="E21" s="52"/>
      <c r="F21" s="53"/>
    </row>
    <row r="22" spans="1:6" x14ac:dyDescent="0.3">
      <c r="A22" s="47" t="s">
        <v>66</v>
      </c>
      <c r="B22" s="161"/>
      <c r="C22" s="162"/>
      <c r="D22" s="162"/>
      <c r="E22" s="69">
        <f>B22/B$21+C22/C$21+D22/D$21</f>
        <v>0</v>
      </c>
      <c r="F22" s="87">
        <f>E22/60*300</f>
        <v>0</v>
      </c>
    </row>
    <row r="23" spans="1:6" ht="15" thickBot="1" x14ac:dyDescent="0.35">
      <c r="A23" s="63" t="s">
        <v>67</v>
      </c>
      <c r="B23" s="161"/>
      <c r="C23" s="162"/>
      <c r="D23" s="162"/>
      <c r="E23" s="69">
        <f>B23/B$21+C23/C$21+D23/D$21</f>
        <v>0</v>
      </c>
      <c r="F23" s="87">
        <f>E23/60*300</f>
        <v>0</v>
      </c>
    </row>
    <row r="24" spans="1:6" ht="15" thickBot="1" x14ac:dyDescent="0.35">
      <c r="A24" s="79" t="s">
        <v>11</v>
      </c>
      <c r="B24" s="88">
        <f>B22+B23</f>
        <v>0</v>
      </c>
      <c r="C24" s="171">
        <f>C22+C23</f>
        <v>0</v>
      </c>
      <c r="D24" s="171">
        <f>D22+D23</f>
        <v>0</v>
      </c>
      <c r="E24" s="171">
        <f>B24/B$21+C24/C$21+D24/D$21</f>
        <v>0</v>
      </c>
      <c r="F24" s="89">
        <f>E24/60*300</f>
        <v>0</v>
      </c>
    </row>
    <row r="25" spans="1:6" ht="15" thickBot="1" x14ac:dyDescent="0.35">
      <c r="A25" s="110"/>
      <c r="B25" s="39" t="s">
        <v>61</v>
      </c>
      <c r="C25" s="36" t="s">
        <v>62</v>
      </c>
      <c r="D25" s="36" t="s">
        <v>63</v>
      </c>
      <c r="E25" s="37" t="s">
        <v>64</v>
      </c>
      <c r="F25" s="80" t="s">
        <v>65</v>
      </c>
    </row>
    <row r="26" spans="1:6" x14ac:dyDescent="0.3">
      <c r="A26" s="62" t="s">
        <v>57</v>
      </c>
      <c r="B26" s="165">
        <v>0.47</v>
      </c>
      <c r="C26" s="166">
        <v>0.09</v>
      </c>
      <c r="D26" s="166">
        <v>0.38</v>
      </c>
      <c r="E26" s="52"/>
      <c r="F26" s="53"/>
    </row>
    <row r="27" spans="1:6" x14ac:dyDescent="0.3">
      <c r="A27" s="47" t="s">
        <v>66</v>
      </c>
      <c r="B27" s="161"/>
      <c r="C27" s="162"/>
      <c r="D27" s="162"/>
      <c r="E27" s="69">
        <f>B27/B$21+C27/C$21+D27/D$21</f>
        <v>0</v>
      </c>
      <c r="F27" s="87">
        <f>E27/60*300</f>
        <v>0</v>
      </c>
    </row>
    <row r="28" spans="1:6" ht="15" thickBot="1" x14ac:dyDescent="0.35">
      <c r="A28" s="63" t="s">
        <v>67</v>
      </c>
      <c r="B28" s="161"/>
      <c r="C28" s="162"/>
      <c r="D28" s="162"/>
      <c r="E28" s="69">
        <f>B28/B$21+C28/C$21+D28/D$21</f>
        <v>0</v>
      </c>
      <c r="F28" s="87">
        <f>E28/60*300</f>
        <v>0</v>
      </c>
    </row>
    <row r="29" spans="1:6" ht="15" thickBot="1" x14ac:dyDescent="0.35">
      <c r="A29" s="79" t="s">
        <v>11</v>
      </c>
      <c r="B29" s="88">
        <f>B27+B28</f>
        <v>0</v>
      </c>
      <c r="C29" s="171">
        <f>C27+C28</f>
        <v>0</v>
      </c>
      <c r="D29" s="171">
        <f>D27+D28</f>
        <v>0</v>
      </c>
      <c r="E29" s="171">
        <f>B29/B$21+C29/C$21+D29/D$21</f>
        <v>0</v>
      </c>
      <c r="F29" s="89">
        <f>E29/60*300</f>
        <v>0</v>
      </c>
    </row>
    <row r="32" spans="1:6" x14ac:dyDescent="0.3">
      <c r="A32" s="111"/>
      <c r="B32" s="111"/>
      <c r="C32" s="111"/>
      <c r="D32" s="111"/>
      <c r="E32" s="111"/>
      <c r="F32" s="111"/>
    </row>
    <row r="33" spans="1:6" x14ac:dyDescent="0.3">
      <c r="A33" s="132"/>
      <c r="B33" s="132"/>
      <c r="C33" s="132"/>
      <c r="D33" s="132"/>
      <c r="E33" s="132"/>
      <c r="F33" s="132"/>
    </row>
    <row r="34" spans="1:6" ht="15" thickBot="1" x14ac:dyDescent="0.35"/>
    <row r="35" spans="1:6" ht="15" thickBot="1" x14ac:dyDescent="0.35">
      <c r="A35" s="110"/>
      <c r="B35" s="41" t="s">
        <v>61</v>
      </c>
      <c r="C35" s="61" t="s">
        <v>62</v>
      </c>
      <c r="D35" s="61" t="s">
        <v>63</v>
      </c>
      <c r="E35" s="61" t="s">
        <v>64</v>
      </c>
      <c r="F35" s="29" t="s">
        <v>65</v>
      </c>
    </row>
    <row r="36" spans="1:6" x14ac:dyDescent="0.3">
      <c r="A36" s="66"/>
      <c r="B36" s="167">
        <v>0.47</v>
      </c>
      <c r="C36" s="168">
        <v>0.09</v>
      </c>
      <c r="D36" s="168">
        <v>0.38</v>
      </c>
      <c r="E36" s="58"/>
      <c r="F36" s="59"/>
    </row>
    <row r="37" spans="1:6" x14ac:dyDescent="0.3">
      <c r="A37" s="44" t="s">
        <v>66</v>
      </c>
      <c r="B37" s="169"/>
      <c r="C37" s="162"/>
      <c r="D37" s="162"/>
      <c r="E37" s="69">
        <f>B37/B$36+C37/C$36+D37/D$36</f>
        <v>0</v>
      </c>
      <c r="F37" s="87">
        <f>E37*300</f>
        <v>0</v>
      </c>
    </row>
    <row r="38" spans="1:6" x14ac:dyDescent="0.3">
      <c r="A38" s="44" t="s">
        <v>67</v>
      </c>
      <c r="B38" s="169"/>
      <c r="C38" s="162"/>
      <c r="D38" s="162"/>
      <c r="E38" s="69">
        <f>B38/B$36+C38/C$36+D38/D$36</f>
        <v>0</v>
      </c>
      <c r="F38" s="87">
        <f>E38*300</f>
        <v>0</v>
      </c>
    </row>
    <row r="39" spans="1:6" ht="15" thickBot="1" x14ac:dyDescent="0.35">
      <c r="A39" s="67" t="s">
        <v>11</v>
      </c>
      <c r="B39" s="170">
        <f>B37+B38</f>
        <v>0</v>
      </c>
      <c r="C39" s="171">
        <f>C37+C38</f>
        <v>0</v>
      </c>
      <c r="D39" s="171">
        <f>D37+D38</f>
        <v>0</v>
      </c>
      <c r="E39" s="171">
        <f>B39/B$36+C39/C$36+D39/D$36</f>
        <v>0</v>
      </c>
      <c r="F39" s="89">
        <f>E39*300</f>
        <v>0</v>
      </c>
    </row>
    <row r="40" spans="1:6" ht="15" thickBot="1" x14ac:dyDescent="0.35">
      <c r="A40" s="110"/>
      <c r="B40" s="41" t="s">
        <v>61</v>
      </c>
      <c r="C40" s="61" t="s">
        <v>62</v>
      </c>
      <c r="D40" s="61" t="s">
        <v>63</v>
      </c>
      <c r="E40" s="61" t="s">
        <v>64</v>
      </c>
      <c r="F40" s="29" t="s">
        <v>65</v>
      </c>
    </row>
    <row r="41" spans="1:6" x14ac:dyDescent="0.3">
      <c r="A41" s="66"/>
      <c r="B41" s="167">
        <v>0.47</v>
      </c>
      <c r="C41" s="168">
        <v>0.09</v>
      </c>
      <c r="D41" s="168">
        <v>0.38</v>
      </c>
      <c r="E41" s="58"/>
      <c r="F41" s="59"/>
    </row>
    <row r="42" spans="1:6" x14ac:dyDescent="0.3">
      <c r="A42" s="44" t="s">
        <v>66</v>
      </c>
      <c r="B42" s="169"/>
      <c r="C42" s="162"/>
      <c r="D42" s="162"/>
      <c r="E42" s="69">
        <f>B42/B$36+C42/C$36+D42/D$36</f>
        <v>0</v>
      </c>
      <c r="F42" s="87">
        <f>E42*300</f>
        <v>0</v>
      </c>
    </row>
    <row r="43" spans="1:6" x14ac:dyDescent="0.3">
      <c r="A43" s="44" t="s">
        <v>67</v>
      </c>
      <c r="B43" s="169"/>
      <c r="C43" s="162"/>
      <c r="D43" s="162"/>
      <c r="E43" s="69">
        <f>B43/B$36+C43/C$36+D43/D$36</f>
        <v>0</v>
      </c>
      <c r="F43" s="87">
        <f>E43*300</f>
        <v>0</v>
      </c>
    </row>
    <row r="44" spans="1:6" ht="15" thickBot="1" x14ac:dyDescent="0.35">
      <c r="A44" s="67" t="s">
        <v>11</v>
      </c>
      <c r="B44" s="170">
        <f>B42+B43</f>
        <v>0</v>
      </c>
      <c r="C44" s="171">
        <f>C42+C43</f>
        <v>0</v>
      </c>
      <c r="D44" s="171">
        <f>D42+D43</f>
        <v>0</v>
      </c>
      <c r="E44" s="171">
        <f>B44/B$36+C44/C$36+D44/D$36</f>
        <v>0</v>
      </c>
      <c r="F44" s="89">
        <f>E44*300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2" sqref="A2"/>
    </sheetView>
  </sheetViews>
  <sheetFormatPr defaultRowHeight="14.4" x14ac:dyDescent="0.3"/>
  <cols>
    <col min="1" max="1" width="17" bestFit="1" customWidth="1"/>
    <col min="2" max="5" width="9.21875" customWidth="1"/>
    <col min="6" max="6" width="10.88671875" bestFit="1" customWidth="1"/>
  </cols>
  <sheetData>
    <row r="1" spans="1:6" x14ac:dyDescent="0.3">
      <c r="A1" t="s">
        <v>197</v>
      </c>
    </row>
    <row r="6" spans="1:6" ht="15" thickBot="1" x14ac:dyDescent="0.35"/>
    <row r="7" spans="1:6" ht="15" thickBot="1" x14ac:dyDescent="0.35">
      <c r="A7" s="110"/>
      <c r="B7" s="39" t="s">
        <v>61</v>
      </c>
      <c r="C7" s="36" t="s">
        <v>62</v>
      </c>
      <c r="D7" s="36" t="s">
        <v>63</v>
      </c>
      <c r="E7" s="37" t="s">
        <v>64</v>
      </c>
      <c r="F7" s="70" t="s">
        <v>65</v>
      </c>
    </row>
    <row r="8" spans="1:6" x14ac:dyDescent="0.3">
      <c r="A8" s="62"/>
      <c r="B8" s="163">
        <v>0.47</v>
      </c>
      <c r="C8" s="164">
        <v>0.09</v>
      </c>
      <c r="D8" s="164">
        <v>0.38</v>
      </c>
      <c r="E8" s="82"/>
      <c r="F8" s="172"/>
    </row>
    <row r="9" spans="1:6" x14ac:dyDescent="0.3">
      <c r="A9" s="47" t="s">
        <v>66</v>
      </c>
      <c r="B9" s="159"/>
      <c r="C9" s="160"/>
      <c r="D9" s="160"/>
      <c r="E9" s="148">
        <f>B9/B$8+C9/C$8+D9/D$8</f>
        <v>0</v>
      </c>
      <c r="F9" s="117">
        <f>E9/60*300</f>
        <v>0</v>
      </c>
    </row>
    <row r="10" spans="1:6" ht="15" thickBot="1" x14ac:dyDescent="0.35">
      <c r="A10" s="63" t="s">
        <v>67</v>
      </c>
      <c r="B10" s="159"/>
      <c r="C10" s="160"/>
      <c r="D10" s="160"/>
      <c r="E10" s="148">
        <f>B10/B$8+C10/C$8+D10/D$8</f>
        <v>0</v>
      </c>
      <c r="F10" s="117">
        <f>E10/60*300</f>
        <v>0</v>
      </c>
    </row>
    <row r="11" spans="1:6" ht="15" thickBot="1" x14ac:dyDescent="0.35">
      <c r="A11" s="79" t="s">
        <v>11</v>
      </c>
      <c r="B11" s="88">
        <f>B9+B10</f>
        <v>0</v>
      </c>
      <c r="C11" s="171">
        <f>C9+C10</f>
        <v>0</v>
      </c>
      <c r="D11" s="171">
        <f>D9+D10</f>
        <v>0</v>
      </c>
      <c r="E11" s="171">
        <f>B11/B$8+C11/C$8+D11/D$8</f>
        <v>0</v>
      </c>
      <c r="F11" s="173">
        <f>E11/60*300</f>
        <v>0</v>
      </c>
    </row>
    <row r="12" spans="1:6" ht="15" thickBot="1" x14ac:dyDescent="0.35">
      <c r="A12" s="110"/>
      <c r="B12" s="39" t="s">
        <v>61</v>
      </c>
      <c r="C12" s="36" t="s">
        <v>62</v>
      </c>
      <c r="D12" s="36" t="s">
        <v>63</v>
      </c>
      <c r="E12" s="37" t="s">
        <v>64</v>
      </c>
      <c r="F12" s="70" t="s">
        <v>65</v>
      </c>
    </row>
    <row r="13" spans="1:6" x14ac:dyDescent="0.3">
      <c r="A13" s="62" t="s">
        <v>57</v>
      </c>
      <c r="B13" s="163">
        <v>0.47</v>
      </c>
      <c r="C13" s="164">
        <v>0.09</v>
      </c>
      <c r="D13" s="164">
        <v>0.38</v>
      </c>
      <c r="E13" s="82"/>
      <c r="F13" s="172"/>
    </row>
    <row r="14" spans="1:6" x14ac:dyDescent="0.3">
      <c r="A14" s="47" t="s">
        <v>66</v>
      </c>
      <c r="B14" s="159"/>
      <c r="C14" s="160"/>
      <c r="D14" s="160"/>
      <c r="E14" s="148">
        <f>B14/B$8+C14/C$8+D14/D$8</f>
        <v>0</v>
      </c>
      <c r="F14" s="117">
        <f>E14/60*300</f>
        <v>0</v>
      </c>
    </row>
    <row r="15" spans="1:6" ht="15" thickBot="1" x14ac:dyDescent="0.35">
      <c r="A15" s="63" t="s">
        <v>67</v>
      </c>
      <c r="B15" s="159"/>
      <c r="C15" s="160"/>
      <c r="D15" s="160"/>
      <c r="E15" s="148">
        <f>B15/B$8+C15/C$8+D15/D$8</f>
        <v>0</v>
      </c>
      <c r="F15" s="117">
        <f>E15/60*300</f>
        <v>0</v>
      </c>
    </row>
    <row r="16" spans="1:6" ht="15" thickBot="1" x14ac:dyDescent="0.35">
      <c r="A16" s="79" t="s">
        <v>11</v>
      </c>
      <c r="B16" s="88">
        <f>B14+B15</f>
        <v>0</v>
      </c>
      <c r="C16" s="171">
        <f>C14+C15</f>
        <v>0</v>
      </c>
      <c r="D16" s="171">
        <f>D14+D15</f>
        <v>0</v>
      </c>
      <c r="E16" s="171">
        <f>B16/B$8+C16/C$8+D16/D$8</f>
        <v>0</v>
      </c>
      <c r="F16" s="173">
        <f>E16/60*300</f>
        <v>0</v>
      </c>
    </row>
    <row r="19" spans="1:6" ht="15" thickBot="1" x14ac:dyDescent="0.35"/>
    <row r="20" spans="1:6" ht="15" thickBot="1" x14ac:dyDescent="0.35">
      <c r="A20" s="110"/>
      <c r="B20" s="39" t="s">
        <v>61</v>
      </c>
      <c r="C20" s="36" t="s">
        <v>62</v>
      </c>
      <c r="D20" s="36" t="s">
        <v>63</v>
      </c>
      <c r="E20" s="37" t="s">
        <v>64</v>
      </c>
      <c r="F20" s="80" t="s">
        <v>65</v>
      </c>
    </row>
    <row r="21" spans="1:6" x14ac:dyDescent="0.3">
      <c r="A21" s="62"/>
      <c r="B21" s="165">
        <v>0.47</v>
      </c>
      <c r="C21" s="166">
        <v>0.09</v>
      </c>
      <c r="D21" s="166">
        <v>0.38</v>
      </c>
      <c r="E21" s="52"/>
      <c r="F21" s="53"/>
    </row>
    <row r="22" spans="1:6" x14ac:dyDescent="0.3">
      <c r="A22" s="47" t="s">
        <v>66</v>
      </c>
      <c r="B22" s="161"/>
      <c r="C22" s="162"/>
      <c r="D22" s="162"/>
      <c r="E22" s="69">
        <f>B22/B$21+C22/C$21+D22/D$21</f>
        <v>0</v>
      </c>
      <c r="F22" s="87">
        <f>E22/60*300</f>
        <v>0</v>
      </c>
    </row>
    <row r="23" spans="1:6" ht="15" thickBot="1" x14ac:dyDescent="0.35">
      <c r="A23" s="63" t="s">
        <v>67</v>
      </c>
      <c r="B23" s="161"/>
      <c r="C23" s="162"/>
      <c r="D23" s="162"/>
      <c r="E23" s="69">
        <f>B23/B$21+C23/C$21+D23/D$21</f>
        <v>0</v>
      </c>
      <c r="F23" s="87">
        <f>E23/60*300</f>
        <v>0</v>
      </c>
    </row>
    <row r="24" spans="1:6" ht="15" thickBot="1" x14ac:dyDescent="0.35">
      <c r="A24" s="79" t="s">
        <v>11</v>
      </c>
      <c r="B24" s="88">
        <f>B22+B23</f>
        <v>0</v>
      </c>
      <c r="C24" s="171">
        <f>C22+C23</f>
        <v>0</v>
      </c>
      <c r="D24" s="171">
        <f>D22+D23</f>
        <v>0</v>
      </c>
      <c r="E24" s="171">
        <f>B24/B$21+C24/C$21+D24/D$21</f>
        <v>0</v>
      </c>
      <c r="F24" s="89">
        <f>E24/60*300</f>
        <v>0</v>
      </c>
    </row>
    <row r="25" spans="1:6" ht="15" thickBot="1" x14ac:dyDescent="0.35">
      <c r="A25" s="110"/>
      <c r="B25" s="39" t="s">
        <v>61</v>
      </c>
      <c r="C25" s="36" t="s">
        <v>62</v>
      </c>
      <c r="D25" s="36" t="s">
        <v>63</v>
      </c>
      <c r="E25" s="37" t="s">
        <v>64</v>
      </c>
      <c r="F25" s="80" t="s">
        <v>65</v>
      </c>
    </row>
    <row r="26" spans="1:6" x14ac:dyDescent="0.3">
      <c r="A26" s="62" t="s">
        <v>57</v>
      </c>
      <c r="B26" s="165">
        <v>0.47</v>
      </c>
      <c r="C26" s="166">
        <v>0.09</v>
      </c>
      <c r="D26" s="166">
        <v>0.38</v>
      </c>
      <c r="E26" s="52"/>
      <c r="F26" s="53"/>
    </row>
    <row r="27" spans="1:6" x14ac:dyDescent="0.3">
      <c r="A27" s="47" t="s">
        <v>66</v>
      </c>
      <c r="B27" s="161"/>
      <c r="C27" s="162"/>
      <c r="D27" s="162"/>
      <c r="E27" s="69">
        <f>B27/B$21+C27/C$21+D27/D$21</f>
        <v>0</v>
      </c>
      <c r="F27" s="87">
        <f>E27/60*300</f>
        <v>0</v>
      </c>
    </row>
    <row r="28" spans="1:6" ht="15" thickBot="1" x14ac:dyDescent="0.35">
      <c r="A28" s="63" t="s">
        <v>67</v>
      </c>
      <c r="B28" s="161"/>
      <c r="C28" s="162"/>
      <c r="D28" s="162"/>
      <c r="E28" s="69">
        <f>B28/B$21+C28/C$21+D28/D$21</f>
        <v>0</v>
      </c>
      <c r="F28" s="87">
        <f>E28/60*300</f>
        <v>0</v>
      </c>
    </row>
    <row r="29" spans="1:6" ht="15" thickBot="1" x14ac:dyDescent="0.35">
      <c r="A29" s="79" t="s">
        <v>11</v>
      </c>
      <c r="B29" s="88">
        <f>B27+B28</f>
        <v>0</v>
      </c>
      <c r="C29" s="171">
        <f>C27+C28</f>
        <v>0</v>
      </c>
      <c r="D29" s="171">
        <f>D27+D28</f>
        <v>0</v>
      </c>
      <c r="E29" s="171">
        <f>B29/B$21+C29/C$21+D29/D$21</f>
        <v>0</v>
      </c>
      <c r="F29" s="89">
        <f>E29/60*300</f>
        <v>0</v>
      </c>
    </row>
    <row r="32" spans="1:6" x14ac:dyDescent="0.3">
      <c r="A32" s="111"/>
      <c r="B32" s="111"/>
      <c r="C32" s="111"/>
      <c r="D32" s="111"/>
      <c r="E32" s="111"/>
      <c r="F32" s="111"/>
    </row>
    <row r="33" spans="1:6" x14ac:dyDescent="0.3">
      <c r="A33" s="132"/>
      <c r="B33" s="132"/>
      <c r="C33" s="132"/>
      <c r="D33" s="132"/>
      <c r="E33" s="132"/>
      <c r="F33" s="132"/>
    </row>
    <row r="34" spans="1:6" ht="15" thickBot="1" x14ac:dyDescent="0.35"/>
    <row r="35" spans="1:6" ht="15" thickBot="1" x14ac:dyDescent="0.35">
      <c r="A35" s="110"/>
      <c r="B35" s="41" t="s">
        <v>61</v>
      </c>
      <c r="C35" s="61" t="s">
        <v>62</v>
      </c>
      <c r="D35" s="61" t="s">
        <v>63</v>
      </c>
      <c r="E35" s="61" t="s">
        <v>64</v>
      </c>
      <c r="F35" s="29" t="s">
        <v>65</v>
      </c>
    </row>
    <row r="36" spans="1:6" x14ac:dyDescent="0.3">
      <c r="A36" s="66"/>
      <c r="B36" s="167">
        <v>0.47</v>
      </c>
      <c r="C36" s="168">
        <v>0.09</v>
      </c>
      <c r="D36" s="168">
        <v>0.38</v>
      </c>
      <c r="E36" s="58"/>
      <c r="F36" s="59"/>
    </row>
    <row r="37" spans="1:6" x14ac:dyDescent="0.3">
      <c r="A37" s="44" t="s">
        <v>66</v>
      </c>
      <c r="B37" s="169"/>
      <c r="C37" s="162"/>
      <c r="D37" s="162"/>
      <c r="E37" s="69">
        <f>B37/B$36+C37/C$36+D37/D$36</f>
        <v>0</v>
      </c>
      <c r="F37" s="87">
        <f>E37*300</f>
        <v>0</v>
      </c>
    </row>
    <row r="38" spans="1:6" x14ac:dyDescent="0.3">
      <c r="A38" s="44" t="s">
        <v>67</v>
      </c>
      <c r="B38" s="169"/>
      <c r="C38" s="162"/>
      <c r="D38" s="162"/>
      <c r="E38" s="69">
        <f>B38/B$36+C38/C$36+D38/D$36</f>
        <v>0</v>
      </c>
      <c r="F38" s="87">
        <f>E38*300</f>
        <v>0</v>
      </c>
    </row>
    <row r="39" spans="1:6" ht="15" thickBot="1" x14ac:dyDescent="0.35">
      <c r="A39" s="67" t="s">
        <v>11</v>
      </c>
      <c r="B39" s="170">
        <f>B37+B38</f>
        <v>0</v>
      </c>
      <c r="C39" s="171">
        <f>C37+C38</f>
        <v>0</v>
      </c>
      <c r="D39" s="171">
        <f>D37+D38</f>
        <v>0</v>
      </c>
      <c r="E39" s="171">
        <f>B39/B$36+C39/C$36+D39/D$36</f>
        <v>0</v>
      </c>
      <c r="F39" s="89">
        <f>E39*300</f>
        <v>0</v>
      </c>
    </row>
    <row r="40" spans="1:6" ht="15" thickBot="1" x14ac:dyDescent="0.35">
      <c r="A40" s="110"/>
      <c r="B40" s="41" t="s">
        <v>61</v>
      </c>
      <c r="C40" s="61" t="s">
        <v>62</v>
      </c>
      <c r="D40" s="61" t="s">
        <v>63</v>
      </c>
      <c r="E40" s="61" t="s">
        <v>64</v>
      </c>
      <c r="F40" s="29" t="s">
        <v>65</v>
      </c>
    </row>
    <row r="41" spans="1:6" x14ac:dyDescent="0.3">
      <c r="A41" s="66"/>
      <c r="B41" s="167">
        <v>0.47</v>
      </c>
      <c r="C41" s="168">
        <v>0.09</v>
      </c>
      <c r="D41" s="168">
        <v>0.38</v>
      </c>
      <c r="E41" s="58"/>
      <c r="F41" s="59"/>
    </row>
    <row r="42" spans="1:6" x14ac:dyDescent="0.3">
      <c r="A42" s="44" t="s">
        <v>66</v>
      </c>
      <c r="B42" s="169"/>
      <c r="C42" s="162"/>
      <c r="D42" s="162"/>
      <c r="E42" s="69">
        <f>B42/B$36+C42/C$36+D42/D$36</f>
        <v>0</v>
      </c>
      <c r="F42" s="87">
        <f>E42*300</f>
        <v>0</v>
      </c>
    </row>
    <row r="43" spans="1:6" x14ac:dyDescent="0.3">
      <c r="A43" s="44" t="s">
        <v>67</v>
      </c>
      <c r="B43" s="169"/>
      <c r="C43" s="162"/>
      <c r="D43" s="162"/>
      <c r="E43" s="69">
        <f>B43/B$36+C43/C$36+D43/D$36</f>
        <v>0</v>
      </c>
      <c r="F43" s="87">
        <f>E43*300</f>
        <v>0</v>
      </c>
    </row>
    <row r="44" spans="1:6" ht="15" thickBot="1" x14ac:dyDescent="0.35">
      <c r="A44" s="67" t="s">
        <v>11</v>
      </c>
      <c r="B44" s="170">
        <f>B42+B43</f>
        <v>0</v>
      </c>
      <c r="C44" s="171">
        <f>C42+C43</f>
        <v>0</v>
      </c>
      <c r="D44" s="171">
        <f>D42+D43</f>
        <v>0</v>
      </c>
      <c r="E44" s="171">
        <f>B44/B$36+C44/C$36+D44/D$36</f>
        <v>0</v>
      </c>
      <c r="F44" s="89">
        <f>E44*300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/>
  <dimension ref="A5:T105"/>
  <sheetViews>
    <sheetView zoomScaleNormal="100" workbookViewId="0">
      <selection activeCell="C11" sqref="C11"/>
    </sheetView>
  </sheetViews>
  <sheetFormatPr defaultRowHeight="14.4" x14ac:dyDescent="0.3"/>
  <cols>
    <col min="1" max="1" width="27" customWidth="1"/>
    <col min="2" max="2" width="21" customWidth="1"/>
    <col min="3" max="3" width="20.6640625" customWidth="1"/>
    <col min="4" max="4" width="10.5546875" bestFit="1" customWidth="1"/>
    <col min="6" max="6" width="15.44140625" bestFit="1" customWidth="1"/>
    <col min="7" max="7" width="10.5546875" bestFit="1" customWidth="1"/>
    <col min="8" max="8" width="10" bestFit="1" customWidth="1"/>
    <col min="11" max="11" width="22.109375" customWidth="1"/>
    <col min="12" max="12" width="14.88671875" bestFit="1" customWidth="1"/>
    <col min="13" max="13" width="13.33203125" bestFit="1" customWidth="1"/>
    <col min="14" max="14" width="9.33203125" bestFit="1" customWidth="1"/>
    <col min="15" max="15" width="17.5546875" bestFit="1" customWidth="1"/>
    <col min="18" max="18" width="11.5546875" bestFit="1" customWidth="1"/>
    <col min="20" max="20" width="10" bestFit="1" customWidth="1"/>
    <col min="21" max="21" width="14.44140625" bestFit="1" customWidth="1"/>
    <col min="22" max="22" width="10.5546875" customWidth="1"/>
  </cols>
  <sheetData>
    <row r="5" spans="1:20" x14ac:dyDescent="0.3">
      <c r="A5" s="11" t="s">
        <v>85</v>
      </c>
    </row>
    <row r="6" spans="1:20" ht="15" customHeight="1" thickBot="1" x14ac:dyDescent="0.35">
      <c r="K6" s="10" t="s">
        <v>86</v>
      </c>
    </row>
    <row r="7" spans="1:20" ht="15" customHeight="1" thickBot="1" x14ac:dyDescent="0.35">
      <c r="A7" s="8" t="s">
        <v>87</v>
      </c>
      <c r="B7" s="8" t="s">
        <v>88</v>
      </c>
      <c r="C7" s="8" t="s">
        <v>89</v>
      </c>
      <c r="D7" s="8" t="s">
        <v>90</v>
      </c>
      <c r="E7" s="14"/>
      <c r="F7" s="8" t="s">
        <v>87</v>
      </c>
      <c r="G7" s="8" t="s">
        <v>91</v>
      </c>
      <c r="H7" s="8" t="s">
        <v>92</v>
      </c>
      <c r="I7" s="8" t="s">
        <v>93</v>
      </c>
      <c r="K7" s="110">
        <f>Diskonttaus!B4</f>
        <v>2030</v>
      </c>
      <c r="L7" s="41" t="s">
        <v>94</v>
      </c>
      <c r="M7" s="61" t="s">
        <v>94</v>
      </c>
      <c r="N7" s="61" t="s">
        <v>94</v>
      </c>
      <c r="O7" s="91" t="s">
        <v>11</v>
      </c>
      <c r="R7" s="8" t="s">
        <v>87</v>
      </c>
      <c r="S7" s="8" t="s">
        <v>91</v>
      </c>
      <c r="T7" s="8" t="s">
        <v>92</v>
      </c>
    </row>
    <row r="8" spans="1:20" x14ac:dyDescent="0.3">
      <c r="A8" s="8" t="s">
        <v>95</v>
      </c>
      <c r="B8" s="174">
        <v>0.74</v>
      </c>
      <c r="C8" s="174">
        <v>50.79</v>
      </c>
      <c r="D8" s="175"/>
      <c r="E8" s="14"/>
      <c r="F8" s="65" t="s">
        <v>95</v>
      </c>
      <c r="G8" s="69">
        <f>300*S8</f>
        <v>0</v>
      </c>
      <c r="H8" s="69">
        <f>300*T8/60</f>
        <v>0</v>
      </c>
      <c r="I8" s="93"/>
      <c r="K8" s="66" t="s">
        <v>95</v>
      </c>
      <c r="L8" s="128">
        <f t="shared" ref="L8:N12" si="0">B8*G8</f>
        <v>0</v>
      </c>
      <c r="M8" s="147">
        <f t="shared" si="0"/>
        <v>0</v>
      </c>
      <c r="N8" s="147">
        <f t="shared" si="0"/>
        <v>0</v>
      </c>
      <c r="O8" s="147">
        <f t="shared" ref="O8:O13" si="1">SUM(L8:N8)</f>
        <v>0</v>
      </c>
      <c r="R8" s="8" t="s">
        <v>95</v>
      </c>
      <c r="S8" s="176"/>
      <c r="T8" s="176"/>
    </row>
    <row r="9" spans="1:20" x14ac:dyDescent="0.3">
      <c r="A9" s="8" t="s">
        <v>96</v>
      </c>
      <c r="B9" s="174">
        <v>0.78</v>
      </c>
      <c r="C9" s="174">
        <v>52.96</v>
      </c>
      <c r="D9" s="175"/>
      <c r="E9" s="15"/>
      <c r="F9" s="65" t="s">
        <v>96</v>
      </c>
      <c r="G9" s="69">
        <f>300*S9</f>
        <v>0</v>
      </c>
      <c r="H9" s="69">
        <f>300*T9/60</f>
        <v>0</v>
      </c>
      <c r="I9" s="93"/>
      <c r="K9" s="44" t="s">
        <v>96</v>
      </c>
      <c r="L9" s="129">
        <f t="shared" si="0"/>
        <v>0</v>
      </c>
      <c r="M9" s="148">
        <f t="shared" si="0"/>
        <v>0</v>
      </c>
      <c r="N9" s="148">
        <f t="shared" si="0"/>
        <v>0</v>
      </c>
      <c r="O9" s="148">
        <f t="shared" si="1"/>
        <v>0</v>
      </c>
      <c r="R9" s="8" t="s">
        <v>96</v>
      </c>
      <c r="S9" s="176"/>
      <c r="T9" s="176"/>
    </row>
    <row r="10" spans="1:20" x14ac:dyDescent="0.3">
      <c r="A10" s="8" t="s">
        <v>97</v>
      </c>
      <c r="B10" s="174">
        <v>2.2999999999999998</v>
      </c>
      <c r="C10" s="174">
        <v>83</v>
      </c>
      <c r="D10" s="175"/>
      <c r="E10" s="15"/>
      <c r="F10" s="65" t="s">
        <v>97</v>
      </c>
      <c r="G10" s="69">
        <f>300*S10</f>
        <v>0</v>
      </c>
      <c r="H10" s="69">
        <f>300*T10/60</f>
        <v>0</v>
      </c>
      <c r="I10" s="93"/>
      <c r="K10" s="44" t="s">
        <v>97</v>
      </c>
      <c r="L10" s="129">
        <f t="shared" si="0"/>
        <v>0</v>
      </c>
      <c r="M10" s="148">
        <f t="shared" si="0"/>
        <v>0</v>
      </c>
      <c r="N10" s="148">
        <f t="shared" si="0"/>
        <v>0</v>
      </c>
      <c r="O10" s="148">
        <f t="shared" si="1"/>
        <v>0</v>
      </c>
      <c r="R10" s="8" t="s">
        <v>97</v>
      </c>
      <c r="S10" s="176"/>
      <c r="T10" s="176"/>
    </row>
    <row r="11" spans="1:20" x14ac:dyDescent="0.3">
      <c r="A11" s="8" t="s">
        <v>98</v>
      </c>
      <c r="B11" s="174">
        <v>0.46</v>
      </c>
      <c r="C11" s="174">
        <v>201.14</v>
      </c>
      <c r="D11" s="175">
        <f>B78*1000000</f>
        <v>683287.165281625</v>
      </c>
      <c r="E11" s="15"/>
      <c r="F11" s="65" t="s">
        <v>98</v>
      </c>
      <c r="G11" s="69">
        <f>300*S11</f>
        <v>0</v>
      </c>
      <c r="H11" s="69">
        <f>300*T11/60</f>
        <v>0</v>
      </c>
      <c r="I11" s="93"/>
      <c r="K11" s="44" t="s">
        <v>98</v>
      </c>
      <c r="L11" s="129">
        <f t="shared" si="0"/>
        <v>0</v>
      </c>
      <c r="M11" s="148">
        <f t="shared" si="0"/>
        <v>0</v>
      </c>
      <c r="N11" s="148">
        <f t="shared" si="0"/>
        <v>0</v>
      </c>
      <c r="O11" s="148">
        <f t="shared" si="1"/>
        <v>0</v>
      </c>
      <c r="R11" s="8" t="s">
        <v>98</v>
      </c>
      <c r="S11" s="176"/>
      <c r="T11" s="176"/>
    </row>
    <row r="12" spans="1:20" x14ac:dyDescent="0.3">
      <c r="A12" s="8" t="s">
        <v>99</v>
      </c>
      <c r="B12" s="174">
        <v>2.9</v>
      </c>
      <c r="C12" s="174">
        <v>392</v>
      </c>
      <c r="D12" s="175"/>
      <c r="E12" s="58"/>
      <c r="F12" s="65" t="s">
        <v>99</v>
      </c>
      <c r="G12" s="69">
        <f>300*S12</f>
        <v>0</v>
      </c>
      <c r="H12" s="69">
        <f>300*T12/60</f>
        <v>0</v>
      </c>
      <c r="I12" s="93"/>
      <c r="K12" s="44" t="s">
        <v>99</v>
      </c>
      <c r="L12" s="129">
        <f t="shared" si="0"/>
        <v>0</v>
      </c>
      <c r="M12" s="148">
        <f t="shared" si="0"/>
        <v>0</v>
      </c>
      <c r="N12" s="148">
        <f t="shared" si="0"/>
        <v>0</v>
      </c>
      <c r="O12" s="148">
        <f t="shared" si="1"/>
        <v>0</v>
      </c>
      <c r="R12" s="8" t="s">
        <v>99</v>
      </c>
      <c r="S12" s="176"/>
      <c r="T12" s="176"/>
    </row>
    <row r="13" spans="1:20" ht="15" customHeight="1" thickBot="1" x14ac:dyDescent="0.35">
      <c r="K13" s="90" t="s">
        <v>11</v>
      </c>
      <c r="L13" s="129">
        <f>SUM(L8:L12)</f>
        <v>0</v>
      </c>
      <c r="M13" s="148">
        <f>SUM(M8:M12)</f>
        <v>0</v>
      </c>
      <c r="N13" s="148">
        <f>SUM(N8:N12)</f>
        <v>0</v>
      </c>
      <c r="O13" s="134">
        <f t="shared" si="1"/>
        <v>0</v>
      </c>
    </row>
    <row r="14" spans="1:20" ht="15" customHeight="1" thickBot="1" x14ac:dyDescent="0.35">
      <c r="L14" s="115"/>
      <c r="M14" s="115"/>
      <c r="N14" s="115"/>
      <c r="O14" s="115"/>
      <c r="T14" s="13"/>
    </row>
    <row r="15" spans="1:20" ht="15" customHeight="1" thickBot="1" x14ac:dyDescent="0.35">
      <c r="F15" s="8" t="s">
        <v>87</v>
      </c>
      <c r="G15" s="8" t="s">
        <v>91</v>
      </c>
      <c r="H15" s="8" t="s">
        <v>92</v>
      </c>
      <c r="I15" s="8" t="s">
        <v>93</v>
      </c>
      <c r="K15" s="110">
        <f>Diskonttaus!B6</f>
        <v>2050</v>
      </c>
      <c r="L15" s="41" t="s">
        <v>94</v>
      </c>
      <c r="M15" s="61" t="s">
        <v>94</v>
      </c>
      <c r="N15" s="61" t="s">
        <v>94</v>
      </c>
      <c r="O15" s="91" t="s">
        <v>11</v>
      </c>
      <c r="R15" s="8" t="s">
        <v>87</v>
      </c>
      <c r="S15" s="8" t="s">
        <v>91</v>
      </c>
      <c r="T15" s="8" t="s">
        <v>92</v>
      </c>
    </row>
    <row r="16" spans="1:20" x14ac:dyDescent="0.3">
      <c r="F16" s="8" t="s">
        <v>95</v>
      </c>
      <c r="G16" s="69">
        <f>300*S16</f>
        <v>0</v>
      </c>
      <c r="H16" s="69">
        <f>300*T16/60</f>
        <v>0</v>
      </c>
      <c r="I16" s="93"/>
      <c r="K16" s="66" t="s">
        <v>95</v>
      </c>
      <c r="L16" s="128">
        <f t="shared" ref="L16:N20" si="2">B8*G16</f>
        <v>0</v>
      </c>
      <c r="M16" s="147">
        <f t="shared" si="2"/>
        <v>0</v>
      </c>
      <c r="N16" s="147">
        <f t="shared" si="2"/>
        <v>0</v>
      </c>
      <c r="O16" s="147">
        <f t="shared" ref="O16:O21" si="3">SUM(L16:N16)</f>
        <v>0</v>
      </c>
      <c r="R16" s="8" t="s">
        <v>95</v>
      </c>
      <c r="S16" s="162"/>
      <c r="T16" s="162"/>
    </row>
    <row r="17" spans="1:20" x14ac:dyDescent="0.3">
      <c r="F17" s="8" t="s">
        <v>96</v>
      </c>
      <c r="G17" s="69">
        <f>300*S17</f>
        <v>0</v>
      </c>
      <c r="H17" s="69">
        <f>300*T17/60</f>
        <v>0</v>
      </c>
      <c r="I17" s="93"/>
      <c r="K17" s="44" t="s">
        <v>96</v>
      </c>
      <c r="L17" s="129">
        <f t="shared" si="2"/>
        <v>0</v>
      </c>
      <c r="M17" s="148">
        <f t="shared" si="2"/>
        <v>0</v>
      </c>
      <c r="N17" s="148">
        <f t="shared" si="2"/>
        <v>0</v>
      </c>
      <c r="O17" s="148">
        <f t="shared" si="3"/>
        <v>0</v>
      </c>
      <c r="R17" s="8" t="s">
        <v>96</v>
      </c>
      <c r="S17" s="162"/>
      <c r="T17" s="162"/>
    </row>
    <row r="18" spans="1:20" x14ac:dyDescent="0.3">
      <c r="F18" s="8" t="s">
        <v>97</v>
      </c>
      <c r="G18" s="69">
        <f>300*S18</f>
        <v>0</v>
      </c>
      <c r="H18" s="69">
        <f>300*T18/60</f>
        <v>0</v>
      </c>
      <c r="I18" s="93"/>
      <c r="K18" s="44" t="s">
        <v>97</v>
      </c>
      <c r="L18" s="129">
        <f t="shared" si="2"/>
        <v>0</v>
      </c>
      <c r="M18" s="148">
        <f t="shared" si="2"/>
        <v>0</v>
      </c>
      <c r="N18" s="148">
        <f t="shared" si="2"/>
        <v>0</v>
      </c>
      <c r="O18" s="148">
        <f t="shared" si="3"/>
        <v>0</v>
      </c>
      <c r="R18" s="8" t="s">
        <v>97</v>
      </c>
      <c r="S18" s="162"/>
      <c r="T18" s="162"/>
    </row>
    <row r="19" spans="1:20" x14ac:dyDescent="0.3">
      <c r="F19" s="8" t="s">
        <v>98</v>
      </c>
      <c r="G19" s="69">
        <f>300*S19</f>
        <v>0</v>
      </c>
      <c r="H19" s="69">
        <f>300*T19/60</f>
        <v>0</v>
      </c>
      <c r="I19" s="93"/>
      <c r="K19" s="44" t="s">
        <v>98</v>
      </c>
      <c r="L19" s="129">
        <f t="shared" si="2"/>
        <v>0</v>
      </c>
      <c r="M19" s="148">
        <f t="shared" si="2"/>
        <v>0</v>
      </c>
      <c r="N19" s="148">
        <f t="shared" si="2"/>
        <v>0</v>
      </c>
      <c r="O19" s="148">
        <f t="shared" si="3"/>
        <v>0</v>
      </c>
      <c r="R19" s="8" t="s">
        <v>98</v>
      </c>
      <c r="S19" s="162"/>
      <c r="T19" s="162"/>
    </row>
    <row r="20" spans="1:20" x14ac:dyDescent="0.3">
      <c r="F20" s="8" t="s">
        <v>99</v>
      </c>
      <c r="G20" s="69">
        <f>300*S20</f>
        <v>0</v>
      </c>
      <c r="H20" s="69">
        <f>300*T20/60</f>
        <v>0</v>
      </c>
      <c r="I20" s="93"/>
      <c r="K20" s="44" t="s">
        <v>99</v>
      </c>
      <c r="L20" s="129">
        <f t="shared" si="2"/>
        <v>0</v>
      </c>
      <c r="M20" s="148">
        <f t="shared" si="2"/>
        <v>0</v>
      </c>
      <c r="N20" s="148">
        <f t="shared" si="2"/>
        <v>0</v>
      </c>
      <c r="O20" s="148">
        <f t="shared" si="3"/>
        <v>0</v>
      </c>
      <c r="R20" s="8" t="s">
        <v>99</v>
      </c>
      <c r="S20" s="162"/>
      <c r="T20" s="162"/>
    </row>
    <row r="21" spans="1:20" ht="15" customHeight="1" thickBot="1" x14ac:dyDescent="0.35">
      <c r="K21" s="90" t="s">
        <v>11</v>
      </c>
      <c r="L21" s="129">
        <f>SUM(L16:L20)</f>
        <v>0</v>
      </c>
      <c r="M21" s="148">
        <f>SUM(M16:M20)</f>
        <v>0</v>
      </c>
      <c r="N21" s="148">
        <f>SUM(N16:N20)</f>
        <v>0</v>
      </c>
      <c r="O21" s="134">
        <f t="shared" si="3"/>
        <v>0</v>
      </c>
      <c r="T21" s="13"/>
    </row>
    <row r="22" spans="1:20" ht="15" customHeight="1" thickBot="1" x14ac:dyDescent="0.35">
      <c r="L22" s="115"/>
      <c r="M22" s="115"/>
      <c r="N22" s="115"/>
      <c r="O22" s="115"/>
      <c r="T22" s="13"/>
    </row>
    <row r="23" spans="1:20" ht="18.600000000000001" customHeight="1" thickBot="1" x14ac:dyDescent="0.4">
      <c r="A23" s="11"/>
      <c r="B23" s="26"/>
      <c r="K23" s="149" t="s">
        <v>68</v>
      </c>
      <c r="L23" s="115"/>
      <c r="M23" s="115"/>
      <c r="N23" s="115"/>
      <c r="O23" s="150">
        <f ca="1">IF(ISNUMBER(Diskonttaus!B20),Diskonttaus!B29*O13+Diskonttaus!B30*O21,Diskonttaus!B29*O13)</f>
        <v>0</v>
      </c>
      <c r="T23" s="13"/>
    </row>
    <row r="24" spans="1:20" x14ac:dyDescent="0.3">
      <c r="T24" s="13"/>
    </row>
    <row r="25" spans="1:20" x14ac:dyDescent="0.3">
      <c r="T25" s="13"/>
    </row>
    <row r="26" spans="1:20" ht="12.75" customHeight="1" x14ac:dyDescent="0.3">
      <c r="T26" s="13"/>
    </row>
    <row r="27" spans="1:20" s="132" customFormat="1" x14ac:dyDescent="0.3"/>
    <row r="29" spans="1:20" ht="15" customHeight="1" thickBot="1" x14ac:dyDescent="0.35">
      <c r="B29" s="10" t="s">
        <v>76</v>
      </c>
    </row>
    <row r="30" spans="1:20" x14ac:dyDescent="0.3">
      <c r="A30" s="11" t="s">
        <v>100</v>
      </c>
      <c r="B30" s="96">
        <f>Diskonttaus!B4</f>
        <v>2030</v>
      </c>
      <c r="C30" s="94"/>
    </row>
    <row r="31" spans="1:20" x14ac:dyDescent="0.3">
      <c r="B31" s="44" t="s">
        <v>101</v>
      </c>
      <c r="C31" s="146"/>
    </row>
    <row r="32" spans="1:20" ht="15" customHeight="1" thickBot="1" x14ac:dyDescent="0.35">
      <c r="B32" s="67" t="s">
        <v>11</v>
      </c>
      <c r="C32" s="135">
        <f>SUM(C31:C31)</f>
        <v>0</v>
      </c>
    </row>
    <row r="33" spans="1:6" ht="15" customHeight="1" thickBot="1" x14ac:dyDescent="0.35"/>
    <row r="34" spans="1:6" x14ac:dyDescent="0.3">
      <c r="B34" s="96">
        <f>Diskonttaus!B6</f>
        <v>2050</v>
      </c>
      <c r="C34" s="94"/>
    </row>
    <row r="35" spans="1:6" x14ac:dyDescent="0.3">
      <c r="B35" s="44" t="s">
        <v>101</v>
      </c>
      <c r="C35" s="78"/>
    </row>
    <row r="36" spans="1:6" ht="15" customHeight="1" thickBot="1" x14ac:dyDescent="0.35">
      <c r="B36" s="67" t="s">
        <v>11</v>
      </c>
      <c r="C36" s="142">
        <f>SUM(C35:C35)</f>
        <v>0</v>
      </c>
    </row>
    <row r="37" spans="1:6" ht="15" customHeight="1" thickBot="1" x14ac:dyDescent="0.35"/>
    <row r="38" spans="1:6" ht="18.600000000000001" customHeight="1" thickBot="1" x14ac:dyDescent="0.4">
      <c r="B38" s="151" t="s">
        <v>68</v>
      </c>
      <c r="C38" s="150">
        <f ca="1">Diskonttaus!B19*C32</f>
        <v>0</v>
      </c>
    </row>
    <row r="40" spans="1:6" ht="15" customHeight="1" thickBot="1" x14ac:dyDescent="0.35">
      <c r="A40" s="11" t="s">
        <v>102</v>
      </c>
      <c r="B40" s="26"/>
    </row>
    <row r="41" spans="1:6" ht="15" customHeight="1" thickBot="1" x14ac:dyDescent="0.35">
      <c r="B41" s="74" t="s">
        <v>61</v>
      </c>
      <c r="C41" s="61" t="s">
        <v>103</v>
      </c>
      <c r="D41" s="61" t="s">
        <v>63</v>
      </c>
      <c r="E41" s="61" t="s">
        <v>64</v>
      </c>
      <c r="F41" s="29" t="s">
        <v>65</v>
      </c>
    </row>
    <row r="42" spans="1:6" x14ac:dyDescent="0.3">
      <c r="A42" s="12">
        <f>Diskonttaus!B4</f>
        <v>2030</v>
      </c>
      <c r="B42" s="223">
        <v>0.47</v>
      </c>
      <c r="C42" s="168">
        <v>0.11</v>
      </c>
      <c r="D42" s="168">
        <v>0.46</v>
      </c>
      <c r="E42" s="58"/>
      <c r="F42" s="59"/>
    </row>
    <row r="43" spans="1:6" ht="15" customHeight="1" thickBot="1" x14ac:dyDescent="0.35">
      <c r="A43" t="s">
        <v>104</v>
      </c>
      <c r="B43" s="221"/>
      <c r="C43" s="222"/>
      <c r="D43" s="222"/>
      <c r="E43" s="171">
        <f>B43/B42+C43/C42+D43/D42</f>
        <v>0</v>
      </c>
      <c r="F43" s="136">
        <f>E43*300</f>
        <v>0</v>
      </c>
    </row>
    <row r="44" spans="1:6" ht="15" customHeight="1" thickBot="1" x14ac:dyDescent="0.35">
      <c r="B44" s="74" t="s">
        <v>61</v>
      </c>
      <c r="C44" s="61" t="s">
        <v>103</v>
      </c>
      <c r="D44" s="61" t="s">
        <v>63</v>
      </c>
      <c r="E44" s="61" t="s">
        <v>64</v>
      </c>
      <c r="F44" s="29" t="s">
        <v>65</v>
      </c>
    </row>
    <row r="45" spans="1:6" x14ac:dyDescent="0.3">
      <c r="A45" s="12">
        <f>Diskonttaus!B6</f>
        <v>2050</v>
      </c>
      <c r="B45" s="223">
        <v>0.47</v>
      </c>
      <c r="C45" s="168">
        <v>0.11</v>
      </c>
      <c r="D45" s="168">
        <v>0.46</v>
      </c>
      <c r="E45" s="58"/>
      <c r="F45" s="59"/>
    </row>
    <row r="46" spans="1:6" ht="15" customHeight="1" thickBot="1" x14ac:dyDescent="0.35">
      <c r="A46" t="s">
        <v>104</v>
      </c>
      <c r="B46" s="221"/>
      <c r="C46" s="222"/>
      <c r="D46" s="222"/>
      <c r="E46" s="171">
        <f>B46/B45+C46/C45+D46/D45</f>
        <v>0</v>
      </c>
      <c r="F46" s="136">
        <f>E46*300</f>
        <v>0</v>
      </c>
    </row>
    <row r="47" spans="1:6" ht="15" customHeight="1" thickBot="1" x14ac:dyDescent="0.35"/>
    <row r="48" spans="1:6" ht="18.600000000000001" customHeight="1" thickBot="1" x14ac:dyDescent="0.4">
      <c r="A48" s="152" t="s">
        <v>68</v>
      </c>
      <c r="F48" s="150">
        <f ca="1">IF(ISNUMBER(Diskonttaus!B20),Diskonttaus!B26*F43+Diskonttaus!B27*F46,Diskonttaus!B26*F43)</f>
        <v>0</v>
      </c>
    </row>
    <row r="50" spans="1:12" s="132" customFormat="1" x14ac:dyDescent="0.3"/>
    <row r="52" spans="1:12" x14ac:dyDescent="0.3">
      <c r="A52" s="11" t="s">
        <v>105</v>
      </c>
    </row>
    <row r="53" spans="1:12" ht="15" customHeight="1" thickBot="1" x14ac:dyDescent="0.35">
      <c r="K53" s="10" t="s">
        <v>86</v>
      </c>
    </row>
    <row r="54" spans="1:12" ht="15" customHeight="1" thickBot="1" x14ac:dyDescent="0.35">
      <c r="A54" s="8" t="s">
        <v>106</v>
      </c>
      <c r="B54" s="8" t="s">
        <v>107</v>
      </c>
      <c r="F54" s="8">
        <f>Diskonttaus!B4</f>
        <v>2030</v>
      </c>
      <c r="G54" s="8" t="s">
        <v>108</v>
      </c>
      <c r="K54" s="110" t="s">
        <v>106</v>
      </c>
      <c r="L54" s="86" t="s">
        <v>94</v>
      </c>
    </row>
    <row r="55" spans="1:12" x14ac:dyDescent="0.3">
      <c r="A55" s="8" t="s">
        <v>109</v>
      </c>
      <c r="B55" s="177">
        <v>2.0999999999999999E-3</v>
      </c>
      <c r="F55" s="8" t="s">
        <v>109</v>
      </c>
      <c r="G55" s="8">
        <f>300*(Ulkoisvaikutukset!O15+Ulkoisvaikutukset!O19)</f>
        <v>0</v>
      </c>
      <c r="K55" s="66" t="s">
        <v>110</v>
      </c>
      <c r="L55" s="101">
        <f>B55*G55</f>
        <v>0</v>
      </c>
    </row>
    <row r="56" spans="1:12" x14ac:dyDescent="0.3">
      <c r="A56" s="8" t="s">
        <v>97</v>
      </c>
      <c r="B56" s="174">
        <v>0.1</v>
      </c>
      <c r="F56" s="8" t="s">
        <v>97</v>
      </c>
      <c r="G56" s="69">
        <f>Tuottajahyodyt!G10</f>
        <v>0</v>
      </c>
      <c r="K56" s="44" t="s">
        <v>97</v>
      </c>
      <c r="L56" s="146">
        <f>B56*G56</f>
        <v>0</v>
      </c>
    </row>
    <row r="57" spans="1:12" x14ac:dyDescent="0.3">
      <c r="A57" s="8" t="s">
        <v>98</v>
      </c>
      <c r="B57" s="174">
        <f>C73</f>
        <v>4.9835192903259135E-2</v>
      </c>
      <c r="F57" s="8" t="s">
        <v>98</v>
      </c>
      <c r="G57" s="69">
        <f>G11</f>
        <v>0</v>
      </c>
      <c r="K57" s="44" t="s">
        <v>98</v>
      </c>
      <c r="L57" s="146">
        <f>B57*G57</f>
        <v>0</v>
      </c>
    </row>
    <row r="58" spans="1:12" ht="15" customHeight="1" thickBot="1" x14ac:dyDescent="0.35">
      <c r="A58" s="8" t="s">
        <v>99</v>
      </c>
      <c r="B58" s="174">
        <f>132*0.0018</f>
        <v>0.23760000000000001</v>
      </c>
      <c r="F58" s="8" t="s">
        <v>99</v>
      </c>
      <c r="G58" s="69">
        <f>G12</f>
        <v>0</v>
      </c>
      <c r="K58" s="100" t="s">
        <v>99</v>
      </c>
      <c r="L58" s="126">
        <f>B58*G58</f>
        <v>0</v>
      </c>
    </row>
    <row r="59" spans="1:12" ht="15" customHeight="1" thickBot="1" x14ac:dyDescent="0.35">
      <c r="K59" s="40" t="s">
        <v>11</v>
      </c>
      <c r="L59" s="137">
        <f>SUM(L55:L58)</f>
        <v>0</v>
      </c>
    </row>
    <row r="60" spans="1:12" ht="15" customHeight="1" thickBot="1" x14ac:dyDescent="0.35"/>
    <row r="61" spans="1:12" ht="15" customHeight="1" thickBot="1" x14ac:dyDescent="0.35">
      <c r="F61" s="8">
        <f>Diskonttaus!B6</f>
        <v>2050</v>
      </c>
      <c r="G61" s="8" t="s">
        <v>108</v>
      </c>
      <c r="K61" s="110" t="s">
        <v>106</v>
      </c>
      <c r="L61" s="86" t="s">
        <v>94</v>
      </c>
    </row>
    <row r="62" spans="1:12" x14ac:dyDescent="0.3">
      <c r="F62" s="8" t="s">
        <v>109</v>
      </c>
      <c r="G62" s="8">
        <f>300*(Ulkoisvaikutukset!O28+Ulkoisvaikutukset!O32)</f>
        <v>0</v>
      </c>
      <c r="K62" s="66" t="s">
        <v>110</v>
      </c>
      <c r="L62" s="101">
        <f>B55*G62</f>
        <v>0</v>
      </c>
    </row>
    <row r="63" spans="1:12" x14ac:dyDescent="0.3">
      <c r="F63" s="8" t="s">
        <v>97</v>
      </c>
      <c r="G63" s="69">
        <f>Tuottajahyodyt!G18</f>
        <v>0</v>
      </c>
      <c r="K63" s="44" t="s">
        <v>97</v>
      </c>
      <c r="L63" s="146">
        <f>B56*G63</f>
        <v>0</v>
      </c>
    </row>
    <row r="64" spans="1:12" x14ac:dyDescent="0.3">
      <c r="F64" s="8" t="s">
        <v>98</v>
      </c>
      <c r="G64" s="69">
        <f>G19</f>
        <v>0</v>
      </c>
      <c r="K64" s="44" t="s">
        <v>98</v>
      </c>
      <c r="L64" s="146">
        <f>B57*G64</f>
        <v>0</v>
      </c>
    </row>
    <row r="65" spans="1:12" ht="15" customHeight="1" thickBot="1" x14ac:dyDescent="0.35">
      <c r="F65" s="8" t="s">
        <v>99</v>
      </c>
      <c r="G65" s="69">
        <f>G20</f>
        <v>0</v>
      </c>
      <c r="K65" s="100" t="s">
        <v>99</v>
      </c>
      <c r="L65" s="126">
        <f>B58*G65</f>
        <v>0</v>
      </c>
    </row>
    <row r="66" spans="1:12" ht="15" customHeight="1" thickBot="1" x14ac:dyDescent="0.35">
      <c r="K66" s="40" t="s">
        <v>11</v>
      </c>
      <c r="L66" s="137">
        <f>SUM(L62:L65)</f>
        <v>0</v>
      </c>
    </row>
    <row r="67" spans="1:12" ht="15" customHeight="1" thickBot="1" x14ac:dyDescent="0.35"/>
    <row r="68" spans="1:12" ht="18.600000000000001" customHeight="1" thickBot="1" x14ac:dyDescent="0.4">
      <c r="K68" s="152" t="s">
        <v>68</v>
      </c>
      <c r="L68" s="150">
        <f ca="1">IF(ISNUMBER(Diskonttaus!B20),Diskonttaus!B26*L59+Diskonttaus!B27*L66,Diskonttaus!B26*L59)</f>
        <v>0</v>
      </c>
    </row>
    <row r="69" spans="1:12" ht="15" customHeight="1" thickBot="1" x14ac:dyDescent="0.35"/>
    <row r="70" spans="1:12" ht="15" customHeight="1" thickBot="1" x14ac:dyDescent="0.35">
      <c r="A70" s="110" t="s">
        <v>111</v>
      </c>
      <c r="B70" s="41" t="s">
        <v>112</v>
      </c>
      <c r="C70" s="29" t="s">
        <v>113</v>
      </c>
    </row>
    <row r="71" spans="1:12" x14ac:dyDescent="0.3">
      <c r="A71" s="66" t="s">
        <v>114</v>
      </c>
      <c r="B71" s="16">
        <v>13155725</v>
      </c>
      <c r="C71" s="59">
        <v>733536.36413013958</v>
      </c>
    </row>
    <row r="72" spans="1:12" ht="15" customHeight="1" thickBot="1" x14ac:dyDescent="0.35">
      <c r="A72" s="100" t="s">
        <v>115</v>
      </c>
      <c r="B72" s="218">
        <v>5484224</v>
      </c>
      <c r="C72" s="113">
        <v>14719244</v>
      </c>
    </row>
    <row r="73" spans="1:12" ht="15" customHeight="1" thickBot="1" x14ac:dyDescent="0.35">
      <c r="A73" s="110" t="s">
        <v>116</v>
      </c>
      <c r="B73" s="219">
        <f>B71/B72</f>
        <v>2.3988307188036084</v>
      </c>
      <c r="C73" s="220">
        <f>C71/C72</f>
        <v>4.9835192903259135E-2</v>
      </c>
    </row>
    <row r="76" spans="1:12" ht="15" customHeight="1" thickBot="1" x14ac:dyDescent="0.35"/>
    <row r="77" spans="1:12" x14ac:dyDescent="0.3">
      <c r="A77" s="217" t="s">
        <v>117</v>
      </c>
      <c r="B77" s="53"/>
    </row>
    <row r="78" spans="1:12" ht="15" customHeight="1" thickBot="1" x14ac:dyDescent="0.35">
      <c r="A78" s="55" t="s">
        <v>118</v>
      </c>
      <c r="B78" s="194">
        <v>0.68328716528162503</v>
      </c>
    </row>
    <row r="81" spans="2:2" x14ac:dyDescent="0.3">
      <c r="B81" s="27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4" x14ac:dyDescent="0.3">
      <c r="B97" s="1"/>
    </row>
    <row r="98" spans="2:4" x14ac:dyDescent="0.3">
      <c r="B98" s="1"/>
    </row>
    <row r="99" spans="2:4" x14ac:dyDescent="0.3">
      <c r="B99" s="1"/>
    </row>
    <row r="100" spans="2:4" x14ac:dyDescent="0.3">
      <c r="B100" s="1"/>
    </row>
    <row r="105" spans="2:4" x14ac:dyDescent="0.3">
      <c r="D105" s="28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3"/>
  <dimension ref="B2:P83"/>
  <sheetViews>
    <sheetView workbookViewId="0">
      <selection activeCell="I32" sqref="I32:M35"/>
    </sheetView>
  </sheetViews>
  <sheetFormatPr defaultRowHeight="14.4" x14ac:dyDescent="0.3"/>
  <cols>
    <col min="2" max="2" width="20.6640625" bestFit="1" customWidth="1"/>
    <col min="3" max="3" width="18.44140625" bestFit="1" customWidth="1"/>
    <col min="4" max="4" width="16.33203125" customWidth="1"/>
    <col min="5" max="5" width="13.88671875" customWidth="1"/>
    <col min="6" max="6" width="18.44140625" bestFit="1" customWidth="1"/>
    <col min="7" max="7" width="15.109375" customWidth="1"/>
    <col min="8" max="8" width="21.44140625" customWidth="1"/>
    <col min="9" max="9" width="11.33203125" bestFit="1" customWidth="1"/>
    <col min="10" max="10" width="14.33203125" customWidth="1"/>
    <col min="11" max="11" width="14" customWidth="1"/>
    <col min="12" max="12" width="18.109375" customWidth="1"/>
    <col min="13" max="13" width="21.6640625" bestFit="1" customWidth="1"/>
    <col min="14" max="14" width="19.6640625" bestFit="1" customWidth="1"/>
    <col min="15" max="15" width="9.5546875" bestFit="1" customWidth="1"/>
    <col min="16" max="16" width="18" bestFit="1" customWidth="1"/>
    <col min="17" max="17" width="13.109375" bestFit="1" customWidth="1"/>
    <col min="18" max="18" width="11.33203125" bestFit="1" customWidth="1"/>
  </cols>
  <sheetData>
    <row r="2" spans="2:15" ht="15" customHeight="1" thickBot="1" x14ac:dyDescent="0.35">
      <c r="B2" s="10" t="s">
        <v>119</v>
      </c>
      <c r="G2" s="10" t="s">
        <v>120</v>
      </c>
      <c r="L2" t="s">
        <v>121</v>
      </c>
    </row>
    <row r="3" spans="2:15" ht="15" customHeight="1" thickBot="1" x14ac:dyDescent="0.35">
      <c r="B3" s="40" t="s">
        <v>122</v>
      </c>
      <c r="C3" s="41" t="s">
        <v>123</v>
      </c>
      <c r="D3" s="29" t="s">
        <v>124</v>
      </c>
      <c r="F3" s="110" t="s">
        <v>122</v>
      </c>
      <c r="G3" s="41" t="s">
        <v>125</v>
      </c>
      <c r="H3" s="61" t="s">
        <v>126</v>
      </c>
      <c r="I3" s="61" t="s">
        <v>127</v>
      </c>
      <c r="J3" s="61" t="s">
        <v>128</v>
      </c>
      <c r="K3" s="61" t="s">
        <v>129</v>
      </c>
      <c r="L3" s="29" t="s">
        <v>130</v>
      </c>
    </row>
    <row r="4" spans="2:15" x14ac:dyDescent="0.3">
      <c r="B4" s="66" t="s">
        <v>95</v>
      </c>
      <c r="C4" s="190">
        <f>L67</f>
        <v>6.7731600000000003E-2</v>
      </c>
      <c r="D4" s="189">
        <f>M67</f>
        <v>3.0914735999999998E-2</v>
      </c>
      <c r="F4" s="66"/>
      <c r="G4" s="196">
        <v>7.0000000000000007E-2</v>
      </c>
      <c r="H4" s="197">
        <v>0.1</v>
      </c>
      <c r="I4" s="197">
        <v>0.3</v>
      </c>
      <c r="J4" s="197">
        <v>0.4</v>
      </c>
      <c r="K4" s="197">
        <v>0.5</v>
      </c>
      <c r="L4" s="198">
        <v>0.3</v>
      </c>
    </row>
    <row r="5" spans="2:15" x14ac:dyDescent="0.3">
      <c r="B5" s="44" t="s">
        <v>97</v>
      </c>
      <c r="C5" s="65">
        <v>0</v>
      </c>
      <c r="D5" s="54">
        <v>0</v>
      </c>
      <c r="F5" s="44" t="s">
        <v>131</v>
      </c>
      <c r="G5" s="228">
        <v>598800</v>
      </c>
      <c r="H5" s="8"/>
      <c r="I5" s="8"/>
      <c r="J5" s="8"/>
      <c r="K5" s="8"/>
      <c r="L5" s="54"/>
    </row>
    <row r="6" spans="2:15" ht="15" customHeight="1" thickBot="1" x14ac:dyDescent="0.35">
      <c r="B6" s="44" t="s">
        <v>98</v>
      </c>
      <c r="C6" s="65">
        <v>0</v>
      </c>
      <c r="D6" s="54">
        <v>0</v>
      </c>
      <c r="F6" s="67" t="s">
        <v>32</v>
      </c>
      <c r="G6" s="195">
        <f t="shared" ref="G6:L6" si="0">$G$5*G4/1000000</f>
        <v>4.1916000000000009E-2</v>
      </c>
      <c r="H6" s="193">
        <f t="shared" si="0"/>
        <v>5.9880000000000003E-2</v>
      </c>
      <c r="I6" s="193">
        <f t="shared" si="0"/>
        <v>0.17963999999999999</v>
      </c>
      <c r="J6" s="193">
        <f t="shared" si="0"/>
        <v>0.23952000000000001</v>
      </c>
      <c r="K6" s="193">
        <f t="shared" si="0"/>
        <v>0.2994</v>
      </c>
      <c r="L6" s="194">
        <f t="shared" si="0"/>
        <v>0.17963999999999999</v>
      </c>
    </row>
    <row r="7" spans="2:15" x14ac:dyDescent="0.3">
      <c r="B7" s="44" t="s">
        <v>99</v>
      </c>
      <c r="C7" s="65">
        <v>0</v>
      </c>
      <c r="D7" s="54">
        <v>0</v>
      </c>
    </row>
    <row r="8" spans="2:15" x14ac:dyDescent="0.3">
      <c r="B8" s="44" t="s">
        <v>57</v>
      </c>
      <c r="C8" s="191">
        <f>L51</f>
        <v>1.0785205000000001E-2</v>
      </c>
      <c r="D8" s="187">
        <f>M51</f>
        <v>5.4477576000000003E-3</v>
      </c>
    </row>
    <row r="9" spans="2:15" x14ac:dyDescent="0.3">
      <c r="B9" s="44" t="s">
        <v>77</v>
      </c>
      <c r="C9" s="191">
        <f>L59</f>
        <v>6.9323493999999986E-2</v>
      </c>
      <c r="D9" s="187">
        <f>M59</f>
        <v>9.1220839999999991E-3</v>
      </c>
    </row>
    <row r="10" spans="2:15" x14ac:dyDescent="0.3">
      <c r="B10" s="44" t="s">
        <v>79</v>
      </c>
      <c r="C10" s="191">
        <f>L75</f>
        <v>2.1599937E-2</v>
      </c>
      <c r="D10" s="187">
        <f>M75</f>
        <v>1.8592304E-2</v>
      </c>
    </row>
    <row r="11" spans="2:15" ht="15" customHeight="1" thickBot="1" x14ac:dyDescent="0.35">
      <c r="B11" s="67" t="s">
        <v>132</v>
      </c>
      <c r="C11" s="192">
        <f>L83</f>
        <v>0.10070817</v>
      </c>
      <c r="D11" s="188">
        <f>M83</f>
        <v>5.0418647999999996E-2</v>
      </c>
    </row>
    <row r="13" spans="2:15" ht="15" customHeight="1" thickBot="1" x14ac:dyDescent="0.35">
      <c r="B13" s="11">
        <f>Diskonttaus!B4</f>
        <v>2030</v>
      </c>
      <c r="E13" t="s">
        <v>133</v>
      </c>
      <c r="H13" s="11">
        <f>Diskonttaus!B4</f>
        <v>2030</v>
      </c>
    </row>
    <row r="14" spans="2:15" ht="15" customHeight="1" thickBot="1" x14ac:dyDescent="0.35">
      <c r="B14" s="60" t="s">
        <v>6</v>
      </c>
      <c r="C14" s="64" t="s">
        <v>134</v>
      </c>
      <c r="D14" s="64" t="s">
        <v>119</v>
      </c>
      <c r="E14" s="108" t="s">
        <v>135</v>
      </c>
      <c r="F14" s="110" t="s">
        <v>76</v>
      </c>
      <c r="H14" s="40" t="s">
        <v>136</v>
      </c>
      <c r="I14" s="41" t="s">
        <v>137</v>
      </c>
      <c r="J14" s="61" t="s">
        <v>138</v>
      </c>
      <c r="K14" s="61" t="s">
        <v>139</v>
      </c>
      <c r="L14" s="61" t="s">
        <v>140</v>
      </c>
      <c r="M14" s="61" t="s">
        <v>141</v>
      </c>
      <c r="N14" s="98" t="s">
        <v>142</v>
      </c>
      <c r="O14" s="110" t="s">
        <v>76</v>
      </c>
    </row>
    <row r="15" spans="2:15" x14ac:dyDescent="0.3">
      <c r="B15" s="62" t="s">
        <v>95</v>
      </c>
      <c r="C15" s="81">
        <f t="shared" ref="C15:C22" si="1">$G$6*I15+$H$6*J15+$I$6*K15+$J$6*L15+$K$6*M15+$L$6*N15</f>
        <v>0</v>
      </c>
      <c r="D15" s="82">
        <f t="shared" ref="D15:D22" si="2">C4*SUM(K15:N15)+D4*SUM(I15:J15)</f>
        <v>0</v>
      </c>
      <c r="E15" s="53"/>
      <c r="F15" s="80"/>
      <c r="H15" s="66" t="s">
        <v>95</v>
      </c>
      <c r="I15" s="237"/>
      <c r="J15" s="238"/>
      <c r="K15" s="238"/>
      <c r="L15" s="238"/>
      <c r="M15" s="238"/>
      <c r="N15" s="239">
        <f>SUM(Tuottajahyodyt!S8:S9)</f>
        <v>0</v>
      </c>
      <c r="O15" s="66">
        <f t="shared" ref="O15:O22" si="3">SUM(I15:N15)</f>
        <v>0</v>
      </c>
    </row>
    <row r="16" spans="2:15" x14ac:dyDescent="0.3">
      <c r="B16" s="47" t="s">
        <v>97</v>
      </c>
      <c r="C16" s="83">
        <f t="shared" si="1"/>
        <v>0</v>
      </c>
      <c r="D16" s="148">
        <f t="shared" si="2"/>
        <v>0</v>
      </c>
      <c r="E16" s="54"/>
      <c r="F16" s="114"/>
      <c r="H16" s="44" t="s">
        <v>97</v>
      </c>
      <c r="I16" s="240"/>
      <c r="J16" s="241"/>
      <c r="K16" s="241"/>
      <c r="L16" s="241"/>
      <c r="M16" s="241"/>
      <c r="N16" s="242">
        <f>Tuottajahyodyt!S10</f>
        <v>0</v>
      </c>
      <c r="O16" s="44">
        <f t="shared" si="3"/>
        <v>0</v>
      </c>
    </row>
    <row r="17" spans="2:16" x14ac:dyDescent="0.3">
      <c r="B17" s="47" t="s">
        <v>98</v>
      </c>
      <c r="C17" s="83">
        <f t="shared" si="1"/>
        <v>0</v>
      </c>
      <c r="D17" s="148">
        <f t="shared" si="2"/>
        <v>0</v>
      </c>
      <c r="E17" s="54"/>
      <c r="F17" s="114"/>
      <c r="H17" s="44" t="s">
        <v>98</v>
      </c>
      <c r="I17" s="240"/>
      <c r="J17" s="241"/>
      <c r="K17" s="241"/>
      <c r="L17" s="241"/>
      <c r="M17" s="241"/>
      <c r="N17" s="243"/>
      <c r="O17" s="44">
        <f t="shared" si="3"/>
        <v>0</v>
      </c>
    </row>
    <row r="18" spans="2:16" x14ac:dyDescent="0.3">
      <c r="B18" s="47" t="s">
        <v>99</v>
      </c>
      <c r="C18" s="83">
        <f t="shared" si="1"/>
        <v>0</v>
      </c>
      <c r="D18" s="148">
        <f t="shared" si="2"/>
        <v>0</v>
      </c>
      <c r="E18" s="54"/>
      <c r="F18" s="114"/>
      <c r="H18" s="44" t="s">
        <v>99</v>
      </c>
      <c r="I18" s="240"/>
      <c r="J18" s="241"/>
      <c r="K18" s="241"/>
      <c r="L18" s="241"/>
      <c r="M18" s="241"/>
      <c r="N18" s="243"/>
      <c r="O18" s="44">
        <f t="shared" si="3"/>
        <v>0</v>
      </c>
    </row>
    <row r="19" spans="2:16" x14ac:dyDescent="0.3">
      <c r="B19" s="47" t="s">
        <v>57</v>
      </c>
      <c r="C19" s="83">
        <f t="shared" si="1"/>
        <v>0</v>
      </c>
      <c r="D19" s="148">
        <f t="shared" si="2"/>
        <v>0</v>
      </c>
      <c r="E19" s="54"/>
      <c r="F19" s="114"/>
      <c r="H19" s="44" t="s">
        <v>57</v>
      </c>
      <c r="I19" s="199"/>
      <c r="J19" s="200"/>
      <c r="K19" s="200"/>
      <c r="L19" s="200"/>
      <c r="M19" s="200"/>
      <c r="N19" s="201"/>
      <c r="O19" s="44">
        <f t="shared" si="3"/>
        <v>0</v>
      </c>
    </row>
    <row r="20" spans="2:16" x14ac:dyDescent="0.3">
      <c r="B20" s="112" t="s">
        <v>77</v>
      </c>
      <c r="C20" s="83">
        <f t="shared" si="1"/>
        <v>0</v>
      </c>
      <c r="D20" s="148">
        <f t="shared" si="2"/>
        <v>0</v>
      </c>
      <c r="E20" s="113"/>
      <c r="F20" s="114"/>
      <c r="H20" s="44" t="s">
        <v>77</v>
      </c>
      <c r="I20" s="202"/>
      <c r="J20" s="203"/>
      <c r="K20" s="203"/>
      <c r="L20" s="203"/>
      <c r="M20" s="203"/>
      <c r="N20" s="204"/>
      <c r="O20" s="44">
        <f t="shared" si="3"/>
        <v>0</v>
      </c>
    </row>
    <row r="21" spans="2:16" x14ac:dyDescent="0.3">
      <c r="B21" s="112" t="s">
        <v>79</v>
      </c>
      <c r="C21" s="83">
        <f t="shared" si="1"/>
        <v>0</v>
      </c>
      <c r="D21" s="148">
        <f t="shared" si="2"/>
        <v>0</v>
      </c>
      <c r="E21" s="113"/>
      <c r="F21" s="114"/>
      <c r="H21" s="100" t="s">
        <v>79</v>
      </c>
      <c r="I21" s="202"/>
      <c r="J21" s="203"/>
      <c r="K21" s="203"/>
      <c r="L21" s="203"/>
      <c r="M21" s="203"/>
      <c r="N21" s="204"/>
      <c r="O21" s="44">
        <f t="shared" si="3"/>
        <v>0</v>
      </c>
    </row>
    <row r="22" spans="2:16" ht="15" customHeight="1" thickBot="1" x14ac:dyDescent="0.35">
      <c r="B22" s="63" t="s">
        <v>132</v>
      </c>
      <c r="C22" s="116">
        <f t="shared" si="1"/>
        <v>0</v>
      </c>
      <c r="D22" s="77">
        <f t="shared" si="2"/>
        <v>0</v>
      </c>
      <c r="E22" s="57"/>
      <c r="F22" s="42"/>
      <c r="H22" s="67" t="s">
        <v>132</v>
      </c>
      <c r="I22" s="205"/>
      <c r="J22" s="206"/>
      <c r="K22" s="206"/>
      <c r="L22" s="206"/>
      <c r="M22" s="206"/>
      <c r="N22" s="207"/>
      <c r="O22" s="67">
        <f t="shared" si="3"/>
        <v>0</v>
      </c>
    </row>
    <row r="23" spans="2:16" ht="15" customHeight="1" thickBot="1" x14ac:dyDescent="0.35">
      <c r="B23" s="110" t="s">
        <v>76</v>
      </c>
      <c r="C23" s="138">
        <f>SUM(C15:C22)</f>
        <v>0</v>
      </c>
      <c r="D23" s="139">
        <f>SUM(D15:D22)</f>
        <v>0</v>
      </c>
      <c r="E23" s="140">
        <f>SUM(E15:E22)</f>
        <v>0</v>
      </c>
      <c r="F23" s="141">
        <f>SUM(C23:E23)</f>
        <v>0</v>
      </c>
    </row>
    <row r="24" spans="2:16" ht="15" customHeight="1" thickBot="1" x14ac:dyDescent="0.35">
      <c r="B24" s="110" t="s">
        <v>65</v>
      </c>
      <c r="C24" s="130">
        <f>300*C23</f>
        <v>0</v>
      </c>
      <c r="D24" s="131">
        <f>300*D23</f>
        <v>0</v>
      </c>
      <c r="E24" s="99">
        <f>300*E23</f>
        <v>0</v>
      </c>
      <c r="F24" s="102">
        <f>300*F23</f>
        <v>0</v>
      </c>
      <c r="I24" s="1"/>
      <c r="J24" s="1"/>
      <c r="K24" s="1"/>
      <c r="L24" s="1"/>
      <c r="M24" s="1"/>
      <c r="O24" s="27"/>
      <c r="P24" s="13"/>
    </row>
    <row r="25" spans="2:16" x14ac:dyDescent="0.3">
      <c r="C25" s="115"/>
      <c r="D25" s="115"/>
      <c r="E25" s="115"/>
      <c r="F25" s="115"/>
      <c r="I25" s="1"/>
      <c r="J25" s="1"/>
      <c r="K25" s="1"/>
      <c r="L25" s="1"/>
      <c r="M25" s="1"/>
      <c r="O25" s="27"/>
      <c r="P25" s="13"/>
    </row>
    <row r="26" spans="2:16" ht="15" customHeight="1" thickBot="1" x14ac:dyDescent="0.35">
      <c r="B26" s="11">
        <f>Diskonttaus!B6</f>
        <v>2050</v>
      </c>
      <c r="C26" s="115"/>
      <c r="D26" s="115"/>
      <c r="E26" s="115"/>
      <c r="F26" s="115"/>
      <c r="H26" s="11">
        <f>Diskonttaus!B6</f>
        <v>2050</v>
      </c>
      <c r="I26" s="1"/>
      <c r="J26" s="1"/>
      <c r="K26" s="1"/>
      <c r="L26" s="1"/>
      <c r="M26" s="1"/>
      <c r="O26" s="27"/>
      <c r="P26" s="13"/>
    </row>
    <row r="27" spans="2:16" ht="15" customHeight="1" thickBot="1" x14ac:dyDescent="0.35">
      <c r="B27" s="60" t="s">
        <v>6</v>
      </c>
      <c r="C27" s="64" t="s">
        <v>134</v>
      </c>
      <c r="D27" s="64" t="s">
        <v>119</v>
      </c>
      <c r="E27" s="108" t="s">
        <v>135</v>
      </c>
      <c r="F27" s="110" t="s">
        <v>76</v>
      </c>
      <c r="H27" s="40" t="s">
        <v>136</v>
      </c>
      <c r="I27" s="41" t="s">
        <v>137</v>
      </c>
      <c r="J27" s="61" t="s">
        <v>138</v>
      </c>
      <c r="K27" s="61" t="s">
        <v>139</v>
      </c>
      <c r="L27" s="61" t="s">
        <v>140</v>
      </c>
      <c r="M27" s="61" t="s">
        <v>141</v>
      </c>
      <c r="N27" s="98" t="s">
        <v>142</v>
      </c>
      <c r="O27" s="110" t="s">
        <v>76</v>
      </c>
    </row>
    <row r="28" spans="2:16" x14ac:dyDescent="0.3">
      <c r="B28" s="62" t="s">
        <v>95</v>
      </c>
      <c r="C28" s="81">
        <f t="shared" ref="C28:C35" si="4">$G$6*I28+$H$6*J28+$I$6*K28+$J$6*L28+$K$6*M28+$L$6*N28</f>
        <v>0</v>
      </c>
      <c r="D28" s="82">
        <f t="shared" ref="D28:D35" si="5">C4*SUM(K28:N28)+D4*SUM(I28:J28)</f>
        <v>0</v>
      </c>
      <c r="E28" s="53"/>
      <c r="F28" s="80"/>
      <c r="H28" s="66" t="s">
        <v>95</v>
      </c>
      <c r="I28" s="237"/>
      <c r="J28" s="238"/>
      <c r="K28" s="238"/>
      <c r="L28" s="238"/>
      <c r="M28" s="238"/>
      <c r="N28" s="239">
        <f>SUM(Tuottajahyodyt!S16:S17)</f>
        <v>0</v>
      </c>
      <c r="O28" s="66">
        <f t="shared" ref="O28:O35" si="6">SUM(I28:N28)</f>
        <v>0</v>
      </c>
    </row>
    <row r="29" spans="2:16" x14ac:dyDescent="0.3">
      <c r="B29" s="47" t="s">
        <v>97</v>
      </c>
      <c r="C29" s="83">
        <f t="shared" si="4"/>
        <v>0</v>
      </c>
      <c r="D29" s="148">
        <f t="shared" si="5"/>
        <v>0</v>
      </c>
      <c r="E29" s="54"/>
      <c r="F29" s="114"/>
      <c r="H29" s="44" t="s">
        <v>97</v>
      </c>
      <c r="I29" s="240"/>
      <c r="J29" s="241"/>
      <c r="K29" s="241"/>
      <c r="L29" s="241"/>
      <c r="M29" s="241"/>
      <c r="N29" s="242">
        <f>Tuottajahyodyt!S18</f>
        <v>0</v>
      </c>
      <c r="O29" s="44">
        <f t="shared" si="6"/>
        <v>0</v>
      </c>
    </row>
    <row r="30" spans="2:16" x14ac:dyDescent="0.3">
      <c r="B30" s="47" t="s">
        <v>98</v>
      </c>
      <c r="C30" s="83">
        <f t="shared" si="4"/>
        <v>0</v>
      </c>
      <c r="D30" s="148">
        <f t="shared" si="5"/>
        <v>0</v>
      </c>
      <c r="E30" s="54"/>
      <c r="F30" s="114"/>
      <c r="H30" s="44" t="s">
        <v>98</v>
      </c>
      <c r="I30" s="240"/>
      <c r="J30" s="241"/>
      <c r="K30" s="241"/>
      <c r="L30" s="241"/>
      <c r="M30" s="241"/>
      <c r="N30" s="243"/>
      <c r="O30" s="44">
        <f t="shared" si="6"/>
        <v>0</v>
      </c>
    </row>
    <row r="31" spans="2:16" x14ac:dyDescent="0.3">
      <c r="B31" s="47" t="s">
        <v>99</v>
      </c>
      <c r="C31" s="83">
        <f t="shared" si="4"/>
        <v>0</v>
      </c>
      <c r="D31" s="148">
        <f t="shared" si="5"/>
        <v>0</v>
      </c>
      <c r="E31" s="54"/>
      <c r="F31" s="114"/>
      <c r="H31" s="44" t="s">
        <v>99</v>
      </c>
      <c r="I31" s="240"/>
      <c r="J31" s="241"/>
      <c r="K31" s="241"/>
      <c r="L31" s="241"/>
      <c r="M31" s="241"/>
      <c r="N31" s="243"/>
      <c r="O31" s="44">
        <f t="shared" si="6"/>
        <v>0</v>
      </c>
    </row>
    <row r="32" spans="2:16" x14ac:dyDescent="0.3">
      <c r="B32" s="47" t="s">
        <v>57</v>
      </c>
      <c r="C32" s="83">
        <f t="shared" si="4"/>
        <v>0</v>
      </c>
      <c r="D32" s="148">
        <f t="shared" si="5"/>
        <v>0</v>
      </c>
      <c r="E32" s="54"/>
      <c r="F32" s="114"/>
      <c r="H32" s="44" t="s">
        <v>57</v>
      </c>
      <c r="I32" s="199"/>
      <c r="J32" s="200"/>
      <c r="K32" s="200"/>
      <c r="L32" s="200"/>
      <c r="M32" s="200"/>
      <c r="N32" s="201"/>
      <c r="O32" s="44">
        <f t="shared" si="6"/>
        <v>0</v>
      </c>
    </row>
    <row r="33" spans="2:16" x14ac:dyDescent="0.3">
      <c r="B33" s="112" t="s">
        <v>77</v>
      </c>
      <c r="C33" s="83">
        <f t="shared" si="4"/>
        <v>0</v>
      </c>
      <c r="D33" s="148">
        <f t="shared" si="5"/>
        <v>0</v>
      </c>
      <c r="E33" s="113"/>
      <c r="F33" s="114"/>
      <c r="H33" s="44" t="s">
        <v>77</v>
      </c>
      <c r="I33" s="202"/>
      <c r="J33" s="203"/>
      <c r="K33" s="203"/>
      <c r="L33" s="203"/>
      <c r="M33" s="203"/>
      <c r="N33" s="204"/>
      <c r="O33" s="44">
        <f t="shared" si="6"/>
        <v>0</v>
      </c>
    </row>
    <row r="34" spans="2:16" x14ac:dyDescent="0.3">
      <c r="B34" s="112" t="s">
        <v>79</v>
      </c>
      <c r="C34" s="83">
        <f t="shared" si="4"/>
        <v>0</v>
      </c>
      <c r="D34" s="148">
        <f t="shared" si="5"/>
        <v>0</v>
      </c>
      <c r="E34" s="113"/>
      <c r="F34" s="114"/>
      <c r="H34" s="100" t="s">
        <v>79</v>
      </c>
      <c r="I34" s="202"/>
      <c r="J34" s="203"/>
      <c r="K34" s="203"/>
      <c r="L34" s="203"/>
      <c r="M34" s="203"/>
      <c r="N34" s="204"/>
      <c r="O34" s="44">
        <f t="shared" si="6"/>
        <v>0</v>
      </c>
    </row>
    <row r="35" spans="2:16" ht="15" customHeight="1" thickBot="1" x14ac:dyDescent="0.35">
      <c r="B35" s="63" t="s">
        <v>132</v>
      </c>
      <c r="C35" s="116">
        <f t="shared" si="4"/>
        <v>0</v>
      </c>
      <c r="D35" s="148">
        <f t="shared" si="5"/>
        <v>0</v>
      </c>
      <c r="E35" s="57"/>
      <c r="F35" s="42"/>
      <c r="H35" s="67" t="s">
        <v>132</v>
      </c>
      <c r="I35" s="205"/>
      <c r="J35" s="206"/>
      <c r="K35" s="206"/>
      <c r="L35" s="206"/>
      <c r="M35" s="206"/>
      <c r="N35" s="207"/>
      <c r="O35" s="67">
        <f t="shared" si="6"/>
        <v>0</v>
      </c>
    </row>
    <row r="36" spans="2:16" ht="15" customHeight="1" thickBot="1" x14ac:dyDescent="0.35">
      <c r="B36" s="110" t="s">
        <v>76</v>
      </c>
      <c r="C36" s="138">
        <f>SUM(C28:C35)</f>
        <v>0</v>
      </c>
      <c r="D36" s="139">
        <f>SUM(D28:D35)</f>
        <v>0</v>
      </c>
      <c r="E36" s="140">
        <f>SUM(E28:E35)</f>
        <v>0</v>
      </c>
      <c r="F36" s="141">
        <f>SUM(C36:E36)</f>
        <v>0</v>
      </c>
    </row>
    <row r="37" spans="2:16" ht="15" customHeight="1" thickBot="1" x14ac:dyDescent="0.35">
      <c r="B37" s="110" t="s">
        <v>65</v>
      </c>
      <c r="C37" s="130">
        <f>300*C36</f>
        <v>0</v>
      </c>
      <c r="D37" s="131">
        <f>300*D36</f>
        <v>0</v>
      </c>
      <c r="E37" s="99">
        <f>300*E36</f>
        <v>0</v>
      </c>
      <c r="F37" s="102">
        <f>300*F36</f>
        <v>0</v>
      </c>
    </row>
    <row r="38" spans="2:16" x14ac:dyDescent="0.3">
      <c r="C38" s="115"/>
      <c r="D38" s="115"/>
      <c r="E38" s="115"/>
      <c r="F38" s="115"/>
    </row>
    <row r="39" spans="2:16" ht="15" customHeight="1" thickBot="1" x14ac:dyDescent="0.35">
      <c r="F39" s="115"/>
    </row>
    <row r="40" spans="2:16" ht="18.600000000000001" customHeight="1" thickBot="1" x14ac:dyDescent="0.4">
      <c r="B40" s="152" t="s">
        <v>68</v>
      </c>
      <c r="C40" s="153">
        <f ca="1">IF(ISNUMBER(Diskonttaus!$B$20),Diskonttaus!$B$19*Ulkoisvaikutukset!C24+Diskonttaus!$B$20*Ulkoisvaikutukset!C37,Diskonttaus!$B$19*Ulkoisvaikutukset!C24)</f>
        <v>0</v>
      </c>
      <c r="D40" s="154">
        <f ca="1">IF(ISNUMBER(Diskonttaus!$B$20),Diskonttaus!$B$19*Ulkoisvaikutukset!D24+Diskonttaus!$B$20*Ulkoisvaikutukset!D37,Diskonttaus!$B$19*Ulkoisvaikutukset!D24)</f>
        <v>0</v>
      </c>
      <c r="E40" s="154">
        <f ca="1">IF(ISNUMBER(Diskonttaus!$B$20),Diskonttaus!$B$19*Ulkoisvaikutukset!E24+Diskonttaus!$B$20*Ulkoisvaikutukset!E37,Diskonttaus!$B$19*Ulkoisvaikutukset!E24)</f>
        <v>0</v>
      </c>
      <c r="F40" s="155">
        <f ca="1">IF(ISNUMBER(Diskonttaus!$B$20),Diskonttaus!$B$19*Ulkoisvaikutukset!F24+Diskonttaus!$B$20*Ulkoisvaikutukset!F37,Diskonttaus!$B$19*Ulkoisvaikutukset!F24)</f>
        <v>0</v>
      </c>
    </row>
    <row r="41" spans="2:16" x14ac:dyDescent="0.3">
      <c r="C41" s="115"/>
      <c r="D41" s="115"/>
      <c r="E41" s="115"/>
      <c r="F41" s="115"/>
    </row>
    <row r="42" spans="2:16" x14ac:dyDescent="0.3">
      <c r="M42" s="115"/>
      <c r="N42" s="115"/>
      <c r="O42" s="115"/>
      <c r="P42" s="115"/>
    </row>
    <row r="43" spans="2:16" x14ac:dyDescent="0.3">
      <c r="M43" s="115"/>
      <c r="N43" s="115"/>
      <c r="O43" s="115"/>
      <c r="P43" s="115"/>
    </row>
    <row r="45" spans="2:16" ht="18" customHeight="1" x14ac:dyDescent="0.35">
      <c r="B45" s="149" t="s">
        <v>143</v>
      </c>
      <c r="C45" t="s">
        <v>144</v>
      </c>
      <c r="G45" t="s">
        <v>145</v>
      </c>
      <c r="L45" t="s">
        <v>146</v>
      </c>
    </row>
    <row r="46" spans="2:16" x14ac:dyDescent="0.3">
      <c r="B46" t="s">
        <v>57</v>
      </c>
      <c r="C46" t="s">
        <v>123</v>
      </c>
      <c r="D46" t="s">
        <v>124</v>
      </c>
      <c r="G46" t="s">
        <v>123</v>
      </c>
      <c r="H46" t="s">
        <v>124</v>
      </c>
      <c r="L46" t="s">
        <v>123</v>
      </c>
      <c r="M46" t="s">
        <v>124</v>
      </c>
    </row>
    <row r="47" spans="2:16" x14ac:dyDescent="0.3">
      <c r="B47" t="s">
        <v>147</v>
      </c>
      <c r="C47" s="208">
        <v>0.04</v>
      </c>
      <c r="D47" s="208">
        <v>0.02</v>
      </c>
      <c r="G47" s="210">
        <v>32</v>
      </c>
      <c r="H47" s="210">
        <v>32</v>
      </c>
      <c r="L47" s="211">
        <f t="shared" ref="L47:M50" si="7">C47*G47/1000000</f>
        <v>1.28E-6</v>
      </c>
      <c r="M47" s="211">
        <f t="shared" si="7"/>
        <v>6.4000000000000001E-7</v>
      </c>
    </row>
    <row r="48" spans="2:16" x14ac:dyDescent="0.3">
      <c r="B48" t="s">
        <v>148</v>
      </c>
      <c r="C48" s="208">
        <v>0.44</v>
      </c>
      <c r="D48" s="208">
        <v>0.28000000000000003</v>
      </c>
      <c r="G48" s="210">
        <v>1430</v>
      </c>
      <c r="H48" s="210">
        <v>308</v>
      </c>
      <c r="L48" s="211">
        <f t="shared" si="7"/>
        <v>6.2920000000000001E-4</v>
      </c>
      <c r="M48" s="211">
        <f t="shared" si="7"/>
        <v>8.6240000000000015E-5</v>
      </c>
    </row>
    <row r="49" spans="2:13" x14ac:dyDescent="0.3">
      <c r="B49" t="s">
        <v>149</v>
      </c>
      <c r="C49" s="208">
        <v>1.4999999999999999E-2</v>
      </c>
      <c r="D49" s="208">
        <v>9.4000000000000004E-3</v>
      </c>
      <c r="G49" s="210">
        <v>138315</v>
      </c>
      <c r="H49" s="210">
        <v>8604</v>
      </c>
      <c r="L49" s="211">
        <f t="shared" si="7"/>
        <v>2.0747249999999999E-3</v>
      </c>
      <c r="M49" s="211">
        <f t="shared" si="7"/>
        <v>8.0877600000000006E-5</v>
      </c>
    </row>
    <row r="50" spans="2:13" x14ac:dyDescent="0.3">
      <c r="B50" t="s">
        <v>150</v>
      </c>
      <c r="C50" s="209">
        <v>202</v>
      </c>
      <c r="D50" s="209">
        <v>132</v>
      </c>
      <c r="G50" s="210">
        <v>40</v>
      </c>
      <c r="H50" s="210">
        <v>40</v>
      </c>
      <c r="L50" s="211">
        <f t="shared" si="7"/>
        <v>8.0800000000000004E-3</v>
      </c>
      <c r="M50" s="211">
        <f t="shared" si="7"/>
        <v>5.28E-3</v>
      </c>
    </row>
    <row r="51" spans="2:13" x14ac:dyDescent="0.3">
      <c r="C51" s="13"/>
      <c r="D51" s="13"/>
      <c r="K51" t="s">
        <v>64</v>
      </c>
      <c r="L51" s="211">
        <f>SUM(L47:L50)</f>
        <v>1.0785205000000001E-2</v>
      </c>
      <c r="M51" s="211">
        <f>SUM(M47:M50)</f>
        <v>5.4477576000000003E-3</v>
      </c>
    </row>
    <row r="52" spans="2:13" x14ac:dyDescent="0.3">
      <c r="C52" s="13"/>
      <c r="D52" s="13"/>
      <c r="L52" s="211"/>
      <c r="M52" s="211"/>
    </row>
    <row r="53" spans="2:13" x14ac:dyDescent="0.3">
      <c r="B53" t="s">
        <v>143</v>
      </c>
      <c r="C53" t="s">
        <v>144</v>
      </c>
      <c r="G53" t="s">
        <v>145</v>
      </c>
      <c r="L53" t="s">
        <v>146</v>
      </c>
    </row>
    <row r="54" spans="2:13" x14ac:dyDescent="0.3">
      <c r="B54" t="s">
        <v>77</v>
      </c>
      <c r="C54" t="s">
        <v>123</v>
      </c>
      <c r="D54" t="s">
        <v>124</v>
      </c>
      <c r="G54" t="s">
        <v>123</v>
      </c>
      <c r="H54" t="s">
        <v>124</v>
      </c>
      <c r="L54" t="s">
        <v>123</v>
      </c>
      <c r="M54" t="s">
        <v>124</v>
      </c>
    </row>
    <row r="55" spans="2:13" x14ac:dyDescent="0.3">
      <c r="B55" t="s">
        <v>147</v>
      </c>
      <c r="C55" s="208">
        <v>4.2000000000000003E-2</v>
      </c>
      <c r="D55" s="208">
        <v>2.3E-2</v>
      </c>
      <c r="G55" s="210">
        <v>32</v>
      </c>
      <c r="H55" s="210">
        <v>32</v>
      </c>
      <c r="L55" s="211">
        <f t="shared" ref="L55:M58" si="8">C55*G55/1000000</f>
        <v>1.3440000000000002E-6</v>
      </c>
      <c r="M55" s="211">
        <f t="shared" si="8"/>
        <v>7.3600000000000003E-7</v>
      </c>
    </row>
    <row r="56" spans="2:13" x14ac:dyDescent="0.3">
      <c r="B56" t="s">
        <v>148</v>
      </c>
      <c r="C56" s="208">
        <v>1.1000000000000001</v>
      </c>
      <c r="D56" s="208">
        <v>0.86</v>
      </c>
      <c r="G56" s="210">
        <v>1430</v>
      </c>
      <c r="H56" s="210">
        <v>308</v>
      </c>
      <c r="L56" s="211">
        <f t="shared" si="8"/>
        <v>1.5730000000000002E-3</v>
      </c>
      <c r="M56" s="211">
        <f t="shared" si="8"/>
        <v>2.6488E-4</v>
      </c>
    </row>
    <row r="57" spans="2:13" x14ac:dyDescent="0.3">
      <c r="B57" t="s">
        <v>149</v>
      </c>
      <c r="C57" s="208">
        <v>0.41</v>
      </c>
      <c r="D57" s="208">
        <v>6.7000000000000004E-2</v>
      </c>
      <c r="G57" s="210">
        <v>138315</v>
      </c>
      <c r="H57" s="210">
        <v>8604</v>
      </c>
      <c r="L57" s="211">
        <f t="shared" si="8"/>
        <v>5.6709149999999993E-2</v>
      </c>
      <c r="M57" s="211">
        <f t="shared" si="8"/>
        <v>5.7646800000000012E-4</v>
      </c>
    </row>
    <row r="58" spans="2:13" x14ac:dyDescent="0.3">
      <c r="B58" t="s">
        <v>150</v>
      </c>
      <c r="C58" s="209">
        <v>276</v>
      </c>
      <c r="D58" s="209">
        <v>207</v>
      </c>
      <c r="G58" s="210">
        <v>40</v>
      </c>
      <c r="H58" s="210">
        <v>40</v>
      </c>
      <c r="L58" s="211">
        <f t="shared" si="8"/>
        <v>1.1039999999999999E-2</v>
      </c>
      <c r="M58" s="211">
        <f t="shared" si="8"/>
        <v>8.2799999999999992E-3</v>
      </c>
    </row>
    <row r="59" spans="2:13" x14ac:dyDescent="0.3">
      <c r="C59" s="13"/>
      <c r="D59" s="13"/>
      <c r="K59" t="s">
        <v>64</v>
      </c>
      <c r="L59" s="211">
        <f>SUM(L55:L58)</f>
        <v>6.9323493999999986E-2</v>
      </c>
      <c r="M59" s="211">
        <f>SUM(M55:M58)</f>
        <v>9.1220839999999991E-3</v>
      </c>
    </row>
    <row r="60" spans="2:13" x14ac:dyDescent="0.3">
      <c r="C60" s="13"/>
      <c r="D60" s="13"/>
      <c r="L60" s="211"/>
      <c r="M60" s="211"/>
    </row>
    <row r="61" spans="2:13" x14ac:dyDescent="0.3">
      <c r="B61" t="s">
        <v>143</v>
      </c>
      <c r="C61" t="s">
        <v>144</v>
      </c>
      <c r="G61" t="s">
        <v>145</v>
      </c>
      <c r="L61" t="s">
        <v>146</v>
      </c>
    </row>
    <row r="62" spans="2:13" x14ac:dyDescent="0.3">
      <c r="B62" t="s">
        <v>151</v>
      </c>
      <c r="C62" t="s">
        <v>123</v>
      </c>
      <c r="D62" t="s">
        <v>124</v>
      </c>
      <c r="G62" t="s">
        <v>123</v>
      </c>
      <c r="H62" t="s">
        <v>124</v>
      </c>
      <c r="L62" t="s">
        <v>123</v>
      </c>
      <c r="M62" t="s">
        <v>124</v>
      </c>
    </row>
    <row r="63" spans="2:13" x14ac:dyDescent="0.3">
      <c r="B63" t="s">
        <v>147</v>
      </c>
      <c r="C63" s="208">
        <v>0.2</v>
      </c>
      <c r="D63" s="208">
        <v>0.09</v>
      </c>
      <c r="G63" s="210">
        <v>32</v>
      </c>
      <c r="H63" s="210">
        <v>32</v>
      </c>
      <c r="L63" s="211">
        <f t="shared" ref="L63:M66" si="9">C63*G63/1000000</f>
        <v>6.4000000000000006E-6</v>
      </c>
      <c r="M63" s="211">
        <f t="shared" si="9"/>
        <v>2.88E-6</v>
      </c>
    </row>
    <row r="64" spans="2:13" x14ac:dyDescent="0.3">
      <c r="B64" t="s">
        <v>148</v>
      </c>
      <c r="C64" s="208">
        <v>6</v>
      </c>
      <c r="D64" s="208">
        <v>3.9</v>
      </c>
      <c r="G64" s="210">
        <v>1430</v>
      </c>
      <c r="H64" s="210">
        <v>308</v>
      </c>
      <c r="L64" s="211">
        <f t="shared" si="9"/>
        <v>8.5800000000000008E-3</v>
      </c>
      <c r="M64" s="211">
        <f t="shared" si="9"/>
        <v>1.2012000000000001E-3</v>
      </c>
    </row>
    <row r="65" spans="2:13" x14ac:dyDescent="0.3">
      <c r="B65" t="s">
        <v>149</v>
      </c>
      <c r="C65" s="208">
        <v>0.08</v>
      </c>
      <c r="D65" s="208">
        <v>6.4000000000000001E-2</v>
      </c>
      <c r="G65" s="210">
        <v>138315</v>
      </c>
      <c r="H65" s="210">
        <v>8604</v>
      </c>
      <c r="L65" s="211">
        <f t="shared" si="9"/>
        <v>1.1065200000000001E-2</v>
      </c>
      <c r="M65" s="211">
        <f t="shared" si="9"/>
        <v>5.5065600000000006E-4</v>
      </c>
    </row>
    <row r="66" spans="2:13" x14ac:dyDescent="0.3">
      <c r="B66" t="s">
        <v>150</v>
      </c>
      <c r="C66" s="209">
        <v>1202</v>
      </c>
      <c r="D66" s="209">
        <v>729</v>
      </c>
      <c r="G66" s="210">
        <v>40</v>
      </c>
      <c r="H66" s="210">
        <v>40</v>
      </c>
      <c r="L66" s="211">
        <f t="shared" si="9"/>
        <v>4.8079999999999998E-2</v>
      </c>
      <c r="M66" s="211">
        <f t="shared" si="9"/>
        <v>2.9159999999999998E-2</v>
      </c>
    </row>
    <row r="67" spans="2:13" x14ac:dyDescent="0.3">
      <c r="K67" t="s">
        <v>64</v>
      </c>
      <c r="L67" s="211">
        <f>SUM(L63:L66)</f>
        <v>6.7731600000000003E-2</v>
      </c>
      <c r="M67" s="211">
        <f>SUM(M63:M66)</f>
        <v>3.0914735999999998E-2</v>
      </c>
    </row>
    <row r="68" spans="2:13" x14ac:dyDescent="0.3">
      <c r="C68" t="s">
        <v>152</v>
      </c>
      <c r="D68" t="s">
        <v>153</v>
      </c>
      <c r="L68" s="211"/>
      <c r="M68" s="211"/>
    </row>
    <row r="69" spans="2:13" x14ac:dyDescent="0.3">
      <c r="B69" t="s">
        <v>143</v>
      </c>
      <c r="C69" t="s">
        <v>144</v>
      </c>
      <c r="G69" t="s">
        <v>145</v>
      </c>
      <c r="L69" t="s">
        <v>146</v>
      </c>
    </row>
    <row r="70" spans="2:13" x14ac:dyDescent="0.3">
      <c r="B70" t="s">
        <v>79</v>
      </c>
      <c r="C70" t="s">
        <v>123</v>
      </c>
      <c r="D70" t="s">
        <v>124</v>
      </c>
      <c r="G70" t="s">
        <v>123</v>
      </c>
      <c r="H70" t="s">
        <v>124</v>
      </c>
      <c r="L70" t="s">
        <v>123</v>
      </c>
      <c r="M70" t="s">
        <v>124</v>
      </c>
    </row>
    <row r="71" spans="2:13" x14ac:dyDescent="0.3">
      <c r="B71" t="s">
        <v>147</v>
      </c>
      <c r="C71" s="208">
        <v>9.0999999999999998E-2</v>
      </c>
      <c r="D71" s="208">
        <v>5.5E-2</v>
      </c>
      <c r="G71" s="210">
        <v>32</v>
      </c>
      <c r="H71" s="210">
        <v>32</v>
      </c>
      <c r="L71" s="211">
        <f t="shared" ref="L71:M74" si="10">C71*G71/1000000</f>
        <v>2.9119999999999998E-6</v>
      </c>
      <c r="M71" s="211">
        <f t="shared" si="10"/>
        <v>1.7600000000000001E-6</v>
      </c>
    </row>
    <row r="72" spans="2:13" x14ac:dyDescent="0.3">
      <c r="B72" t="s">
        <v>148</v>
      </c>
      <c r="C72" s="208">
        <v>1.2</v>
      </c>
      <c r="D72" s="208">
        <v>2.6</v>
      </c>
      <c r="G72" s="210">
        <v>1430</v>
      </c>
      <c r="H72" s="210">
        <v>308</v>
      </c>
      <c r="L72" s="211">
        <f t="shared" si="10"/>
        <v>1.7160000000000001E-3</v>
      </c>
      <c r="M72" s="211">
        <f t="shared" si="10"/>
        <v>8.0080000000000006E-4</v>
      </c>
    </row>
    <row r="73" spans="2:13" x14ac:dyDescent="0.3">
      <c r="B73" t="s">
        <v>149</v>
      </c>
      <c r="C73" s="208">
        <v>3.5000000000000003E-2</v>
      </c>
      <c r="D73" s="208">
        <v>3.5999999999999997E-2</v>
      </c>
      <c r="G73" s="210">
        <v>138315</v>
      </c>
      <c r="H73" s="210">
        <v>8604</v>
      </c>
      <c r="L73" s="211">
        <f t="shared" si="10"/>
        <v>4.8410250000000005E-3</v>
      </c>
      <c r="M73" s="211">
        <f t="shared" si="10"/>
        <v>3.0974399999999998E-4</v>
      </c>
    </row>
    <row r="74" spans="2:13" x14ac:dyDescent="0.3">
      <c r="B74" t="s">
        <v>150</v>
      </c>
      <c r="C74" s="209">
        <v>376</v>
      </c>
      <c r="D74" s="209">
        <v>437</v>
      </c>
      <c r="G74" s="210">
        <v>40</v>
      </c>
      <c r="H74" s="210">
        <v>40</v>
      </c>
      <c r="L74" s="211">
        <f t="shared" si="10"/>
        <v>1.504E-2</v>
      </c>
      <c r="M74" s="211">
        <f t="shared" si="10"/>
        <v>1.7479999999999999E-2</v>
      </c>
    </row>
    <row r="75" spans="2:13" x14ac:dyDescent="0.3">
      <c r="K75" t="s">
        <v>64</v>
      </c>
      <c r="L75" s="211">
        <f>SUM(L71:L74)</f>
        <v>2.1599937E-2</v>
      </c>
      <c r="M75" s="211">
        <f>SUM(M71:M74)</f>
        <v>1.8592304E-2</v>
      </c>
    </row>
    <row r="76" spans="2:13" x14ac:dyDescent="0.3">
      <c r="C76" t="s">
        <v>154</v>
      </c>
      <c r="D76" t="s">
        <v>155</v>
      </c>
    </row>
    <row r="77" spans="2:13" x14ac:dyDescent="0.3">
      <c r="B77" t="s">
        <v>143</v>
      </c>
      <c r="C77" t="s">
        <v>144</v>
      </c>
      <c r="G77" t="s">
        <v>145</v>
      </c>
      <c r="L77" t="s">
        <v>146</v>
      </c>
    </row>
    <row r="78" spans="2:13" x14ac:dyDescent="0.3">
      <c r="B78" t="s">
        <v>132</v>
      </c>
      <c r="C78" t="s">
        <v>123</v>
      </c>
      <c r="D78" t="s">
        <v>124</v>
      </c>
      <c r="G78" t="s">
        <v>123</v>
      </c>
      <c r="H78" t="s">
        <v>124</v>
      </c>
      <c r="L78" t="s">
        <v>123</v>
      </c>
      <c r="M78" t="s">
        <v>124</v>
      </c>
    </row>
    <row r="79" spans="2:13" x14ac:dyDescent="0.3">
      <c r="B79" t="s">
        <v>147</v>
      </c>
      <c r="C79" s="208">
        <v>0.31</v>
      </c>
      <c r="D79" s="208">
        <v>0.1</v>
      </c>
      <c r="G79" s="210">
        <v>32</v>
      </c>
      <c r="H79" s="210">
        <v>32</v>
      </c>
      <c r="L79" s="211">
        <f t="shared" ref="L79:M82" si="11">C79*G79/1000000</f>
        <v>9.9199999999999999E-6</v>
      </c>
      <c r="M79" s="211">
        <f t="shared" si="11"/>
        <v>3.2000000000000003E-6</v>
      </c>
    </row>
    <row r="80" spans="2:13" x14ac:dyDescent="0.3">
      <c r="B80" t="s">
        <v>148</v>
      </c>
      <c r="C80" s="208">
        <v>9.6999999999999993</v>
      </c>
      <c r="D80" s="208">
        <v>6.5</v>
      </c>
      <c r="G80" s="210">
        <v>1430</v>
      </c>
      <c r="H80" s="210">
        <v>308</v>
      </c>
      <c r="L80" s="211">
        <f t="shared" si="11"/>
        <v>1.3870999999999998E-2</v>
      </c>
      <c r="M80" s="211">
        <f t="shared" si="11"/>
        <v>2.0019999999999999E-3</v>
      </c>
    </row>
    <row r="81" spans="2:13" x14ac:dyDescent="0.3">
      <c r="B81" t="s">
        <v>149</v>
      </c>
      <c r="C81" s="208">
        <v>0.15</v>
      </c>
      <c r="D81" s="208">
        <v>6.2E-2</v>
      </c>
      <c r="G81" s="210">
        <v>138315</v>
      </c>
      <c r="H81" s="210">
        <v>8604</v>
      </c>
      <c r="L81" s="211">
        <f t="shared" si="11"/>
        <v>2.0747249999999998E-2</v>
      </c>
      <c r="M81" s="211">
        <f t="shared" si="11"/>
        <v>5.3344799999999995E-4</v>
      </c>
    </row>
    <row r="82" spans="2:13" x14ac:dyDescent="0.3">
      <c r="B82" t="s">
        <v>150</v>
      </c>
      <c r="C82" s="209">
        <v>1652</v>
      </c>
      <c r="D82" s="209">
        <v>1197</v>
      </c>
      <c r="G82" s="210">
        <v>40</v>
      </c>
      <c r="H82" s="210">
        <v>40</v>
      </c>
      <c r="L82" s="211">
        <f t="shared" si="11"/>
        <v>6.608E-2</v>
      </c>
      <c r="M82" s="211">
        <f t="shared" si="11"/>
        <v>4.7879999999999999E-2</v>
      </c>
    </row>
    <row r="83" spans="2:13" x14ac:dyDescent="0.3">
      <c r="K83" t="s">
        <v>64</v>
      </c>
      <c r="L83" s="211">
        <f>SUM(L79:L82)</f>
        <v>0.10070817</v>
      </c>
      <c r="M83" s="211">
        <f>SUM(M79:M82)</f>
        <v>5.0418647999999996E-2</v>
      </c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8" sqref="F8:H8"/>
    </sheetView>
  </sheetViews>
  <sheetFormatPr defaultRowHeight="14.4" x14ac:dyDescent="0.3"/>
  <cols>
    <col min="1" max="1" width="22.33203125" customWidth="1"/>
    <col min="2" max="2" width="24" customWidth="1"/>
    <col min="3" max="3" width="17.5546875" bestFit="1" customWidth="1"/>
    <col min="10" max="10" width="11.88671875" bestFit="1" customWidth="1"/>
  </cols>
  <sheetData>
    <row r="1" spans="1:10" x14ac:dyDescent="0.3">
      <c r="A1" s="26"/>
    </row>
    <row r="3" spans="1:10" x14ac:dyDescent="0.3">
      <c r="I3" t="s">
        <v>156</v>
      </c>
    </row>
    <row r="4" spans="1:10" x14ac:dyDescent="0.3">
      <c r="I4" t="s">
        <v>157</v>
      </c>
    </row>
    <row r="5" spans="1:10" ht="15" customHeight="1" thickBot="1" x14ac:dyDescent="0.35">
      <c r="B5" s="10" t="s">
        <v>76</v>
      </c>
    </row>
    <row r="6" spans="1:10" ht="15" customHeight="1" thickBot="1" x14ac:dyDescent="0.35">
      <c r="A6" s="11" t="s">
        <v>100</v>
      </c>
      <c r="B6" s="96">
        <f>Diskonttaus!B4</f>
        <v>2030</v>
      </c>
      <c r="C6" s="94"/>
      <c r="F6" s="224" t="s">
        <v>61</v>
      </c>
      <c r="G6" s="36" t="s">
        <v>103</v>
      </c>
      <c r="H6" s="36" t="s">
        <v>63</v>
      </c>
      <c r="I6" s="36" t="s">
        <v>64</v>
      </c>
      <c r="J6" s="37" t="s">
        <v>65</v>
      </c>
    </row>
    <row r="7" spans="1:10" x14ac:dyDescent="0.3">
      <c r="B7" s="44" t="s">
        <v>158</v>
      </c>
      <c r="C7" s="146">
        <f>Kayttajahyodyt!I75</f>
        <v>0</v>
      </c>
      <c r="F7" s="165">
        <v>0.47</v>
      </c>
      <c r="G7" s="166">
        <v>0.09</v>
      </c>
      <c r="H7" s="166">
        <v>0.38</v>
      </c>
      <c r="I7" s="52"/>
      <c r="J7" s="53"/>
    </row>
    <row r="8" spans="1:10" ht="15" customHeight="1" thickBot="1" x14ac:dyDescent="0.35">
      <c r="B8" s="44" t="s">
        <v>70</v>
      </c>
      <c r="C8" s="146">
        <f>J8</f>
        <v>0</v>
      </c>
      <c r="F8" s="221"/>
      <c r="G8" s="222"/>
      <c r="H8" s="222"/>
      <c r="I8" s="171">
        <f>F8/F7+G8/G7+H8/H7</f>
        <v>0</v>
      </c>
      <c r="J8" s="225">
        <f>I8*300</f>
        <v>0</v>
      </c>
    </row>
    <row r="9" spans="1:10" ht="15" customHeight="1" thickBot="1" x14ac:dyDescent="0.35">
      <c r="B9" s="67" t="s">
        <v>11</v>
      </c>
      <c r="C9" s="135">
        <f>SUM(C7:C8)</f>
        <v>0</v>
      </c>
    </row>
    <row r="10" spans="1:10" ht="15" customHeight="1" thickBot="1" x14ac:dyDescent="0.35"/>
    <row r="11" spans="1:10" ht="15" customHeight="1" thickBot="1" x14ac:dyDescent="0.35">
      <c r="B11" s="96">
        <f>Diskonttaus!B6</f>
        <v>2050</v>
      </c>
      <c r="C11" s="94"/>
      <c r="F11" s="224" t="s">
        <v>61</v>
      </c>
      <c r="G11" s="36" t="s">
        <v>103</v>
      </c>
      <c r="H11" s="36" t="s">
        <v>63</v>
      </c>
      <c r="I11" s="36" t="s">
        <v>64</v>
      </c>
      <c r="J11" s="37" t="s">
        <v>65</v>
      </c>
    </row>
    <row r="12" spans="1:10" x14ac:dyDescent="0.3">
      <c r="B12" s="44" t="s">
        <v>158</v>
      </c>
      <c r="C12" s="146">
        <f>Kayttajahyodyt!I82</f>
        <v>0</v>
      </c>
      <c r="F12" s="165">
        <v>0.47</v>
      </c>
      <c r="G12" s="166">
        <v>0.09</v>
      </c>
      <c r="H12" s="166">
        <v>0.38</v>
      </c>
      <c r="I12" s="52"/>
      <c r="J12" s="53"/>
    </row>
    <row r="13" spans="1:10" ht="15" customHeight="1" thickBot="1" x14ac:dyDescent="0.35">
      <c r="B13" s="44" t="s">
        <v>70</v>
      </c>
      <c r="C13" s="146">
        <f>J13</f>
        <v>0</v>
      </c>
      <c r="F13" s="221"/>
      <c r="G13" s="222"/>
      <c r="H13" s="222"/>
      <c r="I13" s="171">
        <f>F13/F12+G13/G12+H13/H12</f>
        <v>0</v>
      </c>
      <c r="J13" s="225">
        <f>I13*300</f>
        <v>0</v>
      </c>
    </row>
    <row r="14" spans="1:10" ht="15" customHeight="1" thickBot="1" x14ac:dyDescent="0.35">
      <c r="B14" s="67" t="s">
        <v>11</v>
      </c>
      <c r="C14" s="135">
        <f>SUM(C12:C13)</f>
        <v>0</v>
      </c>
    </row>
    <row r="15" spans="1:10" ht="15" customHeight="1" thickBot="1" x14ac:dyDescent="0.35"/>
    <row r="16" spans="1:10" ht="18.600000000000001" customHeight="1" thickBot="1" x14ac:dyDescent="0.4">
      <c r="B16" s="151" t="s">
        <v>68</v>
      </c>
      <c r="C16" s="156">
        <f ca="1">IF(ISNUMBER(Diskonttaus!B20),Diskonttaus!B26*C9+Diskonttaus!B27*C14,Diskonttaus!B26*C9)</f>
        <v>0</v>
      </c>
    </row>
    <row r="18" spans="1:3" x14ac:dyDescent="0.3">
      <c r="A18" s="11" t="s">
        <v>159</v>
      </c>
    </row>
    <row r="19" spans="1:3" ht="15" customHeight="1" thickBot="1" x14ac:dyDescent="0.35"/>
    <row r="20" spans="1:3" x14ac:dyDescent="0.3">
      <c r="B20" s="30">
        <f>Diskonttaus!B4</f>
        <v>2030</v>
      </c>
      <c r="C20" s="94"/>
    </row>
    <row r="21" spans="1:3" x14ac:dyDescent="0.3">
      <c r="B21" s="44" t="s">
        <v>66</v>
      </c>
      <c r="C21" s="78"/>
    </row>
    <row r="22" spans="1:3" x14ac:dyDescent="0.3">
      <c r="B22" s="44" t="s">
        <v>67</v>
      </c>
      <c r="C22" s="78"/>
    </row>
    <row r="23" spans="1:3" ht="15" customHeight="1" thickBot="1" x14ac:dyDescent="0.35">
      <c r="B23" s="67" t="s">
        <v>11</v>
      </c>
      <c r="C23" s="142"/>
    </row>
    <row r="24" spans="1:3" ht="15" customHeight="1" thickBot="1" x14ac:dyDescent="0.35"/>
    <row r="25" spans="1:3" x14ac:dyDescent="0.3">
      <c r="B25" s="30">
        <f>Diskonttaus!B6</f>
        <v>2050</v>
      </c>
      <c r="C25" s="94"/>
    </row>
    <row r="26" spans="1:3" x14ac:dyDescent="0.3">
      <c r="B26" s="44" t="s">
        <v>66</v>
      </c>
      <c r="C26" s="78"/>
    </row>
    <row r="27" spans="1:3" x14ac:dyDescent="0.3">
      <c r="B27" s="44" t="s">
        <v>67</v>
      </c>
      <c r="C27" s="78"/>
    </row>
    <row r="28" spans="1:3" ht="15" thickBot="1" x14ac:dyDescent="0.35">
      <c r="B28" s="67" t="s">
        <v>11</v>
      </c>
      <c r="C28" s="142"/>
    </row>
    <row r="29" spans="1:3" ht="15" customHeight="1" thickBot="1" x14ac:dyDescent="0.35">
      <c r="B29" s="143"/>
      <c r="C29" s="233"/>
    </row>
    <row r="30" spans="1:3" ht="18.600000000000001" customHeight="1" thickBot="1" x14ac:dyDescent="0.4">
      <c r="B30" s="151" t="s">
        <v>68</v>
      </c>
      <c r="C30" s="157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1"/>
  <sheetViews>
    <sheetView topLeftCell="B1" workbookViewId="0">
      <selection activeCell="B39" sqref="B39"/>
    </sheetView>
  </sheetViews>
  <sheetFormatPr defaultRowHeight="14.4" x14ac:dyDescent="0.3"/>
  <cols>
    <col min="2" max="2" width="48.33203125" customWidth="1"/>
    <col min="26" max="26" width="13.33203125" bestFit="1" customWidth="1"/>
    <col min="27" max="27" width="12" bestFit="1" customWidth="1"/>
  </cols>
  <sheetData>
    <row r="3" spans="2:27" x14ac:dyDescent="0.3">
      <c r="B3" t="s">
        <v>160</v>
      </c>
    </row>
    <row r="6" spans="2:27" ht="18" customHeight="1" x14ac:dyDescent="0.35">
      <c r="B6" s="11" t="s">
        <v>9</v>
      </c>
      <c r="D6" s="13">
        <f>SUM(C41:L41)</f>
        <v>0</v>
      </c>
      <c r="Z6" t="s">
        <v>161</v>
      </c>
      <c r="AA6" s="149" t="s">
        <v>162</v>
      </c>
    </row>
    <row r="7" spans="2:27" x14ac:dyDescent="0.3">
      <c r="Y7" t="s">
        <v>31</v>
      </c>
      <c r="Z7">
        <f>Diskonttaus!B3+Diskonttaus!B7</f>
        <v>2060</v>
      </c>
    </row>
    <row r="8" spans="2:27" ht="15" customHeight="1" thickBot="1" x14ac:dyDescent="0.35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11</v>
      </c>
    </row>
    <row r="9" spans="2:27" x14ac:dyDescent="0.3">
      <c r="B9" t="s">
        <v>163</v>
      </c>
      <c r="C9" s="70"/>
      <c r="D9" s="71"/>
      <c r="E9" s="71"/>
      <c r="F9" s="71"/>
      <c r="G9" s="71"/>
      <c r="H9" s="71"/>
      <c r="I9" s="71"/>
      <c r="J9" s="71"/>
      <c r="K9" s="71"/>
      <c r="L9" s="72"/>
      <c r="N9" s="70"/>
      <c r="O9" s="71"/>
      <c r="P9" s="71"/>
      <c r="Q9" s="71"/>
      <c r="R9" s="71"/>
      <c r="S9" s="71"/>
      <c r="T9" s="71"/>
      <c r="U9" s="71"/>
      <c r="V9" s="71"/>
      <c r="W9" s="72"/>
      <c r="X9" s="13">
        <f t="shared" ref="X9:X22" si="2">SUM(C27:W27)</f>
        <v>0</v>
      </c>
      <c r="Y9" s="13"/>
      <c r="Z9" s="17">
        <v>0.5</v>
      </c>
      <c r="AA9" s="68">
        <f>Z9*X9/(1+Diskonttaus!$B$8)^(Investointikustannus!$Z$7-Diskonttaus!$B$2)</f>
        <v>0</v>
      </c>
    </row>
    <row r="10" spans="2:27" x14ac:dyDescent="0.3">
      <c r="B10" t="s">
        <v>164</v>
      </c>
      <c r="C10" s="73"/>
      <c r="L10" s="84"/>
      <c r="N10" s="73"/>
      <c r="W10" s="84"/>
      <c r="X10" s="13">
        <f t="shared" si="2"/>
        <v>0</v>
      </c>
      <c r="Y10" s="13"/>
      <c r="Z10" s="17">
        <v>0.5</v>
      </c>
      <c r="AA10" s="68">
        <f>Z10*X10/(1+Diskonttaus!$B$8)^(Investointikustannus!$Z$7-Diskonttaus!$B$2)</f>
        <v>0</v>
      </c>
    </row>
    <row r="11" spans="2:27" x14ac:dyDescent="0.3">
      <c r="B11" t="s">
        <v>165</v>
      </c>
      <c r="C11" s="73"/>
      <c r="L11" s="84"/>
      <c r="N11" s="73"/>
      <c r="W11" s="84"/>
      <c r="X11" s="13">
        <f t="shared" si="2"/>
        <v>0</v>
      </c>
      <c r="Y11" s="13"/>
      <c r="Z11" s="17">
        <v>0.3</v>
      </c>
      <c r="AA11" s="68">
        <f>Z11*X11/(1+Diskonttaus!$B$8)^(Investointikustannus!$Z$7-Diskonttaus!$B$2)</f>
        <v>0</v>
      </c>
    </row>
    <row r="12" spans="2:27" x14ac:dyDescent="0.3">
      <c r="B12" t="s">
        <v>166</v>
      </c>
      <c r="C12" s="73"/>
      <c r="L12" s="84"/>
      <c r="N12" s="73"/>
      <c r="W12" s="84"/>
      <c r="X12" s="13">
        <f t="shared" si="2"/>
        <v>0</v>
      </c>
      <c r="Y12" s="13"/>
      <c r="Z12" s="17">
        <v>0.3</v>
      </c>
      <c r="AA12" s="68">
        <f>Z12*X12/(1+Diskonttaus!$B$8)^(Investointikustannus!$Z$7-Diskonttaus!$B$2)</f>
        <v>0</v>
      </c>
    </row>
    <row r="13" spans="2:27" x14ac:dyDescent="0.3">
      <c r="B13" t="s">
        <v>167</v>
      </c>
      <c r="C13" s="73"/>
      <c r="L13" s="84"/>
      <c r="N13" s="73"/>
      <c r="W13" s="84"/>
      <c r="X13" s="13">
        <f t="shared" si="2"/>
        <v>0</v>
      </c>
      <c r="Y13" s="13"/>
      <c r="Z13" s="17">
        <v>0.3</v>
      </c>
      <c r="AA13" s="68">
        <f>Z13*X13/(1+Diskonttaus!$B$8)^(Investointikustannus!$Z$7-Diskonttaus!$B$2)</f>
        <v>0</v>
      </c>
    </row>
    <row r="14" spans="2:27" x14ac:dyDescent="0.3">
      <c r="B14" t="s">
        <v>168</v>
      </c>
      <c r="C14" s="73"/>
      <c r="L14" s="84"/>
      <c r="N14" s="73"/>
      <c r="W14" s="84"/>
      <c r="X14" s="13">
        <f t="shared" si="2"/>
        <v>0</v>
      </c>
      <c r="Y14" s="13"/>
      <c r="AA14" s="13">
        <f>Z14*X14/(1+Diskonttaus!$B$8)^(Investointikustannus!$Z$7-Diskonttaus!$B$2)</f>
        <v>0</v>
      </c>
    </row>
    <row r="15" spans="2:27" x14ac:dyDescent="0.3">
      <c r="B15" t="s">
        <v>169</v>
      </c>
      <c r="C15" s="73"/>
      <c r="L15" s="84"/>
      <c r="N15" s="73"/>
      <c r="W15" s="84"/>
      <c r="X15" s="13">
        <f t="shared" si="2"/>
        <v>0</v>
      </c>
      <c r="Y15" s="13"/>
      <c r="AA15" s="13">
        <f>Z15*X15/(1+Diskonttaus!$B$8)^(Investointikustannus!$Z$7-Diskonttaus!$B$2)</f>
        <v>0</v>
      </c>
    </row>
    <row r="16" spans="2:27" x14ac:dyDescent="0.3">
      <c r="B16" t="s">
        <v>170</v>
      </c>
      <c r="C16" s="73"/>
      <c r="L16" s="84"/>
      <c r="N16" s="73"/>
      <c r="W16" s="84"/>
      <c r="X16" s="13">
        <f t="shared" si="2"/>
        <v>0</v>
      </c>
      <c r="Y16" s="13"/>
      <c r="AA16" s="13">
        <f>Z16*X16/(1+Diskonttaus!$B$8)^(Investointikustannus!$Z$7-Diskonttaus!$B$2)</f>
        <v>0</v>
      </c>
    </row>
    <row r="17" spans="2:27" x14ac:dyDescent="0.3">
      <c r="B17" t="s">
        <v>171</v>
      </c>
      <c r="C17" s="73"/>
      <c r="L17" s="84"/>
      <c r="N17" s="73"/>
      <c r="W17" s="84"/>
      <c r="X17" s="13">
        <f t="shared" si="2"/>
        <v>0</v>
      </c>
      <c r="Y17" s="13"/>
      <c r="AA17" s="13">
        <f>Z17*X17/(1+Diskonttaus!$B$8)^(Investointikustannus!$Z$7-Diskonttaus!$B$2)</f>
        <v>0</v>
      </c>
    </row>
    <row r="18" spans="2:27" x14ac:dyDescent="0.3">
      <c r="B18" t="s">
        <v>172</v>
      </c>
      <c r="C18" s="73"/>
      <c r="L18" s="84"/>
      <c r="N18" s="73"/>
      <c r="W18" s="84"/>
      <c r="X18" s="13">
        <f t="shared" si="2"/>
        <v>0</v>
      </c>
      <c r="Y18" s="13"/>
      <c r="AA18" s="13">
        <f>Z18*X18/(1+Diskonttaus!$B$8)^(Investointikustannus!$Z$7-Diskonttaus!$B$2)</f>
        <v>0</v>
      </c>
    </row>
    <row r="19" spans="2:27" x14ac:dyDescent="0.3">
      <c r="B19" t="s">
        <v>173</v>
      </c>
      <c r="C19" s="73"/>
      <c r="L19" s="84"/>
      <c r="N19" s="73"/>
      <c r="W19" s="84"/>
      <c r="X19" s="13">
        <f t="shared" si="2"/>
        <v>0</v>
      </c>
      <c r="Y19" s="13"/>
      <c r="AA19" s="13">
        <f>Z19*X19/(1+Diskonttaus!$B$8)^(Investointikustannus!$Z$7-Diskonttaus!$B$2)</f>
        <v>0</v>
      </c>
    </row>
    <row r="20" spans="2:27" x14ac:dyDescent="0.3">
      <c r="B20" t="s">
        <v>174</v>
      </c>
      <c r="C20" s="73"/>
      <c r="L20" s="84"/>
      <c r="N20" s="73"/>
      <c r="W20" s="84"/>
      <c r="X20" s="13">
        <f t="shared" si="2"/>
        <v>0</v>
      </c>
      <c r="Y20" s="13"/>
      <c r="AA20" s="13">
        <f>Z20*X20/(1+Diskonttaus!$B$8)^(Investointikustannus!$Z$7-Diskonttaus!$B$2)</f>
        <v>0</v>
      </c>
    </row>
    <row r="21" spans="2:27" x14ac:dyDescent="0.3">
      <c r="B21" t="s">
        <v>175</v>
      </c>
      <c r="C21" s="73"/>
      <c r="L21" s="84"/>
      <c r="N21" s="73"/>
      <c r="W21" s="84"/>
      <c r="X21" s="13">
        <f t="shared" si="2"/>
        <v>0</v>
      </c>
      <c r="Y21" s="13"/>
      <c r="AA21" s="13">
        <f>Z21*X21/(1+Diskonttaus!$B$8)^(Investointikustannus!$Z$7-Diskonttaus!$B$2)</f>
        <v>0</v>
      </c>
    </row>
    <row r="22" spans="2:27" ht="15" customHeight="1" thickBot="1" x14ac:dyDescent="0.35">
      <c r="B22" t="s">
        <v>176</v>
      </c>
      <c r="C22" s="48"/>
      <c r="D22" s="92"/>
      <c r="E22" s="92"/>
      <c r="F22" s="92"/>
      <c r="G22" s="92"/>
      <c r="H22" s="92"/>
      <c r="I22" s="92"/>
      <c r="J22" s="92"/>
      <c r="K22" s="92"/>
      <c r="L22" s="97"/>
      <c r="N22" s="48"/>
      <c r="O22" s="92"/>
      <c r="P22" s="92"/>
      <c r="Q22" s="92"/>
      <c r="R22" s="92"/>
      <c r="S22" s="92"/>
      <c r="T22" s="92"/>
      <c r="U22" s="92"/>
      <c r="V22" s="92"/>
      <c r="W22" s="97"/>
      <c r="X22" s="13">
        <f t="shared" si="2"/>
        <v>0</v>
      </c>
      <c r="Y22" s="13"/>
      <c r="AA22" s="13">
        <f>Z22*X22/(1+Diskonttaus!$B$8)^(Investointikustannus!$Z$7-Diskonttaus!$B$2)</f>
        <v>0</v>
      </c>
    </row>
    <row r="23" spans="2:27" ht="18.600000000000001" customHeight="1" thickBot="1" x14ac:dyDescent="0.4">
      <c r="B23" t="s">
        <v>11</v>
      </c>
      <c r="C23">
        <f t="shared" ref="C23:L23" si="3">SUM(C9:C22)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N23">
        <f t="shared" ref="N23:W23" si="4">SUM(N9:N22)</f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AA23" s="212">
        <f>SUM(AA9:AA22)</f>
        <v>0</v>
      </c>
    </row>
    <row r="26" spans="2:27" x14ac:dyDescent="0.3">
      <c r="B26" t="s">
        <v>177</v>
      </c>
    </row>
    <row r="27" spans="2:27" x14ac:dyDescent="0.3">
      <c r="B27" t="s">
        <v>178</v>
      </c>
      <c r="C27" s="18">
        <f>C9/(1+Diskonttaus!$B$8)^(Investointikustannus!C$8-Diskonttaus!$B$2)</f>
        <v>0</v>
      </c>
      <c r="D27" s="19">
        <f>D9/(1+Diskonttaus!$B$8)^(Investointikustannus!D$8-Diskonttaus!$B$2)</f>
        <v>0</v>
      </c>
      <c r="E27" s="19">
        <f>E9/(1+Diskonttaus!$B$8)^(Investointikustannus!E$8-Diskonttaus!$B$2)</f>
        <v>0</v>
      </c>
      <c r="F27" s="19">
        <f>F9/(1+Diskonttaus!$B$8)^(Investointikustannus!F$8-Diskonttaus!$B$2)</f>
        <v>0</v>
      </c>
      <c r="G27" s="19">
        <f>G9/(1+Diskonttaus!$B$8)^(Investointikustannus!G$8-Diskonttaus!$B$2)</f>
        <v>0</v>
      </c>
      <c r="H27" s="19">
        <f>H9/(1+Diskonttaus!$B$8)^(Investointikustannus!H$8-Diskonttaus!$B$2)</f>
        <v>0</v>
      </c>
      <c r="I27" s="19">
        <f>I9/(1+Diskonttaus!$B$8)^(Investointikustannus!I$8-Diskonttaus!$B$2)</f>
        <v>0</v>
      </c>
      <c r="J27" s="19">
        <f>J9/(1+Diskonttaus!$B$8)^(Investointikustannus!J$8-Diskonttaus!$B$2)</f>
        <v>0</v>
      </c>
      <c r="K27" s="19">
        <f>K9/(1+Diskonttaus!$B$8)^(Investointikustannus!K$8-Diskonttaus!$B$2)</f>
        <v>0</v>
      </c>
      <c r="L27" s="20">
        <f>L9/(1+Diskonttaus!$B$8)^(Investointikustannus!L$8-Diskonttaus!$B$2)</f>
        <v>0</v>
      </c>
      <c r="N27" s="18">
        <f>N9/(1+Diskonttaus!$B$8)^(Investointikustannus!N$8-Diskonttaus!$B$2)</f>
        <v>0</v>
      </c>
      <c r="O27" s="19">
        <f>O9/(1+Diskonttaus!$B$8)^(Investointikustannus!O$8-Diskonttaus!$B$2)</f>
        <v>0</v>
      </c>
      <c r="P27" s="19">
        <f>P9/(1+Diskonttaus!$B$8)^(Investointikustannus!P$8-Diskonttaus!$B$2)</f>
        <v>0</v>
      </c>
      <c r="Q27" s="19">
        <f>Q9/(1+Diskonttaus!$B$8)^(Investointikustannus!Q$8-Diskonttaus!$B$2)</f>
        <v>0</v>
      </c>
      <c r="R27" s="19">
        <f>R9/(1+Diskonttaus!$B$8)^(Investointikustannus!R$8-Diskonttaus!$B$2)</f>
        <v>0</v>
      </c>
      <c r="S27" s="19">
        <f>S9/(1+Diskonttaus!$B$8)^(Investointikustannus!S$8-Diskonttaus!$B$2)</f>
        <v>0</v>
      </c>
      <c r="T27" s="19">
        <f>T9/(1+Diskonttaus!$B$8)^(Investointikustannus!T$8-Diskonttaus!$B$2)</f>
        <v>0</v>
      </c>
      <c r="U27" s="19">
        <f>U9/(1+Diskonttaus!$B$8)^(Investointikustannus!U$8-Diskonttaus!$B$2)</f>
        <v>0</v>
      </c>
      <c r="V27" s="19">
        <f>V9/(1+Diskonttaus!$B$8)^(Investointikustannus!V$8-Diskonttaus!$B$2)</f>
        <v>0</v>
      </c>
      <c r="W27" s="20">
        <f>W9/(1+Diskonttaus!$B$8)^(Investointikustannus!W$8-Diskonttaus!$B$2)</f>
        <v>0</v>
      </c>
    </row>
    <row r="28" spans="2:27" x14ac:dyDescent="0.3">
      <c r="B28" t="s">
        <v>179</v>
      </c>
      <c r="C28" s="21">
        <f>C10/(1+Diskonttaus!$B$8)^(Investointikustannus!C$8-Diskonttaus!$B$2)</f>
        <v>0</v>
      </c>
      <c r="D28" s="13">
        <f>D10/(1+Diskonttaus!$B$8)^(Investointikustannus!D$8-Diskonttaus!$B$2)</f>
        <v>0</v>
      </c>
      <c r="E28" s="13">
        <f>E10/(1+Diskonttaus!$B$8)^(Investointikustannus!E$8-Diskonttaus!$B$2)</f>
        <v>0</v>
      </c>
      <c r="F28" s="13">
        <f>F10/(1+Diskonttaus!$B$8)^(Investointikustannus!F$8-Diskonttaus!$B$2)</f>
        <v>0</v>
      </c>
      <c r="G28" s="13">
        <f>G10/(1+Diskonttaus!$B$8)^(Investointikustannus!G$8-Diskonttaus!$B$2)</f>
        <v>0</v>
      </c>
      <c r="H28" s="13">
        <f>H10/(1+Diskonttaus!$B$8)^(Investointikustannus!H$8-Diskonttaus!$B$2)</f>
        <v>0</v>
      </c>
      <c r="I28" s="13">
        <f>I10/(1+Diskonttaus!$B$8)^(Investointikustannus!I$8-Diskonttaus!$B$2)</f>
        <v>0</v>
      </c>
      <c r="J28" s="13">
        <f>J10/(1+Diskonttaus!$B$8)^(Investointikustannus!J$8-Diskonttaus!$B$2)</f>
        <v>0</v>
      </c>
      <c r="K28" s="13">
        <f>K10/(1+Diskonttaus!$B$8)^(Investointikustannus!K$8-Diskonttaus!$B$2)</f>
        <v>0</v>
      </c>
      <c r="L28" s="22">
        <f>L10/(1+Diskonttaus!$B$8)^(Investointikustannus!L$8-Diskonttaus!$B$2)</f>
        <v>0</v>
      </c>
      <c r="N28" s="21">
        <f>N10/(1+Diskonttaus!$B$8)^(Investointikustannus!N$8-Diskonttaus!$B$2)</f>
        <v>0</v>
      </c>
      <c r="O28" s="13">
        <f>O10/(1+Diskonttaus!$B$8)^(Investointikustannus!O$8-Diskonttaus!$B$2)</f>
        <v>0</v>
      </c>
      <c r="P28" s="13">
        <f>P10/(1+Diskonttaus!$B$8)^(Investointikustannus!P$8-Diskonttaus!$B$2)</f>
        <v>0</v>
      </c>
      <c r="Q28" s="13">
        <f>Q10/(1+Diskonttaus!$B$8)^(Investointikustannus!Q$8-Diskonttaus!$B$2)</f>
        <v>0</v>
      </c>
      <c r="R28" s="13">
        <f>R10/(1+Diskonttaus!$B$8)^(Investointikustannus!R$8-Diskonttaus!$B$2)</f>
        <v>0</v>
      </c>
      <c r="S28" s="13">
        <f>S10/(1+Diskonttaus!$B$8)^(Investointikustannus!S$8-Diskonttaus!$B$2)</f>
        <v>0</v>
      </c>
      <c r="T28" s="13">
        <f>T10/(1+Diskonttaus!$B$8)^(Investointikustannus!T$8-Diskonttaus!$B$2)</f>
        <v>0</v>
      </c>
      <c r="U28" s="13">
        <f>U10/(1+Diskonttaus!$B$8)^(Investointikustannus!U$8-Diskonttaus!$B$2)</f>
        <v>0</v>
      </c>
      <c r="V28" s="13">
        <f>V10/(1+Diskonttaus!$B$8)^(Investointikustannus!V$8-Diskonttaus!$B$2)</f>
        <v>0</v>
      </c>
      <c r="W28" s="22">
        <f>W10/(1+Diskonttaus!$B$8)^(Investointikustannus!W$8-Diskonttaus!$B$2)</f>
        <v>0</v>
      </c>
    </row>
    <row r="29" spans="2:27" x14ac:dyDescent="0.3">
      <c r="B29" t="s">
        <v>180</v>
      </c>
      <c r="C29" s="21">
        <f>C11/(1+Diskonttaus!$B$8)^(Investointikustannus!C$8-Diskonttaus!$B$2)</f>
        <v>0</v>
      </c>
      <c r="D29" s="13">
        <f>D11/(1+Diskonttaus!$B$8)^(Investointikustannus!D$8-Diskonttaus!$B$2)</f>
        <v>0</v>
      </c>
      <c r="E29" s="13">
        <f>E11/(1+Diskonttaus!$B$8)^(Investointikustannus!E$8-Diskonttaus!$B$2)</f>
        <v>0</v>
      </c>
      <c r="F29" s="13">
        <f>F11/(1+Diskonttaus!$B$8)^(Investointikustannus!F$8-Diskonttaus!$B$2)</f>
        <v>0</v>
      </c>
      <c r="G29" s="13">
        <f>G11/(1+Diskonttaus!$B$8)^(Investointikustannus!G$8-Diskonttaus!$B$2)</f>
        <v>0</v>
      </c>
      <c r="H29" s="13">
        <f>H11/(1+Diskonttaus!$B$8)^(Investointikustannus!H$8-Diskonttaus!$B$2)</f>
        <v>0</v>
      </c>
      <c r="I29" s="13">
        <f>I11/(1+Diskonttaus!$B$8)^(Investointikustannus!I$8-Diskonttaus!$B$2)</f>
        <v>0</v>
      </c>
      <c r="J29" s="13">
        <f>J11/(1+Diskonttaus!$B$8)^(Investointikustannus!J$8-Diskonttaus!$B$2)</f>
        <v>0</v>
      </c>
      <c r="K29" s="13">
        <f>K11/(1+Diskonttaus!$B$8)^(Investointikustannus!K$8-Diskonttaus!$B$2)</f>
        <v>0</v>
      </c>
      <c r="L29" s="22">
        <f>L11/(1+Diskonttaus!$B$8)^(Investointikustannus!L$8-Diskonttaus!$B$2)</f>
        <v>0</v>
      </c>
      <c r="N29" s="21">
        <f>N11/(1+Diskonttaus!$B$8)^(Investointikustannus!N$8-Diskonttaus!$B$2)</f>
        <v>0</v>
      </c>
      <c r="O29" s="13">
        <f>O11/(1+Diskonttaus!$B$8)^(Investointikustannus!O$8-Diskonttaus!$B$2)</f>
        <v>0</v>
      </c>
      <c r="P29" s="13">
        <f>P11/(1+Diskonttaus!$B$8)^(Investointikustannus!P$8-Diskonttaus!$B$2)</f>
        <v>0</v>
      </c>
      <c r="Q29" s="13">
        <f>Q11/(1+Diskonttaus!$B$8)^(Investointikustannus!Q$8-Diskonttaus!$B$2)</f>
        <v>0</v>
      </c>
      <c r="R29" s="13">
        <f>R11/(1+Diskonttaus!$B$8)^(Investointikustannus!R$8-Diskonttaus!$B$2)</f>
        <v>0</v>
      </c>
      <c r="S29" s="13">
        <f>S11/(1+Diskonttaus!$B$8)^(Investointikustannus!S$8-Diskonttaus!$B$2)</f>
        <v>0</v>
      </c>
      <c r="T29" s="13">
        <f>T11/(1+Diskonttaus!$B$8)^(Investointikustannus!T$8-Diskonttaus!$B$2)</f>
        <v>0</v>
      </c>
      <c r="U29" s="13">
        <f>U11/(1+Diskonttaus!$B$8)^(Investointikustannus!U$8-Diskonttaus!$B$2)</f>
        <v>0</v>
      </c>
      <c r="V29" s="13">
        <f>V11/(1+Diskonttaus!$B$8)^(Investointikustannus!V$8-Diskonttaus!$B$2)</f>
        <v>0</v>
      </c>
      <c r="W29" s="22">
        <f>W11/(1+Diskonttaus!$B$8)^(Investointikustannus!W$8-Diskonttaus!$B$2)</f>
        <v>0</v>
      </c>
    </row>
    <row r="30" spans="2:27" x14ac:dyDescent="0.3">
      <c r="B30" t="s">
        <v>181</v>
      </c>
      <c r="C30" s="21">
        <f>C12/(1+Diskonttaus!$B$8)^(Investointikustannus!C$8-Diskonttaus!$B$2)</f>
        <v>0</v>
      </c>
      <c r="D30" s="13">
        <f>D12/(1+Diskonttaus!$B$8)^(Investointikustannus!D$8-Diskonttaus!$B$2)</f>
        <v>0</v>
      </c>
      <c r="E30" s="13">
        <f>E12/(1+Diskonttaus!$B$8)^(Investointikustannus!E$8-Diskonttaus!$B$2)</f>
        <v>0</v>
      </c>
      <c r="F30" s="13">
        <f>F12/(1+Diskonttaus!$B$8)^(Investointikustannus!F$8-Diskonttaus!$B$2)</f>
        <v>0</v>
      </c>
      <c r="G30" s="13">
        <f>G12/(1+Diskonttaus!$B$8)^(Investointikustannus!G$8-Diskonttaus!$B$2)</f>
        <v>0</v>
      </c>
      <c r="H30" s="13">
        <f>H12/(1+Diskonttaus!$B$8)^(Investointikustannus!H$8-Diskonttaus!$B$2)</f>
        <v>0</v>
      </c>
      <c r="I30" s="13">
        <f>I12/(1+Diskonttaus!$B$8)^(Investointikustannus!I$8-Diskonttaus!$B$2)</f>
        <v>0</v>
      </c>
      <c r="J30" s="13">
        <f>J12/(1+Diskonttaus!$B$8)^(Investointikustannus!J$8-Diskonttaus!$B$2)</f>
        <v>0</v>
      </c>
      <c r="K30" s="13">
        <f>K12/(1+Diskonttaus!$B$8)^(Investointikustannus!K$8-Diskonttaus!$B$2)</f>
        <v>0</v>
      </c>
      <c r="L30" s="22">
        <f>L12/(1+Diskonttaus!$B$8)^(Investointikustannus!L$8-Diskonttaus!$B$2)</f>
        <v>0</v>
      </c>
      <c r="N30" s="21">
        <f>N12/(1+Diskonttaus!$B$8)^(Investointikustannus!N$8-Diskonttaus!$B$2)</f>
        <v>0</v>
      </c>
      <c r="O30" s="13">
        <f>O12/(1+Diskonttaus!$B$8)^(Investointikustannus!O$8-Diskonttaus!$B$2)</f>
        <v>0</v>
      </c>
      <c r="P30" s="13">
        <f>P12/(1+Diskonttaus!$B$8)^(Investointikustannus!P$8-Diskonttaus!$B$2)</f>
        <v>0</v>
      </c>
      <c r="Q30" s="13">
        <f>Q12/(1+Diskonttaus!$B$8)^(Investointikustannus!Q$8-Diskonttaus!$B$2)</f>
        <v>0</v>
      </c>
      <c r="R30" s="13">
        <f>R12/(1+Diskonttaus!$B$8)^(Investointikustannus!R$8-Diskonttaus!$B$2)</f>
        <v>0</v>
      </c>
      <c r="S30" s="13">
        <f>S12/(1+Diskonttaus!$B$8)^(Investointikustannus!S$8-Diskonttaus!$B$2)</f>
        <v>0</v>
      </c>
      <c r="T30" s="13">
        <f>T12/(1+Diskonttaus!$B$8)^(Investointikustannus!T$8-Diskonttaus!$B$2)</f>
        <v>0</v>
      </c>
      <c r="U30" s="13">
        <f>U12/(1+Diskonttaus!$B$8)^(Investointikustannus!U$8-Diskonttaus!$B$2)</f>
        <v>0</v>
      </c>
      <c r="V30" s="13">
        <f>V12/(1+Diskonttaus!$B$8)^(Investointikustannus!V$8-Diskonttaus!$B$2)</f>
        <v>0</v>
      </c>
      <c r="W30" s="22">
        <f>W12/(1+Diskonttaus!$B$8)^(Investointikustannus!W$8-Diskonttaus!$B$2)</f>
        <v>0</v>
      </c>
    </row>
    <row r="31" spans="2:27" x14ac:dyDescent="0.3">
      <c r="B31" t="s">
        <v>182</v>
      </c>
      <c r="C31" s="21">
        <f>C13/(1+Diskonttaus!$B$8)^(Investointikustannus!C$8-Diskonttaus!$B$2)</f>
        <v>0</v>
      </c>
      <c r="D31" s="13">
        <f>D13/(1+Diskonttaus!$B$8)^(Investointikustannus!D$8-Diskonttaus!$B$2)</f>
        <v>0</v>
      </c>
      <c r="E31" s="13">
        <f>E13/(1+Diskonttaus!$B$8)^(Investointikustannus!E$8-Diskonttaus!$B$2)</f>
        <v>0</v>
      </c>
      <c r="F31" s="13">
        <f>F13/(1+Diskonttaus!$B$8)^(Investointikustannus!F$8-Diskonttaus!$B$2)</f>
        <v>0</v>
      </c>
      <c r="G31" s="13">
        <f>G13/(1+Diskonttaus!$B$8)^(Investointikustannus!G$8-Diskonttaus!$B$2)</f>
        <v>0</v>
      </c>
      <c r="H31" s="13">
        <f>H13/(1+Diskonttaus!$B$8)^(Investointikustannus!H$8-Diskonttaus!$B$2)</f>
        <v>0</v>
      </c>
      <c r="I31" s="13">
        <f>I13/(1+Diskonttaus!$B$8)^(Investointikustannus!I$8-Diskonttaus!$B$2)</f>
        <v>0</v>
      </c>
      <c r="J31" s="13">
        <f>J13/(1+Diskonttaus!$B$8)^(Investointikustannus!J$8-Diskonttaus!$B$2)</f>
        <v>0</v>
      </c>
      <c r="K31" s="13">
        <f>K13/(1+Diskonttaus!$B$8)^(Investointikustannus!K$8-Diskonttaus!$B$2)</f>
        <v>0</v>
      </c>
      <c r="L31" s="22">
        <f>L13/(1+Diskonttaus!$B$8)^(Investointikustannus!L$8-Diskonttaus!$B$2)</f>
        <v>0</v>
      </c>
      <c r="N31" s="21">
        <f>N13/(1+Diskonttaus!$B$8)^(Investointikustannus!N$8-Diskonttaus!$B$2)</f>
        <v>0</v>
      </c>
      <c r="O31" s="13">
        <f>O13/(1+Diskonttaus!$B$8)^(Investointikustannus!O$8-Diskonttaus!$B$2)</f>
        <v>0</v>
      </c>
      <c r="P31" s="13">
        <f>P13/(1+Diskonttaus!$B$8)^(Investointikustannus!P$8-Diskonttaus!$B$2)</f>
        <v>0</v>
      </c>
      <c r="Q31" s="13">
        <f>Q13/(1+Diskonttaus!$B$8)^(Investointikustannus!Q$8-Diskonttaus!$B$2)</f>
        <v>0</v>
      </c>
      <c r="R31" s="13">
        <f>R13/(1+Diskonttaus!$B$8)^(Investointikustannus!R$8-Diskonttaus!$B$2)</f>
        <v>0</v>
      </c>
      <c r="S31" s="13">
        <f>S13/(1+Diskonttaus!$B$8)^(Investointikustannus!S$8-Diskonttaus!$B$2)</f>
        <v>0</v>
      </c>
      <c r="T31" s="13">
        <f>T13/(1+Diskonttaus!$B$8)^(Investointikustannus!T$8-Diskonttaus!$B$2)</f>
        <v>0</v>
      </c>
      <c r="U31" s="13">
        <f>U13/(1+Diskonttaus!$B$8)^(Investointikustannus!U$8-Diskonttaus!$B$2)</f>
        <v>0</v>
      </c>
      <c r="V31" s="13">
        <f>V13/(1+Diskonttaus!$B$8)^(Investointikustannus!V$8-Diskonttaus!$B$2)</f>
        <v>0</v>
      </c>
      <c r="W31" s="22">
        <f>W13/(1+Diskonttaus!$B$8)^(Investointikustannus!W$8-Diskonttaus!$B$2)</f>
        <v>0</v>
      </c>
    </row>
    <row r="32" spans="2:27" x14ac:dyDescent="0.3">
      <c r="B32" t="s">
        <v>168</v>
      </c>
      <c r="C32" s="21">
        <f>C14/(1+Diskonttaus!$B$8)^(Investointikustannus!C$8-Diskonttaus!$B$2)</f>
        <v>0</v>
      </c>
      <c r="D32" s="13">
        <f>D14/(1+Diskonttaus!$B$8)^(Investointikustannus!D$8-Diskonttaus!$B$2)</f>
        <v>0</v>
      </c>
      <c r="E32" s="13">
        <f>E14/(1+Diskonttaus!$B$8)^(Investointikustannus!E$8-Diskonttaus!$B$2)</f>
        <v>0</v>
      </c>
      <c r="F32" s="13">
        <f>F14/(1+Diskonttaus!$B$8)^(Investointikustannus!F$8-Diskonttaus!$B$2)</f>
        <v>0</v>
      </c>
      <c r="G32" s="13">
        <f>G14/(1+Diskonttaus!$B$8)^(Investointikustannus!G$8-Diskonttaus!$B$2)</f>
        <v>0</v>
      </c>
      <c r="H32" s="13">
        <f>H14/(1+Diskonttaus!$B$8)^(Investointikustannus!H$8-Diskonttaus!$B$2)</f>
        <v>0</v>
      </c>
      <c r="I32" s="13">
        <f>I14/(1+Diskonttaus!$B$8)^(Investointikustannus!I$8-Diskonttaus!$B$2)</f>
        <v>0</v>
      </c>
      <c r="J32" s="13">
        <f>J14/(1+Diskonttaus!$B$8)^(Investointikustannus!J$8-Diskonttaus!$B$2)</f>
        <v>0</v>
      </c>
      <c r="K32" s="13">
        <f>K14/(1+Diskonttaus!$B$8)^(Investointikustannus!K$8-Diskonttaus!$B$2)</f>
        <v>0</v>
      </c>
      <c r="L32" s="22">
        <f>L14/(1+Diskonttaus!$B$8)^(Investointikustannus!L$8-Diskonttaus!$B$2)</f>
        <v>0</v>
      </c>
      <c r="N32" s="21">
        <f>N14/(1+Diskonttaus!$B$8)^(Investointikustannus!N$8-Diskonttaus!$B$2)</f>
        <v>0</v>
      </c>
      <c r="O32" s="13">
        <f>O14/(1+Diskonttaus!$B$8)^(Investointikustannus!O$8-Diskonttaus!$B$2)</f>
        <v>0</v>
      </c>
      <c r="P32" s="13">
        <f>P14/(1+Diskonttaus!$B$8)^(Investointikustannus!P$8-Diskonttaus!$B$2)</f>
        <v>0</v>
      </c>
      <c r="Q32" s="13">
        <f>Q14/(1+Diskonttaus!$B$8)^(Investointikustannus!Q$8-Diskonttaus!$B$2)</f>
        <v>0</v>
      </c>
      <c r="R32" s="13">
        <f>R14/(1+Diskonttaus!$B$8)^(Investointikustannus!R$8-Diskonttaus!$B$2)</f>
        <v>0</v>
      </c>
      <c r="S32" s="13">
        <f>S14/(1+Diskonttaus!$B$8)^(Investointikustannus!S$8-Diskonttaus!$B$2)</f>
        <v>0</v>
      </c>
      <c r="T32" s="13">
        <f>T14/(1+Diskonttaus!$B$8)^(Investointikustannus!T$8-Diskonttaus!$B$2)</f>
        <v>0</v>
      </c>
      <c r="U32" s="13">
        <f>U14/(1+Diskonttaus!$B$8)^(Investointikustannus!U$8-Diskonttaus!$B$2)</f>
        <v>0</v>
      </c>
      <c r="V32" s="13">
        <f>V14/(1+Diskonttaus!$B$8)^(Investointikustannus!V$8-Diskonttaus!$B$2)</f>
        <v>0</v>
      </c>
      <c r="W32" s="22">
        <f>W14/(1+Diskonttaus!$B$8)^(Investointikustannus!W$8-Diskonttaus!$B$2)</f>
        <v>0</v>
      </c>
    </row>
    <row r="33" spans="2:23" x14ac:dyDescent="0.3">
      <c r="B33" t="s">
        <v>169</v>
      </c>
      <c r="C33" s="21">
        <f>C15/(1+Diskonttaus!$B$8)^(Investointikustannus!C$8-Diskonttaus!$B$2)</f>
        <v>0</v>
      </c>
      <c r="D33" s="13">
        <f>D15/(1+Diskonttaus!$B$8)^(Investointikustannus!D$8-Diskonttaus!$B$2)</f>
        <v>0</v>
      </c>
      <c r="E33" s="13">
        <f>E15/(1+Diskonttaus!$B$8)^(Investointikustannus!E$8-Diskonttaus!$B$2)</f>
        <v>0</v>
      </c>
      <c r="F33" s="13">
        <f>F15/(1+Diskonttaus!$B$8)^(Investointikustannus!F$8-Diskonttaus!$B$2)</f>
        <v>0</v>
      </c>
      <c r="G33" s="13">
        <f>G15/(1+Diskonttaus!$B$8)^(Investointikustannus!G$8-Diskonttaus!$B$2)</f>
        <v>0</v>
      </c>
      <c r="H33" s="13">
        <f>H15/(1+Diskonttaus!$B$8)^(Investointikustannus!H$8-Diskonttaus!$B$2)</f>
        <v>0</v>
      </c>
      <c r="I33" s="13">
        <f>I15/(1+Diskonttaus!$B$8)^(Investointikustannus!I$8-Diskonttaus!$B$2)</f>
        <v>0</v>
      </c>
      <c r="J33" s="13">
        <f>J15/(1+Diskonttaus!$B$8)^(Investointikustannus!J$8-Diskonttaus!$B$2)</f>
        <v>0</v>
      </c>
      <c r="K33" s="13">
        <f>K15/(1+Diskonttaus!$B$8)^(Investointikustannus!K$8-Diskonttaus!$B$2)</f>
        <v>0</v>
      </c>
      <c r="L33" s="22">
        <f>L15/(1+Diskonttaus!$B$8)^(Investointikustannus!L$8-Diskonttaus!$B$2)</f>
        <v>0</v>
      </c>
      <c r="N33" s="21">
        <f>N15/(1+Diskonttaus!$B$8)^(Investointikustannus!N$8-Diskonttaus!$B$2)</f>
        <v>0</v>
      </c>
      <c r="O33" s="13">
        <f>O15/(1+Diskonttaus!$B$8)^(Investointikustannus!O$8-Diskonttaus!$B$2)</f>
        <v>0</v>
      </c>
      <c r="P33" s="13">
        <f>P15/(1+Diskonttaus!$B$8)^(Investointikustannus!P$8-Diskonttaus!$B$2)</f>
        <v>0</v>
      </c>
      <c r="Q33" s="13">
        <f>Q15/(1+Diskonttaus!$B$8)^(Investointikustannus!Q$8-Diskonttaus!$B$2)</f>
        <v>0</v>
      </c>
      <c r="R33" s="13">
        <f>R15/(1+Diskonttaus!$B$8)^(Investointikustannus!R$8-Diskonttaus!$B$2)</f>
        <v>0</v>
      </c>
      <c r="S33" s="13">
        <f>S15/(1+Diskonttaus!$B$8)^(Investointikustannus!S$8-Diskonttaus!$B$2)</f>
        <v>0</v>
      </c>
      <c r="T33" s="13">
        <f>T15/(1+Diskonttaus!$B$8)^(Investointikustannus!T$8-Diskonttaus!$B$2)</f>
        <v>0</v>
      </c>
      <c r="U33" s="13">
        <f>U15/(1+Diskonttaus!$B$8)^(Investointikustannus!U$8-Diskonttaus!$B$2)</f>
        <v>0</v>
      </c>
      <c r="V33" s="13">
        <f>V15/(1+Diskonttaus!$B$8)^(Investointikustannus!V$8-Diskonttaus!$B$2)</f>
        <v>0</v>
      </c>
      <c r="W33" s="22">
        <f>W15/(1+Diskonttaus!$B$8)^(Investointikustannus!W$8-Diskonttaus!$B$2)</f>
        <v>0</v>
      </c>
    </row>
    <row r="34" spans="2:23" x14ac:dyDescent="0.3">
      <c r="B34" t="s">
        <v>170</v>
      </c>
      <c r="C34" s="21">
        <f>C16/(1+Diskonttaus!$B$8)^(Investointikustannus!C$8-Diskonttaus!$B$2)</f>
        <v>0</v>
      </c>
      <c r="D34" s="13">
        <f>D16/(1+Diskonttaus!$B$8)^(Investointikustannus!D$8-Diskonttaus!$B$2)</f>
        <v>0</v>
      </c>
      <c r="E34" s="13">
        <f>E16/(1+Diskonttaus!$B$8)^(Investointikustannus!E$8-Diskonttaus!$B$2)</f>
        <v>0</v>
      </c>
      <c r="F34" s="13">
        <f>F16/(1+Diskonttaus!$B$8)^(Investointikustannus!F$8-Diskonttaus!$B$2)</f>
        <v>0</v>
      </c>
      <c r="G34" s="13">
        <f>G16/(1+Diskonttaus!$B$8)^(Investointikustannus!G$8-Diskonttaus!$B$2)</f>
        <v>0</v>
      </c>
      <c r="H34" s="13">
        <f>H16/(1+Diskonttaus!$B$8)^(Investointikustannus!H$8-Diskonttaus!$B$2)</f>
        <v>0</v>
      </c>
      <c r="I34" s="13">
        <f>I16/(1+Diskonttaus!$B$8)^(Investointikustannus!I$8-Diskonttaus!$B$2)</f>
        <v>0</v>
      </c>
      <c r="J34" s="13">
        <f>J16/(1+Diskonttaus!$B$8)^(Investointikustannus!J$8-Diskonttaus!$B$2)</f>
        <v>0</v>
      </c>
      <c r="K34" s="13">
        <f>K16/(1+Diskonttaus!$B$8)^(Investointikustannus!K$8-Diskonttaus!$B$2)</f>
        <v>0</v>
      </c>
      <c r="L34" s="22">
        <f>L16/(1+Diskonttaus!$B$8)^(Investointikustannus!L$8-Diskonttaus!$B$2)</f>
        <v>0</v>
      </c>
      <c r="N34" s="21">
        <f>N16/(1+Diskonttaus!$B$8)^(Investointikustannus!N$8-Diskonttaus!$B$2)</f>
        <v>0</v>
      </c>
      <c r="O34" s="13">
        <f>O16/(1+Diskonttaus!$B$8)^(Investointikustannus!O$8-Diskonttaus!$B$2)</f>
        <v>0</v>
      </c>
      <c r="P34" s="13">
        <f>P16/(1+Diskonttaus!$B$8)^(Investointikustannus!P$8-Diskonttaus!$B$2)</f>
        <v>0</v>
      </c>
      <c r="Q34" s="13">
        <f>Q16/(1+Diskonttaus!$B$8)^(Investointikustannus!Q$8-Diskonttaus!$B$2)</f>
        <v>0</v>
      </c>
      <c r="R34" s="13">
        <f>R16/(1+Diskonttaus!$B$8)^(Investointikustannus!R$8-Diskonttaus!$B$2)</f>
        <v>0</v>
      </c>
      <c r="S34" s="13">
        <f>S16/(1+Diskonttaus!$B$8)^(Investointikustannus!S$8-Diskonttaus!$B$2)</f>
        <v>0</v>
      </c>
      <c r="T34" s="13">
        <f>T16/(1+Diskonttaus!$B$8)^(Investointikustannus!T$8-Diskonttaus!$B$2)</f>
        <v>0</v>
      </c>
      <c r="U34" s="13">
        <f>U16/(1+Diskonttaus!$B$8)^(Investointikustannus!U$8-Diskonttaus!$B$2)</f>
        <v>0</v>
      </c>
      <c r="V34" s="13">
        <f>V16/(1+Diskonttaus!$B$8)^(Investointikustannus!V$8-Diskonttaus!$B$2)</f>
        <v>0</v>
      </c>
      <c r="W34" s="22">
        <f>W16/(1+Diskonttaus!$B$8)^(Investointikustannus!W$8-Diskonttaus!$B$2)</f>
        <v>0</v>
      </c>
    </row>
    <row r="35" spans="2:23" x14ac:dyDescent="0.3">
      <c r="B35" t="s">
        <v>171</v>
      </c>
      <c r="C35" s="21">
        <f>C17/(1+Diskonttaus!$B$8)^(Investointikustannus!C$8-Diskonttaus!$B$2)</f>
        <v>0</v>
      </c>
      <c r="D35" s="13">
        <f>D17/(1+Diskonttaus!$B$8)^(Investointikustannus!D$8-Diskonttaus!$B$2)</f>
        <v>0</v>
      </c>
      <c r="E35" s="13">
        <f>E17/(1+Diskonttaus!$B$8)^(Investointikustannus!E$8-Diskonttaus!$B$2)</f>
        <v>0</v>
      </c>
      <c r="F35" s="13">
        <f>F17/(1+Diskonttaus!$B$8)^(Investointikustannus!F$8-Diskonttaus!$B$2)</f>
        <v>0</v>
      </c>
      <c r="G35" s="13">
        <f>G17/(1+Diskonttaus!$B$8)^(Investointikustannus!G$8-Diskonttaus!$B$2)</f>
        <v>0</v>
      </c>
      <c r="H35" s="13">
        <f>H17/(1+Diskonttaus!$B$8)^(Investointikustannus!H$8-Diskonttaus!$B$2)</f>
        <v>0</v>
      </c>
      <c r="I35" s="13">
        <f>I17/(1+Diskonttaus!$B$8)^(Investointikustannus!I$8-Diskonttaus!$B$2)</f>
        <v>0</v>
      </c>
      <c r="J35" s="13">
        <f>J17/(1+Diskonttaus!$B$8)^(Investointikustannus!J$8-Diskonttaus!$B$2)</f>
        <v>0</v>
      </c>
      <c r="K35" s="13">
        <f>K17/(1+Diskonttaus!$B$8)^(Investointikustannus!K$8-Diskonttaus!$B$2)</f>
        <v>0</v>
      </c>
      <c r="L35" s="22">
        <f>L17/(1+Diskonttaus!$B$8)^(Investointikustannus!L$8-Diskonttaus!$B$2)</f>
        <v>0</v>
      </c>
      <c r="N35" s="21">
        <f>N17/(1+Diskonttaus!$B$8)^(Investointikustannus!N$8-Diskonttaus!$B$2)</f>
        <v>0</v>
      </c>
      <c r="O35" s="13">
        <f>O17/(1+Diskonttaus!$B$8)^(Investointikustannus!O$8-Diskonttaus!$B$2)</f>
        <v>0</v>
      </c>
      <c r="P35" s="13">
        <f>P17/(1+Diskonttaus!$B$8)^(Investointikustannus!P$8-Diskonttaus!$B$2)</f>
        <v>0</v>
      </c>
      <c r="Q35" s="13">
        <f>Q17/(1+Diskonttaus!$B$8)^(Investointikustannus!Q$8-Diskonttaus!$B$2)</f>
        <v>0</v>
      </c>
      <c r="R35" s="13">
        <f>R17/(1+Diskonttaus!$B$8)^(Investointikustannus!R$8-Diskonttaus!$B$2)</f>
        <v>0</v>
      </c>
      <c r="S35" s="13">
        <f>S17/(1+Diskonttaus!$B$8)^(Investointikustannus!S$8-Diskonttaus!$B$2)</f>
        <v>0</v>
      </c>
      <c r="T35" s="13">
        <f>T17/(1+Diskonttaus!$B$8)^(Investointikustannus!T$8-Diskonttaus!$B$2)</f>
        <v>0</v>
      </c>
      <c r="U35" s="13">
        <f>U17/(1+Diskonttaus!$B$8)^(Investointikustannus!U$8-Diskonttaus!$B$2)</f>
        <v>0</v>
      </c>
      <c r="V35" s="13">
        <f>V17/(1+Diskonttaus!$B$8)^(Investointikustannus!V$8-Diskonttaus!$B$2)</f>
        <v>0</v>
      </c>
      <c r="W35" s="22">
        <f>W17/(1+Diskonttaus!$B$8)^(Investointikustannus!W$8-Diskonttaus!$B$2)</f>
        <v>0</v>
      </c>
    </row>
    <row r="36" spans="2:23" x14ac:dyDescent="0.3">
      <c r="B36" t="s">
        <v>172</v>
      </c>
      <c r="C36" s="21">
        <f>C18/(1+Diskonttaus!$B$8)^(Investointikustannus!C$8-Diskonttaus!$B$2)</f>
        <v>0</v>
      </c>
      <c r="D36" s="13">
        <f>D18/(1+Diskonttaus!$B$8)^(Investointikustannus!D$8-Diskonttaus!$B$2)</f>
        <v>0</v>
      </c>
      <c r="E36" s="13">
        <f>E18/(1+Diskonttaus!$B$8)^(Investointikustannus!E$8-Diskonttaus!$B$2)</f>
        <v>0</v>
      </c>
      <c r="F36" s="13">
        <f>F18/(1+Diskonttaus!$B$8)^(Investointikustannus!F$8-Diskonttaus!$B$2)</f>
        <v>0</v>
      </c>
      <c r="G36" s="13">
        <f>G18/(1+Diskonttaus!$B$8)^(Investointikustannus!G$8-Diskonttaus!$B$2)</f>
        <v>0</v>
      </c>
      <c r="H36" s="13">
        <f>H18/(1+Diskonttaus!$B$8)^(Investointikustannus!H$8-Diskonttaus!$B$2)</f>
        <v>0</v>
      </c>
      <c r="I36" s="13">
        <f>I18/(1+Diskonttaus!$B$8)^(Investointikustannus!I$8-Diskonttaus!$B$2)</f>
        <v>0</v>
      </c>
      <c r="J36" s="13">
        <f>J18/(1+Diskonttaus!$B$8)^(Investointikustannus!J$8-Diskonttaus!$B$2)</f>
        <v>0</v>
      </c>
      <c r="K36" s="13">
        <f>K18/(1+Diskonttaus!$B$8)^(Investointikustannus!K$8-Diskonttaus!$B$2)</f>
        <v>0</v>
      </c>
      <c r="L36" s="22">
        <f>L18/(1+Diskonttaus!$B$8)^(Investointikustannus!L$8-Diskonttaus!$B$2)</f>
        <v>0</v>
      </c>
      <c r="N36" s="21">
        <f>N18/(1+Diskonttaus!$B$8)^(Investointikustannus!N$8-Diskonttaus!$B$2)</f>
        <v>0</v>
      </c>
      <c r="O36" s="13">
        <f>O18/(1+Diskonttaus!$B$8)^(Investointikustannus!O$8-Diskonttaus!$B$2)</f>
        <v>0</v>
      </c>
      <c r="P36" s="13">
        <f>P18/(1+Diskonttaus!$B$8)^(Investointikustannus!P$8-Diskonttaus!$B$2)</f>
        <v>0</v>
      </c>
      <c r="Q36" s="13">
        <f>Q18/(1+Diskonttaus!$B$8)^(Investointikustannus!Q$8-Diskonttaus!$B$2)</f>
        <v>0</v>
      </c>
      <c r="R36" s="13">
        <f>R18/(1+Diskonttaus!$B$8)^(Investointikustannus!R$8-Diskonttaus!$B$2)</f>
        <v>0</v>
      </c>
      <c r="S36" s="13">
        <f>S18/(1+Diskonttaus!$B$8)^(Investointikustannus!S$8-Diskonttaus!$B$2)</f>
        <v>0</v>
      </c>
      <c r="T36" s="13">
        <f>T18/(1+Diskonttaus!$B$8)^(Investointikustannus!T$8-Diskonttaus!$B$2)</f>
        <v>0</v>
      </c>
      <c r="U36" s="13">
        <f>U18/(1+Diskonttaus!$B$8)^(Investointikustannus!U$8-Diskonttaus!$B$2)</f>
        <v>0</v>
      </c>
      <c r="V36" s="13">
        <f>V18/(1+Diskonttaus!$B$8)^(Investointikustannus!V$8-Diskonttaus!$B$2)</f>
        <v>0</v>
      </c>
      <c r="W36" s="22">
        <f>W18/(1+Diskonttaus!$B$8)^(Investointikustannus!W$8-Diskonttaus!$B$2)</f>
        <v>0</v>
      </c>
    </row>
    <row r="37" spans="2:23" x14ac:dyDescent="0.3">
      <c r="B37" t="s">
        <v>173</v>
      </c>
      <c r="C37" s="21">
        <f>C19/(1+Diskonttaus!$B$8)^(Investointikustannus!C$8-Diskonttaus!$B$2)</f>
        <v>0</v>
      </c>
      <c r="D37" s="13">
        <f>D19/(1+Diskonttaus!$B$8)^(Investointikustannus!D$8-Diskonttaus!$B$2)</f>
        <v>0</v>
      </c>
      <c r="E37" s="13">
        <f>E19/(1+Diskonttaus!$B$8)^(Investointikustannus!E$8-Diskonttaus!$B$2)</f>
        <v>0</v>
      </c>
      <c r="F37" s="13">
        <f>F19/(1+Diskonttaus!$B$8)^(Investointikustannus!F$8-Diskonttaus!$B$2)</f>
        <v>0</v>
      </c>
      <c r="G37" s="13">
        <f>G19/(1+Diskonttaus!$B$8)^(Investointikustannus!G$8-Diskonttaus!$B$2)</f>
        <v>0</v>
      </c>
      <c r="H37" s="13">
        <f>H19/(1+Diskonttaus!$B$8)^(Investointikustannus!H$8-Diskonttaus!$B$2)</f>
        <v>0</v>
      </c>
      <c r="I37" s="13">
        <f>I19/(1+Diskonttaus!$B$8)^(Investointikustannus!I$8-Diskonttaus!$B$2)</f>
        <v>0</v>
      </c>
      <c r="J37" s="13">
        <f>J19/(1+Diskonttaus!$B$8)^(Investointikustannus!J$8-Diskonttaus!$B$2)</f>
        <v>0</v>
      </c>
      <c r="K37" s="13">
        <f>K19/(1+Diskonttaus!$B$8)^(Investointikustannus!K$8-Diskonttaus!$B$2)</f>
        <v>0</v>
      </c>
      <c r="L37" s="22">
        <f>L19/(1+Diskonttaus!$B$8)^(Investointikustannus!L$8-Diskonttaus!$B$2)</f>
        <v>0</v>
      </c>
      <c r="N37" s="21">
        <f>N19/(1+Diskonttaus!$B$8)^(Investointikustannus!N$8-Diskonttaus!$B$2)</f>
        <v>0</v>
      </c>
      <c r="O37" s="13">
        <f>O19/(1+Diskonttaus!$B$8)^(Investointikustannus!O$8-Diskonttaus!$B$2)</f>
        <v>0</v>
      </c>
      <c r="P37" s="13">
        <f>P19/(1+Diskonttaus!$B$8)^(Investointikustannus!P$8-Diskonttaus!$B$2)</f>
        <v>0</v>
      </c>
      <c r="Q37" s="13">
        <f>Q19/(1+Diskonttaus!$B$8)^(Investointikustannus!Q$8-Diskonttaus!$B$2)</f>
        <v>0</v>
      </c>
      <c r="R37" s="13">
        <f>R19/(1+Diskonttaus!$B$8)^(Investointikustannus!R$8-Diskonttaus!$B$2)</f>
        <v>0</v>
      </c>
      <c r="S37" s="13">
        <f>S19/(1+Diskonttaus!$B$8)^(Investointikustannus!S$8-Diskonttaus!$B$2)</f>
        <v>0</v>
      </c>
      <c r="T37" s="13">
        <f>T19/(1+Diskonttaus!$B$8)^(Investointikustannus!T$8-Diskonttaus!$B$2)</f>
        <v>0</v>
      </c>
      <c r="U37" s="13">
        <f>U19/(1+Diskonttaus!$B$8)^(Investointikustannus!U$8-Diskonttaus!$B$2)</f>
        <v>0</v>
      </c>
      <c r="V37" s="13">
        <f>V19/(1+Diskonttaus!$B$8)^(Investointikustannus!V$8-Diskonttaus!$B$2)</f>
        <v>0</v>
      </c>
      <c r="W37" s="22">
        <f>W19/(1+Diskonttaus!$B$8)^(Investointikustannus!W$8-Diskonttaus!$B$2)</f>
        <v>0</v>
      </c>
    </row>
    <row r="38" spans="2:23" x14ac:dyDescent="0.3">
      <c r="B38" t="s">
        <v>174</v>
      </c>
      <c r="C38" s="21">
        <f>C20/(1+Diskonttaus!$B$8)^(Investointikustannus!C$8-Diskonttaus!$B$2)</f>
        <v>0</v>
      </c>
      <c r="D38" s="13">
        <f>D20/(1+Diskonttaus!$B$8)^(Investointikustannus!D$8-Diskonttaus!$B$2)</f>
        <v>0</v>
      </c>
      <c r="E38" s="13">
        <f>E20/(1+Diskonttaus!$B$8)^(Investointikustannus!E$8-Diskonttaus!$B$2)</f>
        <v>0</v>
      </c>
      <c r="F38" s="13">
        <f>F20/(1+Diskonttaus!$B$8)^(Investointikustannus!F$8-Diskonttaus!$B$2)</f>
        <v>0</v>
      </c>
      <c r="G38" s="13">
        <f>G20/(1+Diskonttaus!$B$8)^(Investointikustannus!G$8-Diskonttaus!$B$2)</f>
        <v>0</v>
      </c>
      <c r="H38" s="13">
        <f>H20/(1+Diskonttaus!$B$8)^(Investointikustannus!H$8-Diskonttaus!$B$2)</f>
        <v>0</v>
      </c>
      <c r="I38" s="13">
        <f>I20/(1+Diskonttaus!$B$8)^(Investointikustannus!I$8-Diskonttaus!$B$2)</f>
        <v>0</v>
      </c>
      <c r="J38" s="13">
        <f>J20/(1+Diskonttaus!$B$8)^(Investointikustannus!J$8-Diskonttaus!$B$2)</f>
        <v>0</v>
      </c>
      <c r="K38" s="13">
        <f>K20/(1+Diskonttaus!$B$8)^(Investointikustannus!K$8-Diskonttaus!$B$2)</f>
        <v>0</v>
      </c>
      <c r="L38" s="22">
        <f>L20/(1+Diskonttaus!$B$8)^(Investointikustannus!L$8-Diskonttaus!$B$2)</f>
        <v>0</v>
      </c>
      <c r="N38" s="21">
        <f>N20/(1+Diskonttaus!$B$8)^(Investointikustannus!N$8-Diskonttaus!$B$2)</f>
        <v>0</v>
      </c>
      <c r="O38" s="13">
        <f>O20/(1+Diskonttaus!$B$8)^(Investointikustannus!O$8-Diskonttaus!$B$2)</f>
        <v>0</v>
      </c>
      <c r="P38" s="13">
        <f>P20/(1+Diskonttaus!$B$8)^(Investointikustannus!P$8-Diskonttaus!$B$2)</f>
        <v>0</v>
      </c>
      <c r="Q38" s="13">
        <f>Q20/(1+Diskonttaus!$B$8)^(Investointikustannus!Q$8-Diskonttaus!$B$2)</f>
        <v>0</v>
      </c>
      <c r="R38" s="13">
        <f>R20/(1+Diskonttaus!$B$8)^(Investointikustannus!R$8-Diskonttaus!$B$2)</f>
        <v>0</v>
      </c>
      <c r="S38" s="13">
        <f>S20/(1+Diskonttaus!$B$8)^(Investointikustannus!S$8-Diskonttaus!$B$2)</f>
        <v>0</v>
      </c>
      <c r="T38" s="13">
        <f>T20/(1+Diskonttaus!$B$8)^(Investointikustannus!T$8-Diskonttaus!$B$2)</f>
        <v>0</v>
      </c>
      <c r="U38" s="13">
        <f>U20/(1+Diskonttaus!$B$8)^(Investointikustannus!U$8-Diskonttaus!$B$2)</f>
        <v>0</v>
      </c>
      <c r="V38" s="13">
        <f>V20/(1+Diskonttaus!$B$8)^(Investointikustannus!V$8-Diskonttaus!$B$2)</f>
        <v>0</v>
      </c>
      <c r="W38" s="22">
        <f>W20/(1+Diskonttaus!$B$8)^(Investointikustannus!W$8-Diskonttaus!$B$2)</f>
        <v>0</v>
      </c>
    </row>
    <row r="39" spans="2:23" x14ac:dyDescent="0.3">
      <c r="B39" t="s">
        <v>175</v>
      </c>
      <c r="C39" s="21">
        <f>C21/(1+Diskonttaus!$B$8)^(Investointikustannus!C$8-Diskonttaus!$B$2)</f>
        <v>0</v>
      </c>
      <c r="D39" s="13">
        <f>D21/(1+Diskonttaus!$B$8)^(Investointikustannus!D$8-Diskonttaus!$B$2)</f>
        <v>0</v>
      </c>
      <c r="E39" s="13">
        <f>E21/(1+Diskonttaus!$B$8)^(Investointikustannus!E$8-Diskonttaus!$B$2)</f>
        <v>0</v>
      </c>
      <c r="F39" s="13">
        <f>F21/(1+Diskonttaus!$B$8)^(Investointikustannus!F$8-Diskonttaus!$B$2)</f>
        <v>0</v>
      </c>
      <c r="G39" s="13">
        <f>G21/(1+Diskonttaus!$B$8)^(Investointikustannus!G$8-Diskonttaus!$B$2)</f>
        <v>0</v>
      </c>
      <c r="H39" s="13">
        <f>H21/(1+Diskonttaus!$B$8)^(Investointikustannus!H$8-Diskonttaus!$B$2)</f>
        <v>0</v>
      </c>
      <c r="I39" s="13">
        <f>I21/(1+Diskonttaus!$B$8)^(Investointikustannus!I$8-Diskonttaus!$B$2)</f>
        <v>0</v>
      </c>
      <c r="J39" s="13">
        <f>J21/(1+Diskonttaus!$B$8)^(Investointikustannus!J$8-Diskonttaus!$B$2)</f>
        <v>0</v>
      </c>
      <c r="K39" s="13">
        <f>K21/(1+Diskonttaus!$B$8)^(Investointikustannus!K$8-Diskonttaus!$B$2)</f>
        <v>0</v>
      </c>
      <c r="L39" s="22">
        <f>L21/(1+Diskonttaus!$B$8)^(Investointikustannus!L$8-Diskonttaus!$B$2)</f>
        <v>0</v>
      </c>
      <c r="N39" s="21">
        <f>N21/(1+Diskonttaus!$B$8)^(Investointikustannus!N$8-Diskonttaus!$B$2)</f>
        <v>0</v>
      </c>
      <c r="O39" s="13">
        <f>O21/(1+Diskonttaus!$B$8)^(Investointikustannus!O$8-Diskonttaus!$B$2)</f>
        <v>0</v>
      </c>
      <c r="P39" s="13">
        <f>P21/(1+Diskonttaus!$B$8)^(Investointikustannus!P$8-Diskonttaus!$B$2)</f>
        <v>0</v>
      </c>
      <c r="Q39" s="13">
        <f>Q21/(1+Diskonttaus!$B$8)^(Investointikustannus!Q$8-Diskonttaus!$B$2)</f>
        <v>0</v>
      </c>
      <c r="R39" s="13">
        <f>R21/(1+Diskonttaus!$B$8)^(Investointikustannus!R$8-Diskonttaus!$B$2)</f>
        <v>0</v>
      </c>
      <c r="S39" s="13">
        <f>S21/(1+Diskonttaus!$B$8)^(Investointikustannus!S$8-Diskonttaus!$B$2)</f>
        <v>0</v>
      </c>
      <c r="T39" s="13">
        <f>T21/(1+Diskonttaus!$B$8)^(Investointikustannus!T$8-Diskonttaus!$B$2)</f>
        <v>0</v>
      </c>
      <c r="U39" s="13">
        <f>U21/(1+Diskonttaus!$B$8)^(Investointikustannus!U$8-Diskonttaus!$B$2)</f>
        <v>0</v>
      </c>
      <c r="V39" s="13">
        <f>V21/(1+Diskonttaus!$B$8)^(Investointikustannus!V$8-Diskonttaus!$B$2)</f>
        <v>0</v>
      </c>
      <c r="W39" s="22">
        <f>W21/(1+Diskonttaus!$B$8)^(Investointikustannus!W$8-Diskonttaus!$B$2)</f>
        <v>0</v>
      </c>
    </row>
    <row r="40" spans="2:23" x14ac:dyDescent="0.3">
      <c r="B40" t="s">
        <v>176</v>
      </c>
      <c r="C40" s="23">
        <f>C22/(1+Diskonttaus!$B$8)^(Investointikustannus!C$8-Diskonttaus!$B$2)</f>
        <v>0</v>
      </c>
      <c r="D40" s="24">
        <f>D22/(1+Diskonttaus!$B$8)^(Investointikustannus!D$8-Diskonttaus!$B$2)</f>
        <v>0</v>
      </c>
      <c r="E40" s="24">
        <f>E22/(1+Diskonttaus!$B$8)^(Investointikustannus!E$8-Diskonttaus!$B$2)</f>
        <v>0</v>
      </c>
      <c r="F40" s="24">
        <f>F22/(1+Diskonttaus!$B$8)^(Investointikustannus!F$8-Diskonttaus!$B$2)</f>
        <v>0</v>
      </c>
      <c r="G40" s="24">
        <f>G22/(1+Diskonttaus!$B$8)^(Investointikustannus!G$8-Diskonttaus!$B$2)</f>
        <v>0</v>
      </c>
      <c r="H40" s="24">
        <f>H22/(1+Diskonttaus!$B$8)^(Investointikustannus!H$8-Diskonttaus!$B$2)</f>
        <v>0</v>
      </c>
      <c r="I40" s="24">
        <f>I22/(1+Diskonttaus!$B$8)^(Investointikustannus!I$8-Diskonttaus!$B$2)</f>
        <v>0</v>
      </c>
      <c r="J40" s="24">
        <f>J22/(1+Diskonttaus!$B$8)^(Investointikustannus!J$8-Diskonttaus!$B$2)</f>
        <v>0</v>
      </c>
      <c r="K40" s="24">
        <f>K22/(1+Diskonttaus!$B$8)^(Investointikustannus!K$8-Diskonttaus!$B$2)</f>
        <v>0</v>
      </c>
      <c r="L40" s="25">
        <f>L22/(1+Diskonttaus!$B$8)^(Investointikustannus!L$8-Diskonttaus!$B$2)</f>
        <v>0</v>
      </c>
      <c r="N40" s="23">
        <f>N22/(1+Diskonttaus!$B$8)^(Investointikustannus!N$8-Diskonttaus!$B$2)</f>
        <v>0</v>
      </c>
      <c r="O40" s="24">
        <f>O22/(1+Diskonttaus!$B$8)^(Investointikustannus!O$8-Diskonttaus!$B$2)</f>
        <v>0</v>
      </c>
      <c r="P40" s="24">
        <f>P22/(1+Diskonttaus!$B$8)^(Investointikustannus!P$8-Diskonttaus!$B$2)</f>
        <v>0</v>
      </c>
      <c r="Q40" s="24">
        <f>Q22/(1+Diskonttaus!$B$8)^(Investointikustannus!Q$8-Diskonttaus!$B$2)</f>
        <v>0</v>
      </c>
      <c r="R40" s="24">
        <f>R22/(1+Diskonttaus!$B$8)^(Investointikustannus!R$8-Diskonttaus!$B$2)</f>
        <v>0</v>
      </c>
      <c r="S40" s="24">
        <f>S22/(1+Diskonttaus!$B$8)^(Investointikustannus!S$8-Diskonttaus!$B$2)</f>
        <v>0</v>
      </c>
      <c r="T40" s="24">
        <f>T22/(1+Diskonttaus!$B$8)^(Investointikustannus!T$8-Diskonttaus!$B$2)</f>
        <v>0</v>
      </c>
      <c r="U40" s="24">
        <f>U22/(1+Diskonttaus!$B$8)^(Investointikustannus!U$8-Diskonttaus!$B$2)</f>
        <v>0</v>
      </c>
      <c r="V40" s="24">
        <f>V22/(1+Diskonttaus!$B$8)^(Investointikustannus!V$8-Diskonttaus!$B$2)</f>
        <v>0</v>
      </c>
      <c r="W40" s="25">
        <f>W22/(1+Diskonttaus!$B$8)^(Investointikustannus!W$8-Diskonttaus!$B$2)</f>
        <v>0</v>
      </c>
    </row>
    <row r="41" spans="2:23" x14ac:dyDescent="0.3">
      <c r="B41" t="s">
        <v>11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A1:AH67"/>
  <sheetViews>
    <sheetView zoomScaleNormal="100" workbookViewId="0">
      <selection activeCell="F18" sqref="F18"/>
    </sheetView>
  </sheetViews>
  <sheetFormatPr defaultRowHeight="14.4" x14ac:dyDescent="0.3"/>
  <cols>
    <col min="1" max="1" width="24.88671875" bestFit="1" customWidth="1"/>
    <col min="2" max="2" width="10.109375" customWidth="1"/>
    <col min="5" max="5" width="10.5546875" bestFit="1" customWidth="1"/>
    <col min="6" max="6" width="12.6640625" bestFit="1" customWidth="1"/>
    <col min="7" max="7" width="12.6640625" customWidth="1"/>
    <col min="8" max="8" width="9.109375" customWidth="1"/>
    <col min="9" max="9" width="10.5546875" bestFit="1" customWidth="1"/>
    <col min="10" max="10" width="12.6640625" customWidth="1"/>
    <col min="13" max="13" width="11" bestFit="1" customWidth="1"/>
    <col min="15" max="15" width="9.554687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3">
      <c r="E1" t="s">
        <v>23</v>
      </c>
      <c r="F1" s="12">
        <f>B3</f>
        <v>2030</v>
      </c>
      <c r="G1" s="12"/>
      <c r="I1" t="s">
        <v>23</v>
      </c>
      <c r="J1" s="12">
        <f>B5</f>
        <v>2040</v>
      </c>
      <c r="M1" t="s">
        <v>24</v>
      </c>
      <c r="R1" t="s">
        <v>25</v>
      </c>
      <c r="X1" t="s">
        <v>26</v>
      </c>
      <c r="AB1" t="s">
        <v>27</v>
      </c>
      <c r="AE1" t="s">
        <v>28</v>
      </c>
      <c r="AH1" t="s">
        <v>29</v>
      </c>
    </row>
    <row r="2" spans="1:34" x14ac:dyDescent="0.3">
      <c r="A2" t="s">
        <v>30</v>
      </c>
      <c r="B2" s="229">
        <v>2030</v>
      </c>
      <c r="D2" t="s">
        <v>31</v>
      </c>
      <c r="E2" t="s">
        <v>32</v>
      </c>
      <c r="F2" t="s">
        <v>33</v>
      </c>
      <c r="H2" t="s">
        <v>31</v>
      </c>
      <c r="I2" t="s">
        <v>32</v>
      </c>
      <c r="J2" t="s">
        <v>33</v>
      </c>
      <c r="L2" t="s">
        <v>31</v>
      </c>
      <c r="M2" t="s">
        <v>34</v>
      </c>
      <c r="N2" t="s">
        <v>35</v>
      </c>
      <c r="O2" t="s">
        <v>33</v>
      </c>
      <c r="Q2" t="s">
        <v>31</v>
      </c>
      <c r="R2" t="s">
        <v>34</v>
      </c>
      <c r="S2" t="s">
        <v>35</v>
      </c>
      <c r="T2" t="s">
        <v>33</v>
      </c>
      <c r="V2" t="s">
        <v>31</v>
      </c>
      <c r="W2" t="s">
        <v>34</v>
      </c>
      <c r="X2" t="s">
        <v>33</v>
      </c>
      <c r="Z2" t="s">
        <v>31</v>
      </c>
      <c r="AA2" t="s">
        <v>34</v>
      </c>
      <c r="AB2" t="s">
        <v>33</v>
      </c>
      <c r="AD2" t="s">
        <v>31</v>
      </c>
      <c r="AE2" t="s">
        <v>33</v>
      </c>
      <c r="AG2" t="s">
        <v>31</v>
      </c>
      <c r="AH2" t="s">
        <v>33</v>
      </c>
    </row>
    <row r="3" spans="1:34" x14ac:dyDescent="0.3">
      <c r="A3" t="s">
        <v>36</v>
      </c>
      <c r="B3" s="230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1.1183695815086419</v>
      </c>
      <c r="T3" s="1">
        <f t="shared" ref="T3:T34" si="7">S3/(1+$B$8)^(Q3-$B$2)</f>
        <v>0.79283323701220076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3">
      <c r="A4" t="s">
        <v>37</v>
      </c>
      <c r="B4" s="230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1.01125</v>
      </c>
      <c r="O4" s="1">
        <f t="shared" si="4"/>
        <v>0.97705314009661837</v>
      </c>
      <c r="Q4">
        <f t="shared" ref="Q4:Q35" si="17">Q3+1</f>
        <v>2041</v>
      </c>
      <c r="R4" s="1">
        <f t="shared" si="5"/>
        <v>1</v>
      </c>
      <c r="S4" s="1">
        <f t="shared" si="6"/>
        <v>1.130951239300614</v>
      </c>
      <c r="T4" s="1">
        <f t="shared" si="7"/>
        <v>0.77464020379573717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3">
      <c r="A5" t="s">
        <v>38</v>
      </c>
      <c r="B5" s="230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1.0226265624999999</v>
      </c>
      <c r="O5" s="1">
        <f t="shared" si="4"/>
        <v>0.95463283857266223</v>
      </c>
      <c r="Q5">
        <f t="shared" si="17"/>
        <v>2042</v>
      </c>
      <c r="R5" s="1">
        <f t="shared" si="5"/>
        <v>1</v>
      </c>
      <c r="S5" s="1">
        <f t="shared" si="6"/>
        <v>1.1436744407427459</v>
      </c>
      <c r="T5" s="1">
        <f t="shared" si="7"/>
        <v>0.75686464356370942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3">
      <c r="A6" t="s">
        <v>39</v>
      </c>
      <c r="B6" s="230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Investointikustannus!S23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1.0341311113281249</v>
      </c>
      <c r="O6" s="1">
        <f t="shared" si="4"/>
        <v>0.93272701256676782</v>
      </c>
      <c r="Q6">
        <f t="shared" si="17"/>
        <v>2043</v>
      </c>
      <c r="R6" s="1">
        <f t="shared" si="5"/>
        <v>1</v>
      </c>
      <c r="S6" s="1">
        <f t="shared" si="6"/>
        <v>1.1565407782011017</v>
      </c>
      <c r="T6" s="1">
        <f t="shared" si="7"/>
        <v>0.73949697662203018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3">
      <c r="A7" t="s">
        <v>40</v>
      </c>
      <c r="B7" s="230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1.0457650863305663</v>
      </c>
      <c r="O7" s="1">
        <f t="shared" si="4"/>
        <v>0.91132385648129854</v>
      </c>
      <c r="Q7">
        <f t="shared" si="17"/>
        <v>2044</v>
      </c>
      <c r="R7" s="1">
        <f t="shared" si="5"/>
        <v>1</v>
      </c>
      <c r="S7" s="1">
        <f t="shared" si="6"/>
        <v>1.1695518619558642</v>
      </c>
      <c r="T7" s="1">
        <f t="shared" si="7"/>
        <v>0.7225278431005101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3">
      <c r="A8" t="s">
        <v>41</v>
      </c>
      <c r="B8" s="231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1.0575299435517851</v>
      </c>
      <c r="O8" s="1">
        <f t="shared" si="4"/>
        <v>0.8904118356200128</v>
      </c>
      <c r="Q8">
        <f t="shared" si="17"/>
        <v>2045</v>
      </c>
      <c r="R8" s="1">
        <f t="shared" si="5"/>
        <v>1</v>
      </c>
      <c r="S8" s="1">
        <f t="shared" si="6"/>
        <v>1.1827093204028674</v>
      </c>
      <c r="T8" s="1">
        <f t="shared" si="7"/>
        <v>0.70594809790859014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3">
      <c r="A9" t="s">
        <v>42</v>
      </c>
      <c r="B9" s="232">
        <v>1.125E-2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1.0694271554167427</v>
      </c>
      <c r="O9" s="1">
        <f t="shared" si="4"/>
        <v>0.86997967997172743</v>
      </c>
      <c r="Q9">
        <f t="shared" si="17"/>
        <v>2046</v>
      </c>
      <c r="R9" s="1">
        <f t="shared" si="5"/>
        <v>1</v>
      </c>
      <c r="S9" s="1">
        <f t="shared" si="6"/>
        <v>1.1960148002573998</v>
      </c>
      <c r="T9" s="1">
        <f t="shared" si="7"/>
        <v>0.68974880580682318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3"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Investointikustannus!O23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1.0814582109151809</v>
      </c>
      <c r="O10" s="1">
        <f t="shared" si="4"/>
        <v>0.85001637813662734</v>
      </c>
      <c r="Q10">
        <f t="shared" si="17"/>
        <v>2047</v>
      </c>
      <c r="R10" s="1">
        <f t="shared" si="5"/>
        <v>1</v>
      </c>
      <c r="S10" s="1">
        <f t="shared" si="6"/>
        <v>1.2094699667602955</v>
      </c>
      <c r="T10" s="1">
        <f t="shared" si="7"/>
        <v>0.6739212365914492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3"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1.0936246157879768</v>
      </c>
      <c r="O11" s="1">
        <f t="shared" si="4"/>
        <v>0.83051117139194652</v>
      </c>
      <c r="Q11">
        <f t="shared" si="17"/>
        <v>2048</v>
      </c>
      <c r="R11" s="1">
        <f t="shared" si="5"/>
        <v>1</v>
      </c>
      <c r="S11" s="1">
        <f t="shared" si="6"/>
        <v>1.2230765038863489</v>
      </c>
      <c r="T11" s="1">
        <f t="shared" si="7"/>
        <v>0.6584568603894716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3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1.1059278927155916</v>
      </c>
      <c r="O12" s="1">
        <f t="shared" si="4"/>
        <v>0.81145354789382229</v>
      </c>
      <c r="Q12">
        <f t="shared" si="17"/>
        <v>2049</v>
      </c>
      <c r="R12" s="1">
        <f t="shared" si="5"/>
        <v>1</v>
      </c>
      <c r="S12" s="1">
        <f t="shared" si="6"/>
        <v>1.2368361145550701</v>
      </c>
      <c r="T12" s="1">
        <f t="shared" si="7"/>
        <v>0.64334734306169383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3">
      <c r="D13" t="s">
        <v>11</v>
      </c>
      <c r="E13">
        <f>SUM(E3:E12)</f>
        <v>0</v>
      </c>
      <c r="F13" s="13">
        <f>SUM(F3:F12)</f>
        <v>0</v>
      </c>
      <c r="G13" s="13"/>
      <c r="H13" t="s">
        <v>11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1.1183695815086419</v>
      </c>
      <c r="O13" s="1">
        <f t="shared" si="4"/>
        <v>0.79283323701220076</v>
      </c>
      <c r="Q13">
        <f t="shared" si="17"/>
        <v>2050</v>
      </c>
      <c r="R13" s="1">
        <f t="shared" si="5"/>
        <v>1</v>
      </c>
      <c r="S13" s="1">
        <f t="shared" si="6"/>
        <v>1.2507505208438148</v>
      </c>
      <c r="T13" s="1">
        <f t="shared" si="7"/>
        <v>0.62858454171124445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3">
      <c r="L14">
        <f t="shared" si="16"/>
        <v>2041</v>
      </c>
      <c r="M14" s="1">
        <f t="shared" si="2"/>
        <v>1</v>
      </c>
      <c r="N14" s="1">
        <f t="shared" si="3"/>
        <v>1.130951239300614</v>
      </c>
      <c r="O14" s="1">
        <f t="shared" si="4"/>
        <v>0.77464020379573717</v>
      </c>
      <c r="Q14">
        <f t="shared" si="17"/>
        <v>2051</v>
      </c>
      <c r="R14" s="1">
        <f t="shared" si="5"/>
        <v>1</v>
      </c>
      <c r="S14" s="1">
        <f t="shared" si="6"/>
        <v>1.2648214642033075</v>
      </c>
      <c r="T14" s="1">
        <f t="shared" si="7"/>
        <v>0.61416050029516522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3">
      <c r="A15" t="s">
        <v>43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1.1436744407427459</v>
      </c>
      <c r="O15" s="1">
        <f t="shared" si="4"/>
        <v>0.75686464356370942</v>
      </c>
      <c r="Q15">
        <f t="shared" si="17"/>
        <v>2052</v>
      </c>
      <c r="R15" s="1">
        <f t="shared" si="5"/>
        <v>1</v>
      </c>
      <c r="S15" s="1">
        <f t="shared" si="6"/>
        <v>1.2790507056755949</v>
      </c>
      <c r="T15" s="1">
        <f t="shared" si="7"/>
        <v>0.60006744533670131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3">
      <c r="A16" t="s">
        <v>44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1.1565407782011017</v>
      </c>
      <c r="O16" s="1">
        <f t="shared" si="4"/>
        <v>0.73949697662203018</v>
      </c>
      <c r="Q16">
        <f t="shared" si="17"/>
        <v>2053</v>
      </c>
      <c r="R16" s="1">
        <f t="shared" si="5"/>
        <v>1</v>
      </c>
      <c r="S16" s="1">
        <f t="shared" si="6"/>
        <v>1.293440026114445</v>
      </c>
      <c r="T16" s="1">
        <f t="shared" si="7"/>
        <v>0.58629778173597979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3">
      <c r="A17" t="s">
        <v>45</v>
      </c>
      <c r="B17" s="226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1.1695518619558642</v>
      </c>
      <c r="O17" s="1">
        <f t="shared" si="4"/>
        <v>0.7225278431005101</v>
      </c>
      <c r="Q17">
        <f t="shared" si="17"/>
        <v>2054</v>
      </c>
      <c r="R17" s="1">
        <f t="shared" si="5"/>
        <v>1</v>
      </c>
      <c r="S17" s="1">
        <f t="shared" si="6"/>
        <v>1.3079912264082327</v>
      </c>
      <c r="T17" s="1">
        <f t="shared" si="7"/>
        <v>0.57284408867682102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3">
      <c r="L18">
        <f t="shared" si="16"/>
        <v>2045</v>
      </c>
      <c r="M18" s="1">
        <f t="shared" si="2"/>
        <v>1</v>
      </c>
      <c r="N18" s="1">
        <f t="shared" si="3"/>
        <v>1.1827093204028674</v>
      </c>
      <c r="O18" s="1">
        <f t="shared" si="4"/>
        <v>0.70594809790859014</v>
      </c>
      <c r="Q18">
        <f t="shared" si="17"/>
        <v>2055</v>
      </c>
      <c r="R18" s="1">
        <f t="shared" si="5"/>
        <v>1</v>
      </c>
      <c r="S18" s="1">
        <f t="shared" si="6"/>
        <v>1.3227061277053254</v>
      </c>
      <c r="T18" s="1">
        <f t="shared" si="7"/>
        <v>0.55969911562747376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3">
      <c r="A19" t="s">
        <v>46</v>
      </c>
      <c r="B19" s="1">
        <f ca="1">IF(OR(B5&gt;B3+B7,NOT(ISNUMBER(B5)),NOT(ISNUMBER(B16))),SUM(OFFSET(O3,0,0,B7)),IF(B5-B3&lt;=0,"Avausvuosi 2 tulee olla ensimmäisen avausvuoden jälkeen",SUM(OFFSET(O3,0,0,B5-B3))))</f>
        <v>21.860824756476546</v>
      </c>
      <c r="L19">
        <f t="shared" si="16"/>
        <v>2046</v>
      </c>
      <c r="M19" s="1">
        <f t="shared" si="2"/>
        <v>1</v>
      </c>
      <c r="N19" s="1">
        <f t="shared" si="3"/>
        <v>1.1960148002573998</v>
      </c>
      <c r="O19" s="1">
        <f t="shared" si="4"/>
        <v>0.68974880580682318</v>
      </c>
      <c r="Q19">
        <f t="shared" si="17"/>
        <v>2056</v>
      </c>
      <c r="R19" s="1">
        <f t="shared" si="5"/>
        <v>1</v>
      </c>
      <c r="S19" s="1">
        <f t="shared" si="6"/>
        <v>1.3375865716420101</v>
      </c>
      <c r="T19" s="1">
        <f t="shared" si="7"/>
        <v>0.5468557784331235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3">
      <c r="A20" t="s">
        <v>47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1.2094699667602955</v>
      </c>
      <c r="O20" s="1">
        <f t="shared" si="4"/>
        <v>0.6739212365914492</v>
      </c>
      <c r="Q20">
        <f t="shared" si="17"/>
        <v>2057</v>
      </c>
      <c r="R20" s="1">
        <f t="shared" si="5"/>
        <v>1</v>
      </c>
      <c r="S20" s="1">
        <f t="shared" si="6"/>
        <v>1.3526344205729828</v>
      </c>
      <c r="T20" s="1">
        <f t="shared" si="7"/>
        <v>0.53430715549806385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3">
      <c r="L21">
        <f t="shared" si="16"/>
        <v>2048</v>
      </c>
      <c r="M21" s="1">
        <f t="shared" si="2"/>
        <v>1</v>
      </c>
      <c r="N21" s="1">
        <f t="shared" si="3"/>
        <v>1.2230765038863489</v>
      </c>
      <c r="O21" s="1">
        <f t="shared" si="4"/>
        <v>0.6584568603894716</v>
      </c>
      <c r="Q21">
        <f t="shared" si="17"/>
        <v>2058</v>
      </c>
      <c r="R21" s="1">
        <f t="shared" si="5"/>
        <v>1</v>
      </c>
      <c r="S21" s="1">
        <f t="shared" si="6"/>
        <v>1.3678515578044288</v>
      </c>
      <c r="T21" s="1">
        <f t="shared" si="7"/>
        <v>0.52204648405547549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3">
      <c r="A22" t="s">
        <v>48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1.2368361145550701</v>
      </c>
      <c r="O22" s="1">
        <f t="shared" si="4"/>
        <v>0.64334734306169383</v>
      </c>
      <c r="Q22">
        <f t="shared" si="17"/>
        <v>2059</v>
      </c>
      <c r="R22" s="1">
        <f t="shared" si="5"/>
        <v>1</v>
      </c>
      <c r="S22" s="1">
        <f t="shared" si="6"/>
        <v>1.3832398878297283</v>
      </c>
      <c r="T22" s="1">
        <f t="shared" si="7"/>
        <v>0.51006715652280155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3">
      <c r="A23" t="s">
        <v>49</v>
      </c>
      <c r="B23" t="str">
        <f>IF(Tuottajahyodyt!L66=0,"Ennuste 2 puuttuu",(Kayttajahyodyt!M29+Kayttajahyodyt!M44+Tuottajahyodyt!F46-Tuottajahyodyt!L66-Julkistaloudelliset!C14)/(Kayttajahyodyt!M24+Kayttajahyodyt!M39+Tuottajahyodyt!F43-Tuottajahyodyt!L59-Julkistaloudelliset!C9)*100)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1.2507505208438148</v>
      </c>
      <c r="O23" s="1">
        <f t="shared" si="4"/>
        <v>0.62858454171124445</v>
      </c>
      <c r="Q23">
        <f t="shared" si="17"/>
        <v>2060</v>
      </c>
      <c r="R23" s="1">
        <f t="shared" si="5"/>
        <v>1</v>
      </c>
      <c r="S23" s="1">
        <f t="shared" si="6"/>
        <v>1.3988013365678129</v>
      </c>
      <c r="T23" s="1">
        <f t="shared" si="7"/>
        <v>0.49836271694075657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3">
      <c r="A24" t="s">
        <v>50</v>
      </c>
      <c r="B24" s="227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1.2648214642033075</v>
      </c>
      <c r="O24" s="1">
        <f t="shared" si="4"/>
        <v>0.61416050029516522</v>
      </c>
      <c r="Q24">
        <f t="shared" si="17"/>
        <v>2061</v>
      </c>
      <c r="R24" s="1">
        <f t="shared" si="5"/>
        <v>1</v>
      </c>
      <c r="S24" s="1">
        <f t="shared" si="6"/>
        <v>1.4145378516042004</v>
      </c>
      <c r="T24" s="1">
        <f t="shared" si="7"/>
        <v>0.48692685749404829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3">
      <c r="L25">
        <f t="shared" si="16"/>
        <v>2052</v>
      </c>
      <c r="M25" s="1">
        <f t="shared" si="2"/>
        <v>1</v>
      </c>
      <c r="N25" s="1">
        <f t="shared" si="3"/>
        <v>1.2790507056755949</v>
      </c>
      <c r="O25" s="1">
        <f t="shared" si="4"/>
        <v>0.60006744533670131</v>
      </c>
      <c r="Q25">
        <f t="shared" si="17"/>
        <v>2062</v>
      </c>
      <c r="R25" s="1">
        <f t="shared" si="5"/>
        <v>1</v>
      </c>
      <c r="S25" s="1">
        <f t="shared" si="6"/>
        <v>1.4304514024347479</v>
      </c>
      <c r="T25" s="1">
        <f t="shared" si="7"/>
        <v>0.47575341511193869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3">
      <c r="A26" t="s">
        <v>51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1.293440026114445</v>
      </c>
      <c r="O26" s="1">
        <f t="shared" si="4"/>
        <v>0.58629778173597979</v>
      </c>
      <c r="Q26">
        <f t="shared" si="17"/>
        <v>2063</v>
      </c>
      <c r="R26" s="1">
        <f t="shared" si="5"/>
        <v>1</v>
      </c>
      <c r="S26" s="1">
        <f t="shared" si="6"/>
        <v>1.4465439807121387</v>
      </c>
      <c r="T26" s="1">
        <f t="shared" si="7"/>
        <v>0.46483636814680968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3">
      <c r="A27" t="s">
        <v>52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1.3079912264082327</v>
      </c>
      <c r="O27" s="1">
        <f t="shared" si="4"/>
        <v>0.57284408867682102</v>
      </c>
      <c r="Q27">
        <f t="shared" si="17"/>
        <v>2064</v>
      </c>
      <c r="R27" s="1">
        <f t="shared" si="5"/>
        <v>1</v>
      </c>
      <c r="S27" s="1">
        <f t="shared" si="6"/>
        <v>1.4628176004951503</v>
      </c>
      <c r="T27" s="1">
        <f t="shared" si="7"/>
        <v>0.45416983312894815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3">
      <c r="L28">
        <f t="shared" si="16"/>
        <v>2055</v>
      </c>
      <c r="M28" s="1">
        <f t="shared" si="2"/>
        <v>1</v>
      </c>
      <c r="N28" s="1">
        <f t="shared" si="3"/>
        <v>1.3227061277053254</v>
      </c>
      <c r="O28" s="1">
        <f t="shared" si="4"/>
        <v>0.55969911562747376</v>
      </c>
      <c r="Q28">
        <f t="shared" si="17"/>
        <v>2065</v>
      </c>
      <c r="R28" s="1">
        <f t="shared" si="5"/>
        <v>1</v>
      </c>
      <c r="S28" s="1">
        <f t="shared" si="6"/>
        <v>1.4792742985007206</v>
      </c>
      <c r="T28" s="1">
        <f t="shared" si="7"/>
        <v>0.44374806159579594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3">
      <c r="A29" t="s">
        <v>53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1.3375865716420101</v>
      </c>
      <c r="O29" s="1">
        <f t="shared" si="4"/>
        <v>0.5468557784331235</v>
      </c>
      <c r="Q29">
        <f t="shared" si="17"/>
        <v>2066</v>
      </c>
      <c r="R29" s="1">
        <f t="shared" si="5"/>
        <v>1</v>
      </c>
      <c r="S29" s="1">
        <f t="shared" si="6"/>
        <v>1.4959161343588538</v>
      </c>
      <c r="T29" s="1">
        <f t="shared" si="7"/>
        <v>0.43356543699396011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3">
      <c r="A30" t="s">
        <v>54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1.3526344205729828</v>
      </c>
      <c r="O30" s="1">
        <f t="shared" si="4"/>
        <v>0.53430715549806385</v>
      </c>
      <c r="Q30">
        <f t="shared" si="17"/>
        <v>2067</v>
      </c>
      <c r="R30" s="1">
        <f t="shared" si="5"/>
        <v>1</v>
      </c>
      <c r="S30" s="1">
        <f t="shared" si="6"/>
        <v>1.5127451908703908</v>
      </c>
      <c r="T30" s="1">
        <f t="shared" si="7"/>
        <v>0.42361647165231126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3">
      <c r="L31">
        <f t="shared" si="16"/>
        <v>2058</v>
      </c>
      <c r="M31" s="1">
        <f t="shared" si="2"/>
        <v>1</v>
      </c>
      <c r="N31" s="1">
        <f t="shared" si="3"/>
        <v>1.3678515578044288</v>
      </c>
      <c r="O31" s="1">
        <f t="shared" si="4"/>
        <v>0.52204648405547549</v>
      </c>
      <c r="Q31">
        <f t="shared" si="17"/>
        <v>2068</v>
      </c>
      <c r="R31" s="1">
        <f t="shared" si="5"/>
        <v>1</v>
      </c>
      <c r="S31" s="1">
        <f t="shared" si="6"/>
        <v>1.5297635742676827</v>
      </c>
      <c r="T31" s="1">
        <f t="shared" si="7"/>
        <v>0.41389580382454083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3">
      <c r="L32">
        <f t="shared" si="16"/>
        <v>2059</v>
      </c>
      <c r="M32" s="1">
        <f t="shared" si="2"/>
        <v>1</v>
      </c>
      <c r="N32" s="1">
        <f t="shared" si="3"/>
        <v>1.3832398878297283</v>
      </c>
      <c r="O32" s="1">
        <f t="shared" si="4"/>
        <v>0.51006715652280155</v>
      </c>
      <c r="Q32">
        <f t="shared" si="17"/>
        <v>2069</v>
      </c>
      <c r="R32" s="1">
        <f t="shared" si="5"/>
        <v>1</v>
      </c>
      <c r="S32" s="1">
        <f t="shared" si="6"/>
        <v>1.5469734144781939</v>
      </c>
      <c r="T32" s="1">
        <f t="shared" si="7"/>
        <v>0.40439819479958156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3">
      <c r="L33">
        <f t="shared" si="16"/>
        <v>2060</v>
      </c>
      <c r="M33" s="1">
        <f t="shared" si="2"/>
        <v>1</v>
      </c>
      <c r="N33" s="1">
        <f t="shared" si="3"/>
        <v>1.3988013365678129</v>
      </c>
      <c r="O33" s="1">
        <f t="shared" si="4"/>
        <v>0.49836271694075657</v>
      </c>
      <c r="Q33">
        <f t="shared" si="17"/>
        <v>2070</v>
      </c>
      <c r="R33" s="1">
        <f t="shared" si="5"/>
        <v>1</v>
      </c>
      <c r="S33" s="1">
        <f t="shared" si="6"/>
        <v>1.5643768653910737</v>
      </c>
      <c r="T33" s="1">
        <f t="shared" si="7"/>
        <v>0.3951185260783352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3">
      <c r="L34">
        <f t="shared" si="16"/>
        <v>2061</v>
      </c>
      <c r="M34" s="1">
        <f t="shared" si="2"/>
        <v>1</v>
      </c>
      <c r="N34" s="1">
        <f t="shared" si="3"/>
        <v>1.4145378516042004</v>
      </c>
      <c r="O34" s="1">
        <f t="shared" si="4"/>
        <v>0.48692685749404829</v>
      </c>
      <c r="Q34">
        <f t="shared" si="17"/>
        <v>2071</v>
      </c>
      <c r="R34" s="1">
        <f t="shared" si="5"/>
        <v>1</v>
      </c>
      <c r="S34" s="1">
        <f t="shared" si="6"/>
        <v>1.5819761051267234</v>
      </c>
      <c r="T34" s="1">
        <f t="shared" si="7"/>
        <v>0.38605179661518513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3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1.4304514024347479</v>
      </c>
      <c r="O35" s="1">
        <f t="shared" ref="O35:O62" si="24">N35/(1+$B$8)^(L35-$B$2)</f>
        <v>0.47575341511193869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1.5997733363093989</v>
      </c>
      <c r="T35" s="1">
        <f t="shared" ref="T35:T62" si="27">S35/(1+$B$8)^(Q35-$B$2)</f>
        <v>0.37719312012280765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3">
      <c r="L36">
        <f t="shared" ref="L36:L62" si="34">L35+1</f>
        <v>2063</v>
      </c>
      <c r="M36" s="1">
        <f t="shared" si="22"/>
        <v>1</v>
      </c>
      <c r="N36" s="1">
        <f t="shared" si="23"/>
        <v>1.4465439807121387</v>
      </c>
      <c r="O36" s="1">
        <f t="shared" si="24"/>
        <v>0.46483636814680968</v>
      </c>
      <c r="Q36">
        <f t="shared" ref="Q36:Q62" si="35">Q35+1</f>
        <v>2073</v>
      </c>
      <c r="R36" s="1">
        <f t="shared" si="25"/>
        <v>1</v>
      </c>
      <c r="S36" s="1">
        <f t="shared" si="26"/>
        <v>1.6177707863428794</v>
      </c>
      <c r="T36" s="1">
        <f t="shared" si="27"/>
        <v>0.3685377224388301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3">
      <c r="L37">
        <f t="shared" si="34"/>
        <v>2064</v>
      </c>
      <c r="M37" s="1">
        <f t="shared" si="22"/>
        <v>1</v>
      </c>
      <c r="N37" s="1">
        <f t="shared" si="23"/>
        <v>1.4628176004951503</v>
      </c>
      <c r="O37" s="1">
        <f t="shared" si="24"/>
        <v>0.45416983312894815</v>
      </c>
      <c r="Q37">
        <f t="shared" si="35"/>
        <v>2074</v>
      </c>
      <c r="R37" s="1">
        <f t="shared" si="25"/>
        <v>1</v>
      </c>
      <c r="S37" s="1">
        <f t="shared" si="26"/>
        <v>1.6359707076892369</v>
      </c>
      <c r="T37" s="1">
        <f t="shared" si="27"/>
        <v>0.36008093895291499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3">
      <c r="L38">
        <f t="shared" si="34"/>
        <v>2065</v>
      </c>
      <c r="M38" s="1">
        <f t="shared" si="22"/>
        <v>1</v>
      </c>
      <c r="N38" s="1">
        <f t="shared" si="23"/>
        <v>1.4792742985007206</v>
      </c>
      <c r="O38" s="1">
        <f t="shared" si="24"/>
        <v>0.44374806159579594</v>
      </c>
      <c r="Q38">
        <f t="shared" si="35"/>
        <v>2075</v>
      </c>
      <c r="R38" s="1">
        <f t="shared" si="25"/>
        <v>1</v>
      </c>
      <c r="S38" s="1">
        <f t="shared" si="26"/>
        <v>1.6543753781507406</v>
      </c>
      <c r="T38" s="1">
        <f t="shared" si="27"/>
        <v>0.35181821209288433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3">
      <c r="L39">
        <f t="shared" si="34"/>
        <v>2066</v>
      </c>
      <c r="M39" s="1">
        <f t="shared" si="22"/>
        <v>1</v>
      </c>
      <c r="N39" s="1">
        <f t="shared" si="23"/>
        <v>1.4959161343588538</v>
      </c>
      <c r="O39" s="1">
        <f t="shared" si="24"/>
        <v>0.43356543699396011</v>
      </c>
      <c r="Q39">
        <f t="shared" si="35"/>
        <v>2076</v>
      </c>
      <c r="R39" s="1">
        <f t="shared" si="25"/>
        <v>1</v>
      </c>
      <c r="S39" s="1">
        <f t="shared" si="26"/>
        <v>1.6729871011549367</v>
      </c>
      <c r="T39" s="1">
        <f t="shared" si="27"/>
        <v>0.34374508886853067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3">
      <c r="L40">
        <f t="shared" si="34"/>
        <v>2067</v>
      </c>
      <c r="M40" s="1">
        <f t="shared" si="22"/>
        <v>1</v>
      </c>
      <c r="N40" s="1">
        <f t="shared" si="23"/>
        <v>1.5127451908703908</v>
      </c>
      <c r="O40" s="1">
        <f t="shared" si="24"/>
        <v>0.42361647165231126</v>
      </c>
      <c r="Q40">
        <f t="shared" si="35"/>
        <v>2077</v>
      </c>
      <c r="R40" s="1">
        <f t="shared" si="25"/>
        <v>1</v>
      </c>
      <c r="S40" s="1">
        <f t="shared" si="26"/>
        <v>1.6918082060429291</v>
      </c>
      <c r="T40" s="1">
        <f t="shared" si="27"/>
        <v>0.33585721847178901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3">
      <c r="L41">
        <f t="shared" si="34"/>
        <v>2068</v>
      </c>
      <c r="M41" s="1">
        <f t="shared" si="22"/>
        <v>1</v>
      </c>
      <c r="N41" s="1">
        <f t="shared" si="23"/>
        <v>1.5297635742676827</v>
      </c>
      <c r="O41" s="1">
        <f t="shared" si="24"/>
        <v>0.41389580382454083</v>
      </c>
      <c r="Q41">
        <f t="shared" si="35"/>
        <v>2078</v>
      </c>
      <c r="R41" s="1">
        <f t="shared" si="25"/>
        <v>1</v>
      </c>
      <c r="S41" s="1">
        <f t="shared" si="26"/>
        <v>1.7108410483609124</v>
      </c>
      <c r="T41" s="1">
        <f t="shared" si="27"/>
        <v>0.32815034993197756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3">
      <c r="L42">
        <f t="shared" si="34"/>
        <v>2069</v>
      </c>
      <c r="M42" s="1">
        <f t="shared" si="22"/>
        <v>1</v>
      </c>
      <c r="N42" s="1">
        <f t="shared" si="23"/>
        <v>1.5469734144781939</v>
      </c>
      <c r="O42" s="1">
        <f t="shared" si="24"/>
        <v>0.40439819479958156</v>
      </c>
      <c r="Q42">
        <f t="shared" si="35"/>
        <v>2079</v>
      </c>
      <c r="R42" s="1">
        <f t="shared" si="25"/>
        <v>1</v>
      </c>
      <c r="S42" s="1">
        <f t="shared" si="26"/>
        <v>1.7300880101549727</v>
      </c>
      <c r="T42" s="1">
        <f t="shared" si="27"/>
        <v>0.32062032982484284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3">
      <c r="L43">
        <f t="shared" si="34"/>
        <v>2070</v>
      </c>
      <c r="M43" s="1">
        <f t="shared" si="22"/>
        <v>1</v>
      </c>
      <c r="N43" s="1">
        <f t="shared" si="23"/>
        <v>1.5643768653910737</v>
      </c>
      <c r="O43" s="1">
        <f t="shared" si="24"/>
        <v>0.3951185260783352</v>
      </c>
      <c r="Q43">
        <f t="shared" si="35"/>
        <v>2080</v>
      </c>
      <c r="R43" s="1">
        <f t="shared" si="25"/>
        <v>1</v>
      </c>
      <c r="S43" s="1">
        <f t="shared" si="26"/>
        <v>1.7495515002692161</v>
      </c>
      <c r="T43" s="1">
        <f t="shared" si="27"/>
        <v>0.31326310003417618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3">
      <c r="L44">
        <f t="shared" si="34"/>
        <v>2071</v>
      </c>
      <c r="M44" s="1">
        <f t="shared" si="22"/>
        <v>1</v>
      </c>
      <c r="N44" s="1">
        <f t="shared" si="23"/>
        <v>1.5819761051267234</v>
      </c>
      <c r="O44" s="1">
        <f t="shared" si="24"/>
        <v>0.38605179661518513</v>
      </c>
      <c r="Q44">
        <f t="shared" si="35"/>
        <v>2081</v>
      </c>
      <c r="R44" s="1">
        <f t="shared" si="25"/>
        <v>1</v>
      </c>
      <c r="S44" s="1">
        <f t="shared" si="26"/>
        <v>1.7692339546472446</v>
      </c>
      <c r="T44" s="1">
        <f t="shared" si="27"/>
        <v>0.30607469556479294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3">
      <c r="L45">
        <f t="shared" si="34"/>
        <v>2072</v>
      </c>
      <c r="M45" s="1">
        <f t="shared" si="22"/>
        <v>1</v>
      </c>
      <c r="N45" s="1">
        <f t="shared" si="23"/>
        <v>1.5997733363093989</v>
      </c>
      <c r="O45" s="1">
        <f t="shared" si="24"/>
        <v>0.37719312012280765</v>
      </c>
      <c r="Q45">
        <f t="shared" si="35"/>
        <v>2082</v>
      </c>
      <c r="R45" s="1">
        <f t="shared" si="25"/>
        <v>1</v>
      </c>
      <c r="S45" s="1">
        <f t="shared" si="26"/>
        <v>1.7891378366370263</v>
      </c>
      <c r="T45" s="1">
        <f t="shared" si="27"/>
        <v>0.29905124240569747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3">
      <c r="L46">
        <f t="shared" si="34"/>
        <v>2073</v>
      </c>
      <c r="M46" s="1">
        <f t="shared" si="22"/>
        <v>1</v>
      </c>
      <c r="N46" s="1">
        <f t="shared" si="23"/>
        <v>1.6177707863428794</v>
      </c>
      <c r="O46" s="1">
        <f t="shared" si="24"/>
        <v>0.3685377224388301</v>
      </c>
      <c r="Q46">
        <f t="shared" si="35"/>
        <v>2083</v>
      </c>
      <c r="R46" s="1">
        <f t="shared" si="25"/>
        <v>1</v>
      </c>
      <c r="S46" s="1">
        <f t="shared" si="26"/>
        <v>1.8092656372991927</v>
      </c>
      <c r="T46" s="1">
        <f t="shared" si="27"/>
        <v>0.29218895544228174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3">
      <c r="L47">
        <f t="shared" si="34"/>
        <v>2074</v>
      </c>
      <c r="M47" s="1">
        <f t="shared" si="22"/>
        <v>1</v>
      </c>
      <c r="N47" s="1">
        <f t="shared" si="23"/>
        <v>1.6359707076892369</v>
      </c>
      <c r="O47" s="1">
        <f t="shared" si="24"/>
        <v>0.36008093895291499</v>
      </c>
      <c r="Q47">
        <f t="shared" si="35"/>
        <v>2084</v>
      </c>
      <c r="R47" s="1">
        <f t="shared" si="25"/>
        <v>1</v>
      </c>
      <c r="S47" s="1">
        <f t="shared" si="26"/>
        <v>1.8296198757188087</v>
      </c>
      <c r="T47" s="1">
        <f t="shared" si="27"/>
        <v>0.28548413641643228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3">
      <c r="L48">
        <f t="shared" si="34"/>
        <v>2075</v>
      </c>
      <c r="M48" s="1">
        <f t="shared" si="22"/>
        <v>1</v>
      </c>
      <c r="N48" s="1">
        <f t="shared" si="23"/>
        <v>1.6543753781507406</v>
      </c>
      <c r="O48" s="1">
        <f t="shared" si="24"/>
        <v>0.35181821209288433</v>
      </c>
      <c r="Q48">
        <f t="shared" si="35"/>
        <v>2085</v>
      </c>
      <c r="R48" s="1">
        <f t="shared" si="25"/>
        <v>1</v>
      </c>
      <c r="S48" s="1">
        <f t="shared" si="26"/>
        <v>1.8502030993206446</v>
      </c>
      <c r="T48" s="1">
        <f t="shared" si="27"/>
        <v>0.27893317193344641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3">
      <c r="L49">
        <f t="shared" si="34"/>
        <v>2076</v>
      </c>
      <c r="M49" s="1">
        <f t="shared" si="22"/>
        <v>1</v>
      </c>
      <c r="N49" s="1">
        <f t="shared" si="23"/>
        <v>1.6729871011549367</v>
      </c>
      <c r="O49" s="1">
        <f t="shared" si="24"/>
        <v>0.34374508886853067</v>
      </c>
      <c r="Q49">
        <f t="shared" si="35"/>
        <v>2086</v>
      </c>
      <c r="R49" s="1">
        <f t="shared" si="25"/>
        <v>1</v>
      </c>
      <c r="S49" s="1">
        <f t="shared" si="26"/>
        <v>1.8710178841880023</v>
      </c>
      <c r="T49" s="1">
        <f t="shared" si="27"/>
        <v>0.27253253151468387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3">
      <c r="L50">
        <f t="shared" si="34"/>
        <v>2077</v>
      </c>
      <c r="M50" s="1">
        <f t="shared" si="22"/>
        <v>1</v>
      </c>
      <c r="N50" s="1">
        <f t="shared" si="23"/>
        <v>1.6918082060429291</v>
      </c>
      <c r="O50" s="1">
        <f t="shared" si="24"/>
        <v>0.33585721847178901</v>
      </c>
      <c r="Q50">
        <f t="shared" si="35"/>
        <v>2087</v>
      </c>
      <c r="R50" s="1">
        <f t="shared" si="25"/>
        <v>1</v>
      </c>
      <c r="S50" s="1">
        <f t="shared" si="26"/>
        <v>1.8920668353851173</v>
      </c>
      <c r="T50" s="1">
        <f t="shared" si="27"/>
        <v>0.2662787656949025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3">
      <c r="L51">
        <f t="shared" si="34"/>
        <v>2078</v>
      </c>
      <c r="M51" s="1">
        <f t="shared" si="22"/>
        <v>1</v>
      </c>
      <c r="N51" s="1">
        <f t="shared" si="23"/>
        <v>1.7108410483609124</v>
      </c>
      <c r="O51" s="1">
        <f t="shared" si="24"/>
        <v>0.32815034993197756</v>
      </c>
      <c r="Q51">
        <f t="shared" si="35"/>
        <v>2088</v>
      </c>
      <c r="R51" s="1">
        <f t="shared" si="25"/>
        <v>1</v>
      </c>
      <c r="S51" s="1">
        <f t="shared" si="26"/>
        <v>1.9133525872831998</v>
      </c>
      <c r="T51" s="1">
        <f t="shared" si="27"/>
        <v>0.26016850416325615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3">
      <c r="L52">
        <f t="shared" si="34"/>
        <v>2079</v>
      </c>
      <c r="M52" s="1">
        <f t="shared" si="22"/>
        <v>1</v>
      </c>
      <c r="N52" s="1">
        <f t="shared" si="23"/>
        <v>1.7300880101549727</v>
      </c>
      <c r="O52" s="1">
        <f t="shared" si="24"/>
        <v>0.32062032982484284</v>
      </c>
      <c r="Q52">
        <f t="shared" si="35"/>
        <v>2089</v>
      </c>
      <c r="R52" s="1">
        <f t="shared" si="25"/>
        <v>1</v>
      </c>
      <c r="S52" s="1">
        <f t="shared" si="26"/>
        <v>1.9348778038901358</v>
      </c>
      <c r="T52" s="1">
        <f t="shared" si="27"/>
        <v>0.25419845394694957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3">
      <c r="L53">
        <f t="shared" si="34"/>
        <v>2080</v>
      </c>
      <c r="M53" s="1">
        <f t="shared" si="22"/>
        <v>1</v>
      </c>
      <c r="N53" s="1">
        <f t="shared" si="23"/>
        <v>1.7495515002692161</v>
      </c>
      <c r="O53" s="1">
        <f t="shared" si="24"/>
        <v>0.31326310003417618</v>
      </c>
      <c r="Q53">
        <f t="shared" si="35"/>
        <v>2090</v>
      </c>
      <c r="R53" s="1">
        <f t="shared" si="25"/>
        <v>1</v>
      </c>
      <c r="S53" s="1">
        <f t="shared" si="26"/>
        <v>1.9566451791838997</v>
      </c>
      <c r="T53" s="1">
        <f t="shared" si="27"/>
        <v>0.2483653976365727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3">
      <c r="L54">
        <f t="shared" si="34"/>
        <v>2081</v>
      </c>
      <c r="M54" s="1">
        <f t="shared" si="22"/>
        <v>1</v>
      </c>
      <c r="N54" s="1">
        <f t="shared" si="23"/>
        <v>1.7692339546472446</v>
      </c>
      <c r="O54" s="1">
        <f t="shared" si="24"/>
        <v>0.30607469556479294</v>
      </c>
      <c r="Q54">
        <f t="shared" si="35"/>
        <v>2091</v>
      </c>
      <c r="R54" s="1">
        <f t="shared" si="25"/>
        <v>1</v>
      </c>
      <c r="S54" s="1">
        <f t="shared" si="26"/>
        <v>1.9786574374497181</v>
      </c>
      <c r="T54" s="1">
        <f t="shared" si="27"/>
        <v>0.24266619165215861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3">
      <c r="L55">
        <f t="shared" si="34"/>
        <v>2082</v>
      </c>
      <c r="M55" s="1">
        <f t="shared" si="22"/>
        <v>1</v>
      </c>
      <c r="N55" s="1">
        <f t="shared" si="23"/>
        <v>1.7891378366370263</v>
      </c>
      <c r="O55" s="1">
        <f t="shared" si="24"/>
        <v>0.29905124240569747</v>
      </c>
      <c r="Q55">
        <f t="shared" si="35"/>
        <v>2092</v>
      </c>
      <c r="R55" s="1">
        <f t="shared" si="25"/>
        <v>1</v>
      </c>
      <c r="S55" s="1">
        <f t="shared" si="26"/>
        <v>2.000917333621028</v>
      </c>
      <c r="T55" s="1">
        <f t="shared" si="27"/>
        <v>0.23709776454902942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3">
      <c r="L56">
        <f t="shared" si="34"/>
        <v>2083</v>
      </c>
      <c r="M56" s="1">
        <f t="shared" si="22"/>
        <v>1</v>
      </c>
      <c r="N56" s="1">
        <f t="shared" si="23"/>
        <v>1.8092656372991927</v>
      </c>
      <c r="O56" s="1">
        <f t="shared" si="24"/>
        <v>0.29218895544228174</v>
      </c>
      <c r="Q56">
        <f t="shared" si="35"/>
        <v>2093</v>
      </c>
      <c r="R56" s="1">
        <f t="shared" si="25"/>
        <v>1</v>
      </c>
      <c r="S56" s="1">
        <f t="shared" si="26"/>
        <v>2.0234276536242639</v>
      </c>
      <c r="T56" s="1">
        <f t="shared" si="27"/>
        <v>0.23165711536251782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3">
      <c r="L57">
        <f t="shared" si="34"/>
        <v>2084</v>
      </c>
      <c r="M57" s="1">
        <f t="shared" si="22"/>
        <v>1</v>
      </c>
      <c r="N57" s="1">
        <f t="shared" si="23"/>
        <v>1.8296198757188087</v>
      </c>
      <c r="O57" s="1">
        <f t="shared" si="24"/>
        <v>0.28548413641643228</v>
      </c>
      <c r="Q57">
        <f t="shared" si="35"/>
        <v>2094</v>
      </c>
      <c r="R57" s="1">
        <f t="shared" si="25"/>
        <v>1</v>
      </c>
      <c r="S57" s="1">
        <f t="shared" si="26"/>
        <v>2.046191214727537</v>
      </c>
      <c r="T57" s="1">
        <f t="shared" si="27"/>
        <v>0.22634131199067264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3">
      <c r="L58">
        <f t="shared" si="34"/>
        <v>2085</v>
      </c>
      <c r="M58" s="1">
        <f t="shared" si="22"/>
        <v>1</v>
      </c>
      <c r="N58" s="1">
        <f t="shared" si="23"/>
        <v>1.8502030993206446</v>
      </c>
      <c r="O58" s="1">
        <f t="shared" si="24"/>
        <v>0.27893317193344641</v>
      </c>
      <c r="Q58">
        <f t="shared" si="35"/>
        <v>2095</v>
      </c>
      <c r="R58" s="1">
        <f t="shared" si="25"/>
        <v>1</v>
      </c>
      <c r="S58" s="1">
        <f t="shared" si="26"/>
        <v>2.0692108658932216</v>
      </c>
      <c r="T58" s="1">
        <f t="shared" si="27"/>
        <v>0.2211474896140751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3">
      <c r="L59">
        <f t="shared" si="34"/>
        <v>2086</v>
      </c>
      <c r="M59" s="1">
        <f t="shared" si="22"/>
        <v>1</v>
      </c>
      <c r="N59" s="1">
        <f t="shared" si="23"/>
        <v>1.8710178841880023</v>
      </c>
      <c r="O59" s="1">
        <f t="shared" si="24"/>
        <v>0.27253253151468387</v>
      </c>
      <c r="Q59">
        <f t="shared" si="35"/>
        <v>2096</v>
      </c>
      <c r="R59" s="1">
        <f t="shared" si="25"/>
        <v>1</v>
      </c>
      <c r="S59" s="1">
        <f t="shared" si="26"/>
        <v>2.0924894881345204</v>
      </c>
      <c r="T59" s="1">
        <f t="shared" si="27"/>
        <v>0.21607284915191641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3">
      <c r="L60">
        <f t="shared" si="34"/>
        <v>2087</v>
      </c>
      <c r="M60" s="1">
        <f t="shared" si="22"/>
        <v>1</v>
      </c>
      <c r="N60" s="1">
        <f t="shared" si="23"/>
        <v>1.8920668353851173</v>
      </c>
      <c r="O60" s="1">
        <f t="shared" si="24"/>
        <v>0.2662787656949025</v>
      </c>
      <c r="Q60">
        <f t="shared" si="35"/>
        <v>2097</v>
      </c>
      <c r="R60" s="1">
        <f t="shared" si="25"/>
        <v>1</v>
      </c>
      <c r="S60" s="1">
        <f t="shared" si="26"/>
        <v>2.1160299948760337</v>
      </c>
      <c r="T60" s="1">
        <f t="shared" si="27"/>
        <v>0.21111465575350286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3">
      <c r="L61">
        <f t="shared" si="34"/>
        <v>2088</v>
      </c>
      <c r="M61" s="1">
        <f t="shared" si="22"/>
        <v>1</v>
      </c>
      <c r="N61" s="1">
        <f t="shared" si="23"/>
        <v>1.9133525872831998</v>
      </c>
      <c r="O61" s="1">
        <f t="shared" si="24"/>
        <v>0.26016850416325615</v>
      </c>
      <c r="Q61">
        <f t="shared" si="35"/>
        <v>2098</v>
      </c>
      <c r="R61" s="1">
        <f t="shared" si="25"/>
        <v>1</v>
      </c>
      <c r="S61" s="1">
        <f t="shared" si="26"/>
        <v>2.139835332318389</v>
      </c>
      <c r="T61" s="1">
        <f t="shared" si="27"/>
        <v>0.20627023732437658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3">
      <c r="L62">
        <f t="shared" si="34"/>
        <v>2089</v>
      </c>
      <c r="M62" s="1">
        <f t="shared" si="22"/>
        <v>1</v>
      </c>
      <c r="N62" s="1">
        <f t="shared" si="23"/>
        <v>1.9348778038901358</v>
      </c>
      <c r="O62" s="1">
        <f t="shared" si="24"/>
        <v>0.25419845394694957</v>
      </c>
      <c r="Q62">
        <f t="shared" si="35"/>
        <v>2099</v>
      </c>
      <c r="R62" s="1">
        <f t="shared" si="25"/>
        <v>1</v>
      </c>
      <c r="S62" s="1">
        <f t="shared" si="26"/>
        <v>2.1639084798069708</v>
      </c>
      <c r="T62" s="1">
        <f t="shared" si="27"/>
        <v>0.20153698308625687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3">
      <c r="M63" s="13"/>
      <c r="N63" s="13"/>
      <c r="O63" s="13"/>
    </row>
    <row r="64" spans="12:34" x14ac:dyDescent="0.3">
      <c r="M64" s="13"/>
      <c r="N64" s="13"/>
      <c r="O64" s="13"/>
    </row>
    <row r="65" spans="13:15" x14ac:dyDescent="0.3">
      <c r="M65" s="13"/>
      <c r="N65" s="13"/>
      <c r="O65" s="13"/>
    </row>
    <row r="66" spans="13:15" x14ac:dyDescent="0.3">
      <c r="M66" s="13"/>
      <c r="N66" s="13"/>
      <c r="O66" s="13"/>
    </row>
    <row r="67" spans="13:15" x14ac:dyDescent="0.3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98"/>
  <sheetViews>
    <sheetView tabSelected="1" topLeftCell="A10" zoomScaleNormal="100" workbookViewId="0">
      <selection activeCell="L36" sqref="L36"/>
    </sheetView>
  </sheetViews>
  <sheetFormatPr defaultRowHeight="14.4" x14ac:dyDescent="0.3"/>
  <cols>
    <col min="1" max="1" width="18.44140625" customWidth="1"/>
    <col min="2" max="2" width="20.5546875" customWidth="1"/>
    <col min="3" max="3" width="15.44140625" customWidth="1"/>
    <col min="4" max="4" width="20.77734375" customWidth="1"/>
    <col min="5" max="5" width="16.21875" customWidth="1"/>
    <col min="6" max="6" width="22.5546875" bestFit="1" customWidth="1"/>
    <col min="7" max="7" width="16.5546875" customWidth="1"/>
    <col min="8" max="8" width="21.5546875" bestFit="1" customWidth="1"/>
    <col min="9" max="9" width="11.77734375" customWidth="1"/>
    <col min="10" max="10" width="9.88671875" bestFit="1" customWidth="1"/>
    <col min="11" max="11" width="12.77734375" bestFit="1" customWidth="1"/>
    <col min="12" max="12" width="15.88671875" customWidth="1"/>
    <col min="13" max="13" width="17.88671875" customWidth="1"/>
    <col min="14" max="14" width="19.6640625" bestFit="1" customWidth="1"/>
    <col min="15" max="15" width="18.44140625" bestFit="1" customWidth="1"/>
    <col min="16" max="17" width="9.33203125" bestFit="1" customWidth="1"/>
    <col min="18" max="18" width="10.33203125" bestFit="1" customWidth="1"/>
    <col min="19" max="19" width="17.88671875" customWidth="1"/>
    <col min="20" max="20" width="11.88671875" bestFit="1" customWidth="1"/>
    <col min="21" max="21" width="18.44140625" bestFit="1" customWidth="1"/>
    <col min="25" max="26" width="11.88671875" bestFit="1" customWidth="1"/>
  </cols>
  <sheetData>
    <row r="2" spans="1:33" ht="15" customHeight="1" thickBot="1" x14ac:dyDescent="0.35">
      <c r="A2" t="s">
        <v>55</v>
      </c>
      <c r="B2" s="10" t="s">
        <v>56</v>
      </c>
      <c r="G2" t="s">
        <v>196</v>
      </c>
    </row>
    <row r="3" spans="1:33" ht="15" customHeight="1" thickBot="1" x14ac:dyDescent="0.35">
      <c r="A3" s="74" t="s">
        <v>188</v>
      </c>
      <c r="B3" s="61" t="s">
        <v>189</v>
      </c>
      <c r="C3" s="29" t="s">
        <v>190</v>
      </c>
      <c r="D3" s="255" t="s">
        <v>79</v>
      </c>
      <c r="E3" s="255" t="s">
        <v>132</v>
      </c>
      <c r="G3" s="74" t="s">
        <v>188</v>
      </c>
      <c r="H3" s="61" t="s">
        <v>189</v>
      </c>
    </row>
    <row r="4" spans="1:33" ht="15" customHeight="1" thickBot="1" x14ac:dyDescent="0.35">
      <c r="A4" s="214">
        <v>10.68</v>
      </c>
      <c r="B4" s="215">
        <v>6.79</v>
      </c>
      <c r="C4" s="216">
        <v>23.68</v>
      </c>
      <c r="D4">
        <v>25</v>
      </c>
      <c r="E4">
        <v>25.81</v>
      </c>
      <c r="G4">
        <v>1.1000000000000001</v>
      </c>
      <c r="H4">
        <v>1.6</v>
      </c>
    </row>
    <row r="6" spans="1:33" ht="15" customHeight="1" x14ac:dyDescent="0.3">
      <c r="A6" s="11" t="s">
        <v>59</v>
      </c>
    </row>
    <row r="7" spans="1:33" ht="15" customHeight="1" thickBot="1" x14ac:dyDescent="0.35">
      <c r="A7" s="10" t="s">
        <v>60</v>
      </c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5"/>
      <c r="AE7" s="255"/>
      <c r="AF7" s="255"/>
      <c r="AG7" s="255"/>
    </row>
    <row r="8" spans="1:33" ht="15" customHeight="1" thickBot="1" x14ac:dyDescent="0.35">
      <c r="B8" s="110">
        <f>Diskonttaus!B4</f>
        <v>2030</v>
      </c>
      <c r="C8" s="41" t="s">
        <v>186</v>
      </c>
      <c r="D8" s="41" t="s">
        <v>187</v>
      </c>
      <c r="E8" s="61" t="s">
        <v>191</v>
      </c>
      <c r="F8" s="41" t="s">
        <v>192</v>
      </c>
      <c r="G8" s="61" t="s">
        <v>193</v>
      </c>
      <c r="H8" s="41" t="s">
        <v>194</v>
      </c>
      <c r="I8" s="41" t="s">
        <v>79</v>
      </c>
      <c r="J8" s="41" t="s">
        <v>132</v>
      </c>
      <c r="K8" s="41" t="s">
        <v>77</v>
      </c>
      <c r="M8" s="98" t="s">
        <v>11</v>
      </c>
      <c r="N8" s="255"/>
      <c r="O8" s="255"/>
      <c r="P8" s="256"/>
      <c r="Q8" s="256"/>
      <c r="R8" s="256"/>
      <c r="S8" s="257"/>
      <c r="T8" s="255"/>
      <c r="U8" s="255"/>
      <c r="V8" s="258"/>
      <c r="W8" s="258"/>
      <c r="X8" s="258"/>
      <c r="Y8" s="255"/>
      <c r="Z8" s="255"/>
      <c r="AA8" s="255"/>
      <c r="AB8" s="258"/>
      <c r="AC8" s="258"/>
      <c r="AD8" s="258"/>
      <c r="AE8" s="255"/>
      <c r="AF8" s="255"/>
      <c r="AG8" s="255"/>
    </row>
    <row r="9" spans="1:33" x14ac:dyDescent="0.3">
      <c r="B9" s="66" t="s">
        <v>66</v>
      </c>
      <c r="C9" s="128">
        <f>-ha_tyo!F9*A4*G4</f>
        <v>0</v>
      </c>
      <c r="D9" s="128">
        <f>-ha_muu!F9*B4*H4</f>
        <v>0</v>
      </c>
      <c r="E9" s="147">
        <f>-jl_tyo!F9*A4</f>
        <v>0</v>
      </c>
      <c r="F9" s="147">
        <f>-jl_muu!F9*B4</f>
        <v>0</v>
      </c>
      <c r="G9" s="147">
        <f>-pp_tyo!F9*A4</f>
        <v>0</v>
      </c>
      <c r="H9" s="147">
        <f>-pp_tyo!F9*B4</f>
        <v>0</v>
      </c>
      <c r="I9" s="128">
        <f>-ka!F9*D4</f>
        <v>0</v>
      </c>
      <c r="J9" s="128">
        <f>-yhd!F9*E4</f>
        <v>0</v>
      </c>
      <c r="K9" s="128">
        <f>-pa!F9*C4</f>
        <v>0</v>
      </c>
      <c r="M9" s="248">
        <f>SUM(C9:L9)</f>
        <v>0</v>
      </c>
      <c r="N9" s="255"/>
      <c r="O9" s="255"/>
      <c r="P9" s="257"/>
      <c r="Q9" s="257"/>
      <c r="R9" s="257"/>
      <c r="S9" s="257"/>
      <c r="T9" s="259"/>
      <c r="U9" s="255"/>
      <c r="V9" s="259"/>
      <c r="W9" s="259"/>
      <c r="X9" s="259"/>
      <c r="Y9" s="259"/>
      <c r="Z9" s="259"/>
      <c r="AA9" s="255"/>
      <c r="AB9" s="259"/>
      <c r="AC9" s="259"/>
      <c r="AD9" s="259"/>
      <c r="AE9" s="259"/>
      <c r="AF9" s="259"/>
      <c r="AG9" s="255"/>
    </row>
    <row r="10" spans="1:33" ht="15" customHeight="1" x14ac:dyDescent="0.3">
      <c r="B10" s="44" t="s">
        <v>67</v>
      </c>
      <c r="C10" s="128">
        <f>-ha_tyo!F10*A4*G4</f>
        <v>0</v>
      </c>
      <c r="D10" s="128">
        <f>-ha_muu!F10*B4*H4</f>
        <v>0</v>
      </c>
      <c r="E10" s="148">
        <f>-jl_tyo!F10*A4</f>
        <v>0</v>
      </c>
      <c r="F10" s="148">
        <f>-jl_muu!F10*B4</f>
        <v>0</v>
      </c>
      <c r="G10" s="147">
        <f>-pp_tyo!F10*A4</f>
        <v>0</v>
      </c>
      <c r="H10" s="147">
        <f>-pp_tyo!F10*B4</f>
        <v>0</v>
      </c>
      <c r="I10" s="129">
        <f>-ka!F10*D4</f>
        <v>0</v>
      </c>
      <c r="J10" s="129">
        <f>-yhd!F10*E4</f>
        <v>0</v>
      </c>
      <c r="K10" s="129">
        <f>-pa!F10*C4</f>
        <v>0</v>
      </c>
      <c r="M10" s="245">
        <f>SUM(C10:L10)</f>
        <v>0</v>
      </c>
      <c r="N10" s="255"/>
      <c r="O10" s="255"/>
      <c r="P10" s="257"/>
      <c r="Q10" s="257"/>
      <c r="R10" s="257"/>
      <c r="S10" s="257"/>
      <c r="T10" s="259"/>
      <c r="U10" s="255"/>
      <c r="V10" s="259"/>
      <c r="W10" s="259"/>
      <c r="X10" s="259"/>
      <c r="Y10" s="259"/>
      <c r="Z10" s="259"/>
      <c r="AA10" s="255"/>
      <c r="AB10" s="259"/>
      <c r="AC10" s="259"/>
      <c r="AD10" s="259"/>
      <c r="AE10" s="259"/>
      <c r="AF10" s="259"/>
      <c r="AG10" s="255"/>
    </row>
    <row r="11" spans="1:33" ht="15" customHeight="1" thickBot="1" x14ac:dyDescent="0.35">
      <c r="B11" s="67" t="s">
        <v>11</v>
      </c>
      <c r="C11" s="76">
        <f t="shared" ref="C11:K11" si="0">SUM(C9:C10)</f>
        <v>0</v>
      </c>
      <c r="D11" s="76">
        <f t="shared" si="0"/>
        <v>0</v>
      </c>
      <c r="E11" s="77">
        <f t="shared" si="0"/>
        <v>0</v>
      </c>
      <c r="F11" s="77">
        <f t="shared" si="0"/>
        <v>0</v>
      </c>
      <c r="G11" s="77">
        <f t="shared" si="0"/>
        <v>0</v>
      </c>
      <c r="H11" s="77">
        <f t="shared" si="0"/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M11" s="249">
        <f>SUM(C11:L11)</f>
        <v>0</v>
      </c>
      <c r="N11" s="255"/>
      <c r="O11" s="255"/>
      <c r="P11" s="259"/>
      <c r="Q11" s="259"/>
      <c r="R11" s="259"/>
      <c r="S11" s="259"/>
      <c r="T11" s="259"/>
      <c r="U11" s="255"/>
      <c r="V11" s="259"/>
      <c r="W11" s="259"/>
      <c r="X11" s="259"/>
      <c r="Y11" s="259"/>
      <c r="Z11" s="259"/>
      <c r="AA11" s="255"/>
      <c r="AB11" s="259"/>
      <c r="AC11" s="259"/>
      <c r="AD11" s="259"/>
      <c r="AE11" s="259"/>
      <c r="AF11" s="259"/>
      <c r="AG11" s="255"/>
    </row>
    <row r="12" spans="1:33" ht="15" customHeight="1" thickBot="1" x14ac:dyDescent="0.35">
      <c r="N12" s="255"/>
      <c r="O12" s="255"/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</row>
    <row r="13" spans="1:33" ht="15" customHeight="1" thickBot="1" x14ac:dyDescent="0.35">
      <c r="B13" s="110">
        <f>Diskonttaus!B6</f>
        <v>2050</v>
      </c>
      <c r="C13" s="41" t="s">
        <v>186</v>
      </c>
      <c r="D13" s="41" t="s">
        <v>187</v>
      </c>
      <c r="E13" s="61" t="s">
        <v>191</v>
      </c>
      <c r="F13" s="41" t="s">
        <v>192</v>
      </c>
      <c r="G13" s="61" t="s">
        <v>193</v>
      </c>
      <c r="H13" s="41" t="s">
        <v>194</v>
      </c>
      <c r="I13" s="41" t="s">
        <v>79</v>
      </c>
      <c r="J13" s="41" t="s">
        <v>132</v>
      </c>
      <c r="K13" s="41" t="s">
        <v>77</v>
      </c>
      <c r="M13" s="98" t="s">
        <v>11</v>
      </c>
      <c r="N13" s="255"/>
      <c r="O13" s="255"/>
      <c r="P13" s="256"/>
      <c r="Q13" s="256"/>
      <c r="R13" s="256"/>
      <c r="S13" s="257"/>
      <c r="T13" s="255"/>
      <c r="U13" s="255"/>
      <c r="V13" s="258"/>
      <c r="W13" s="258"/>
      <c r="X13" s="258"/>
      <c r="Y13" s="255"/>
      <c r="Z13" s="255"/>
      <c r="AA13" s="255"/>
      <c r="AB13" s="258"/>
      <c r="AC13" s="258"/>
      <c r="AD13" s="258"/>
      <c r="AE13" s="255"/>
      <c r="AF13" s="255"/>
      <c r="AG13" s="255"/>
    </row>
    <row r="14" spans="1:33" x14ac:dyDescent="0.3">
      <c r="B14" s="66" t="s">
        <v>66</v>
      </c>
      <c r="C14" s="128">
        <f>-ha_tyo!F14*A4*G4</f>
        <v>0</v>
      </c>
      <c r="D14" s="128">
        <f>-ha_muu!F14*B4*H4</f>
        <v>0</v>
      </c>
      <c r="E14" s="147">
        <f>-jl_tyo!F14*A4</f>
        <v>0</v>
      </c>
      <c r="F14" s="147">
        <f>-jl_muu!F14*B4</f>
        <v>0</v>
      </c>
      <c r="G14" s="147">
        <f>-pp_tyo!F14*A4</f>
        <v>0</v>
      </c>
      <c r="H14" s="147">
        <f>-pp_tyo!F14*B4</f>
        <v>0</v>
      </c>
      <c r="I14" s="128">
        <f>-ka!F14*D4</f>
        <v>0</v>
      </c>
      <c r="J14" s="128">
        <f>-yhd!F14*E4</f>
        <v>0</v>
      </c>
      <c r="K14" s="128">
        <f>-pa!F14*C4</f>
        <v>0</v>
      </c>
      <c r="M14" s="248">
        <f>SUM(C14:L14)</f>
        <v>0</v>
      </c>
      <c r="N14" s="255"/>
      <c r="O14" s="255"/>
      <c r="P14" s="257"/>
      <c r="Q14" s="257"/>
      <c r="R14" s="257"/>
      <c r="S14" s="257"/>
      <c r="T14" s="259"/>
      <c r="U14" s="255"/>
      <c r="V14" s="259"/>
      <c r="W14" s="259"/>
      <c r="X14" s="259"/>
      <c r="Y14" s="259"/>
      <c r="Z14" s="259"/>
      <c r="AA14" s="255"/>
      <c r="AB14" s="259"/>
      <c r="AC14" s="259"/>
      <c r="AD14" s="259"/>
      <c r="AE14" s="259"/>
      <c r="AF14" s="259"/>
      <c r="AG14" s="255"/>
    </row>
    <row r="15" spans="1:33" ht="15" customHeight="1" x14ac:dyDescent="0.3">
      <c r="B15" s="44" t="s">
        <v>67</v>
      </c>
      <c r="C15" s="128">
        <f>-ha_tyo!F15*A4*G4</f>
        <v>0</v>
      </c>
      <c r="D15" s="128">
        <f>-ha_muu!F15*B4*H4</f>
        <v>0</v>
      </c>
      <c r="E15" s="148">
        <f>-jl_tyo!F15*A4</f>
        <v>0</v>
      </c>
      <c r="F15" s="148">
        <f>-jl_muu!F15*B4</f>
        <v>0</v>
      </c>
      <c r="G15" s="147">
        <f>-pp_tyo!F15*A4</f>
        <v>0</v>
      </c>
      <c r="H15" s="147">
        <f>-pp_tyo!F15*B4</f>
        <v>0</v>
      </c>
      <c r="I15" s="129">
        <f>-ka!F15*D4</f>
        <v>0</v>
      </c>
      <c r="J15" s="129">
        <f>-yhd!F15*E4</f>
        <v>0</v>
      </c>
      <c r="K15" s="128">
        <f>-pa!F15*C4</f>
        <v>0</v>
      </c>
      <c r="M15" s="245">
        <f>SUM(C15:L15)</f>
        <v>0</v>
      </c>
      <c r="N15" s="255"/>
      <c r="O15" s="255"/>
      <c r="P15" s="257"/>
      <c r="Q15" s="257"/>
      <c r="R15" s="257"/>
      <c r="S15" s="257"/>
      <c r="T15" s="259"/>
      <c r="U15" s="255"/>
      <c r="V15" s="259"/>
      <c r="W15" s="259"/>
      <c r="X15" s="259"/>
      <c r="Y15" s="259"/>
      <c r="Z15" s="259"/>
      <c r="AA15" s="255"/>
      <c r="AB15" s="259"/>
      <c r="AC15" s="259"/>
      <c r="AD15" s="259"/>
      <c r="AE15" s="259"/>
      <c r="AF15" s="259"/>
      <c r="AG15" s="255"/>
    </row>
    <row r="16" spans="1:33" ht="15" customHeight="1" thickBot="1" x14ac:dyDescent="0.35">
      <c r="B16" s="67" t="s">
        <v>11</v>
      </c>
      <c r="C16" s="76">
        <f t="shared" ref="C16:K16" si="1">SUM(C14:C15)</f>
        <v>0</v>
      </c>
      <c r="D16" s="76">
        <f t="shared" si="1"/>
        <v>0</v>
      </c>
      <c r="E16" s="77">
        <f t="shared" si="1"/>
        <v>0</v>
      </c>
      <c r="F16" s="77">
        <f t="shared" si="1"/>
        <v>0</v>
      </c>
      <c r="G16" s="56">
        <f t="shared" si="1"/>
        <v>0</v>
      </c>
      <c r="H16" s="56">
        <f t="shared" si="1"/>
        <v>0</v>
      </c>
      <c r="I16" s="76">
        <f t="shared" ref="I16" si="2">SUM(I14:I15)</f>
        <v>0</v>
      </c>
      <c r="J16" s="76">
        <f t="shared" ref="J16" si="3">SUM(J14:J15)</f>
        <v>0</v>
      </c>
      <c r="K16" s="77">
        <f t="shared" si="1"/>
        <v>0</v>
      </c>
      <c r="M16" s="249">
        <f>SUM(C16:L16)</f>
        <v>0</v>
      </c>
      <c r="N16" s="255"/>
      <c r="O16" s="255"/>
      <c r="P16" s="259"/>
      <c r="Q16" s="259"/>
      <c r="R16" s="259"/>
      <c r="S16" s="259"/>
      <c r="T16" s="259"/>
      <c r="U16" s="255"/>
      <c r="V16" s="259"/>
      <c r="W16" s="259"/>
      <c r="X16" s="259"/>
      <c r="Y16" s="259"/>
      <c r="Z16" s="259"/>
      <c r="AA16" s="255"/>
      <c r="AB16" s="259"/>
      <c r="AC16" s="259"/>
      <c r="AD16" s="259"/>
      <c r="AE16" s="259"/>
      <c r="AF16" s="259"/>
      <c r="AG16" s="255"/>
    </row>
    <row r="17" spans="1:33" ht="15" customHeight="1" thickBot="1" x14ac:dyDescent="0.35"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</row>
    <row r="18" spans="1:33" ht="21.6" customHeight="1" thickBot="1" x14ac:dyDescent="0.45">
      <c r="B18" s="158" t="s">
        <v>68</v>
      </c>
      <c r="C18" s="115"/>
      <c r="D18" s="115"/>
      <c r="E18" s="115"/>
      <c r="F18" s="115"/>
      <c r="H18" s="115"/>
      <c r="I18" s="115"/>
      <c r="J18" s="115"/>
      <c r="K18" s="115"/>
      <c r="M18" s="250">
        <f ca="1">IF(ISNUMBER(Diskonttaus!B20),Diskonttaus!B19*Kayttajahyodyt!M11+Diskonttaus!B20*Kayttajahyodyt!M16,Diskonttaus!B19*Kayttajahyodyt!M11)</f>
        <v>0</v>
      </c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</row>
    <row r="19" spans="1:33" ht="15" customHeight="1" x14ac:dyDescent="0.3"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</row>
    <row r="20" spans="1:33" ht="15" customHeight="1" thickBot="1" x14ac:dyDescent="0.35">
      <c r="A20" s="10" t="s">
        <v>69</v>
      </c>
      <c r="C20" s="26"/>
      <c r="D20" s="26"/>
      <c r="F20" s="26"/>
      <c r="H20" s="26"/>
      <c r="I20" s="26"/>
      <c r="J20" s="26"/>
      <c r="K20" s="26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</row>
    <row r="21" spans="1:33" ht="15" customHeight="1" thickBot="1" x14ac:dyDescent="0.35">
      <c r="B21" s="110">
        <f>Diskonttaus!B4</f>
        <v>2030</v>
      </c>
      <c r="C21" s="41" t="s">
        <v>186</v>
      </c>
      <c r="D21" s="41" t="s">
        <v>187</v>
      </c>
      <c r="F21" s="262"/>
      <c r="G21" s="262"/>
      <c r="H21" s="262"/>
      <c r="I21" s="41" t="s">
        <v>79</v>
      </c>
      <c r="J21" s="41" t="s">
        <v>132</v>
      </c>
      <c r="K21" s="41" t="s">
        <v>77</v>
      </c>
      <c r="M21" s="79" t="s">
        <v>11</v>
      </c>
      <c r="N21" s="255"/>
      <c r="O21" s="255"/>
      <c r="P21" s="258"/>
      <c r="Q21" s="258"/>
      <c r="R21" s="258"/>
      <c r="S21" s="255"/>
      <c r="T21" s="255"/>
      <c r="U21" s="255"/>
      <c r="V21" s="258"/>
      <c r="W21" s="258"/>
      <c r="X21" s="258"/>
      <c r="Y21" s="255"/>
      <c r="Z21" s="255"/>
      <c r="AA21" s="255"/>
      <c r="AB21" s="255"/>
      <c r="AC21" s="255"/>
      <c r="AD21" s="255"/>
      <c r="AE21" s="255"/>
      <c r="AF21" s="255"/>
      <c r="AG21" s="255"/>
    </row>
    <row r="22" spans="1:33" x14ac:dyDescent="0.3">
      <c r="B22" s="66" t="s">
        <v>66</v>
      </c>
      <c r="C22" s="81">
        <f>-E61*ha_tyo!F22</f>
        <v>0</v>
      </c>
      <c r="D22" s="81">
        <f>-E61*ha_muu!F22</f>
        <v>0</v>
      </c>
      <c r="E22" s="115"/>
      <c r="F22" s="263"/>
      <c r="G22" s="263"/>
      <c r="H22" s="263"/>
      <c r="I22" s="261">
        <f>-E64*ka!F22</f>
        <v>0</v>
      </c>
      <c r="J22" s="261">
        <f>-E65*yhd!F22</f>
        <v>0</v>
      </c>
      <c r="K22" s="261">
        <f>-E62*pa!F22</f>
        <v>0</v>
      </c>
      <c r="M22" s="251">
        <f>SUM(C22:L22)</f>
        <v>0</v>
      </c>
      <c r="N22" s="255"/>
      <c r="O22" s="255"/>
      <c r="P22" s="259"/>
      <c r="Q22" s="259"/>
      <c r="R22" s="259"/>
      <c r="S22" s="259"/>
      <c r="T22" s="259"/>
      <c r="U22" s="255"/>
      <c r="V22" s="259"/>
      <c r="W22" s="259"/>
      <c r="X22" s="259"/>
      <c r="Y22" s="259"/>
      <c r="Z22" s="259"/>
      <c r="AA22" s="255"/>
      <c r="AB22" s="255"/>
      <c r="AC22" s="255"/>
      <c r="AD22" s="255"/>
      <c r="AE22" s="255"/>
      <c r="AF22" s="255"/>
      <c r="AG22" s="255"/>
    </row>
    <row r="23" spans="1:33" ht="15" customHeight="1" x14ac:dyDescent="0.3">
      <c r="B23" s="44" t="s">
        <v>67</v>
      </c>
      <c r="C23" s="83">
        <f>-E61*ha_tyo!F23</f>
        <v>0</v>
      </c>
      <c r="D23" s="83">
        <f>-E61*ha_muu!F23</f>
        <v>0</v>
      </c>
      <c r="E23" s="115"/>
      <c r="F23" s="263"/>
      <c r="G23" s="263"/>
      <c r="H23" s="263"/>
      <c r="I23" s="101">
        <f>-E64*ka!F23</f>
        <v>0</v>
      </c>
      <c r="J23" s="101">
        <f>-E65*yhd!F23</f>
        <v>0</v>
      </c>
      <c r="K23" s="101">
        <f>-E62*pa!F23</f>
        <v>0</v>
      </c>
      <c r="M23" s="252">
        <f>SUM(C23:L23)</f>
        <v>0</v>
      </c>
      <c r="N23" s="255"/>
      <c r="O23" s="255"/>
      <c r="P23" s="259"/>
      <c r="Q23" s="259"/>
      <c r="R23" s="259"/>
      <c r="S23" s="259"/>
      <c r="T23" s="259"/>
      <c r="U23" s="255"/>
      <c r="V23" s="259"/>
      <c r="W23" s="259"/>
      <c r="X23" s="259"/>
      <c r="Y23" s="259"/>
      <c r="Z23" s="259"/>
      <c r="AA23" s="255"/>
      <c r="AB23" s="255"/>
      <c r="AC23" s="255"/>
      <c r="AD23" s="255"/>
      <c r="AE23" s="255"/>
      <c r="AF23" s="255"/>
      <c r="AG23" s="255"/>
    </row>
    <row r="24" spans="1:33" ht="15" customHeight="1" thickBot="1" x14ac:dyDescent="0.35">
      <c r="B24" s="67" t="s">
        <v>11</v>
      </c>
      <c r="C24" s="116">
        <f>SUM(C22:C23)</f>
        <v>0</v>
      </c>
      <c r="D24" s="116">
        <f>SUM(D22:D23)</f>
        <v>0</v>
      </c>
      <c r="E24" s="115"/>
      <c r="F24" s="263"/>
      <c r="G24" s="263"/>
      <c r="H24" s="263"/>
      <c r="I24" s="95">
        <f>SUM(I22:I23)</f>
        <v>0</v>
      </c>
      <c r="J24" s="95">
        <f>SUM(J22:J23)</f>
        <v>0</v>
      </c>
      <c r="K24" s="95">
        <f>SUM(K22:K23)</f>
        <v>0</v>
      </c>
      <c r="M24" s="253">
        <f>SUM(C24:L24)</f>
        <v>0</v>
      </c>
      <c r="N24" s="255"/>
      <c r="O24" s="255"/>
      <c r="P24" s="259"/>
      <c r="Q24" s="259"/>
      <c r="R24" s="259"/>
      <c r="S24" s="259"/>
      <c r="T24" s="259"/>
      <c r="U24" s="255"/>
      <c r="V24" s="259"/>
      <c r="W24" s="259"/>
      <c r="X24" s="259"/>
      <c r="Y24" s="259"/>
      <c r="Z24" s="259"/>
      <c r="AA24" s="255"/>
      <c r="AB24" s="255"/>
      <c r="AC24" s="255"/>
      <c r="AD24" s="255"/>
      <c r="AE24" s="255"/>
      <c r="AF24" s="255"/>
      <c r="AG24" s="255"/>
    </row>
    <row r="25" spans="1:33" ht="15" customHeight="1" thickBot="1" x14ac:dyDescent="0.35">
      <c r="F25" s="262"/>
      <c r="G25" s="262"/>
      <c r="H25" s="262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</row>
    <row r="26" spans="1:33" ht="15" customHeight="1" thickBot="1" x14ac:dyDescent="0.35">
      <c r="B26" s="110">
        <f>Diskonttaus!B6</f>
        <v>2050</v>
      </c>
      <c r="C26" s="41" t="s">
        <v>186</v>
      </c>
      <c r="D26" s="41" t="s">
        <v>187</v>
      </c>
      <c r="F26" s="264"/>
      <c r="G26" s="262"/>
      <c r="H26" s="264"/>
      <c r="I26" s="41" t="s">
        <v>79</v>
      </c>
      <c r="J26" s="41" t="s">
        <v>132</v>
      </c>
      <c r="K26" s="41" t="s">
        <v>77</v>
      </c>
      <c r="M26" s="70" t="s">
        <v>11</v>
      </c>
      <c r="N26" s="255"/>
      <c r="O26" s="255"/>
      <c r="P26" s="258"/>
      <c r="Q26" s="258"/>
      <c r="R26" s="258"/>
      <c r="S26" s="255"/>
      <c r="T26" s="255"/>
      <c r="U26" s="255"/>
      <c r="V26" s="258"/>
      <c r="W26" s="258"/>
      <c r="X26" s="258"/>
      <c r="Y26" s="255"/>
      <c r="Z26" s="255"/>
      <c r="AA26" s="255"/>
      <c r="AB26" s="255"/>
      <c r="AC26" s="255"/>
      <c r="AD26" s="255"/>
      <c r="AE26" s="255"/>
      <c r="AF26" s="255"/>
      <c r="AG26" s="255"/>
    </row>
    <row r="27" spans="1:33" x14ac:dyDescent="0.3">
      <c r="B27" s="66" t="s">
        <v>66</v>
      </c>
      <c r="C27" s="81">
        <f>-E61*ha_tyo!F27</f>
        <v>0</v>
      </c>
      <c r="D27" s="81">
        <f>-E61*ha_muu!F27</f>
        <v>0</v>
      </c>
      <c r="F27" s="263"/>
      <c r="G27" s="262"/>
      <c r="H27" s="263"/>
      <c r="I27" s="261">
        <f>-E64*ka!F27</f>
        <v>0</v>
      </c>
      <c r="J27" s="261">
        <f>-E65*yhd!F27</f>
        <v>0</v>
      </c>
      <c r="K27" s="261">
        <f>-E62*pa!F27</f>
        <v>0</v>
      </c>
      <c r="M27" s="251">
        <f>SUM(C27:L27)</f>
        <v>0</v>
      </c>
      <c r="N27" s="255"/>
      <c r="O27" s="255"/>
      <c r="P27" s="259"/>
      <c r="Q27" s="259"/>
      <c r="R27" s="259"/>
      <c r="S27" s="259"/>
      <c r="T27" s="259"/>
      <c r="U27" s="255"/>
      <c r="V27" s="259"/>
      <c r="W27" s="259"/>
      <c r="X27" s="259"/>
      <c r="Y27" s="259"/>
      <c r="Z27" s="259"/>
      <c r="AA27" s="255"/>
      <c r="AB27" s="255"/>
      <c r="AC27" s="255"/>
      <c r="AD27" s="255"/>
      <c r="AE27" s="255"/>
      <c r="AF27" s="255"/>
      <c r="AG27" s="255"/>
    </row>
    <row r="28" spans="1:33" ht="15" customHeight="1" x14ac:dyDescent="0.3">
      <c r="B28" s="44" t="s">
        <v>67</v>
      </c>
      <c r="C28" s="83">
        <f>-E61*ha_tyo!F28</f>
        <v>0</v>
      </c>
      <c r="D28" s="83">
        <f>-E61*ha_muu!F28</f>
        <v>0</v>
      </c>
      <c r="F28" s="263"/>
      <c r="G28" s="262"/>
      <c r="H28" s="263"/>
      <c r="I28" s="101">
        <f>-E64*ka!F28</f>
        <v>0</v>
      </c>
      <c r="J28" s="101">
        <f>-E65*yhd!F28</f>
        <v>0</v>
      </c>
      <c r="K28" s="101">
        <f>-E62*pa!F28</f>
        <v>0</v>
      </c>
      <c r="M28" s="252">
        <f>SUM(C28:L28)</f>
        <v>0</v>
      </c>
      <c r="N28" s="255"/>
      <c r="O28" s="255"/>
      <c r="P28" s="259"/>
      <c r="Q28" s="259"/>
      <c r="R28" s="259"/>
      <c r="S28" s="259"/>
      <c r="T28" s="259"/>
      <c r="U28" s="255"/>
      <c r="V28" s="259"/>
      <c r="W28" s="259"/>
      <c r="X28" s="259"/>
      <c r="Y28" s="259"/>
      <c r="Z28" s="259"/>
      <c r="AA28" s="255"/>
      <c r="AB28" s="255"/>
      <c r="AC28" s="255"/>
      <c r="AD28" s="255"/>
      <c r="AE28" s="255"/>
      <c r="AF28" s="255"/>
      <c r="AG28" s="255"/>
    </row>
    <row r="29" spans="1:33" ht="15" customHeight="1" thickBot="1" x14ac:dyDescent="0.35">
      <c r="B29" s="67" t="s">
        <v>11</v>
      </c>
      <c r="C29" s="116">
        <f>SUM(C27:C28)</f>
        <v>0</v>
      </c>
      <c r="D29" s="116">
        <f>SUM(D27:D28)</f>
        <v>0</v>
      </c>
      <c r="F29" s="263"/>
      <c r="G29" s="262"/>
      <c r="H29" s="263"/>
      <c r="I29" s="95">
        <f>SUM(I27:I28)</f>
        <v>0</v>
      </c>
      <c r="J29" s="95">
        <f>SUM(J27:J28)</f>
        <v>0</v>
      </c>
      <c r="K29" s="95">
        <f>SUM(K27:K28)</f>
        <v>0</v>
      </c>
      <c r="M29" s="253">
        <f>SUM(C29:L29)</f>
        <v>0</v>
      </c>
      <c r="N29" s="255"/>
      <c r="O29" s="255"/>
      <c r="P29" s="259"/>
      <c r="Q29" s="259"/>
      <c r="R29" s="259"/>
      <c r="S29" s="259"/>
      <c r="T29" s="259"/>
      <c r="U29" s="255"/>
      <c r="V29" s="259"/>
      <c r="W29" s="259"/>
      <c r="X29" s="259"/>
      <c r="Y29" s="259"/>
      <c r="Z29" s="259"/>
      <c r="AA29" s="255"/>
      <c r="AB29" s="255"/>
      <c r="AC29" s="255"/>
      <c r="AD29" s="255"/>
      <c r="AE29" s="255"/>
      <c r="AF29" s="255"/>
      <c r="AG29" s="255"/>
    </row>
    <row r="30" spans="1:33" ht="15" customHeight="1" thickBot="1" x14ac:dyDescent="0.35"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</row>
    <row r="31" spans="1:33" ht="21.6" customHeight="1" thickBot="1" x14ac:dyDescent="0.45">
      <c r="B31" s="158" t="s">
        <v>68</v>
      </c>
      <c r="M31" s="254">
        <f ca="1">IF(ISNUMBER(Diskonttaus!B27),Diskonttaus!B26*Kayttajahyodyt!M24+Diskonttaus!B27*Kayttajahyodyt!M29,Diskonttaus!B26*Kayttajahyodyt!M24)</f>
        <v>0</v>
      </c>
      <c r="N31" s="255"/>
      <c r="O31" s="255"/>
      <c r="P31" s="255"/>
      <c r="Q31" s="255"/>
      <c r="R31" s="255"/>
      <c r="S31" s="255"/>
      <c r="T31" s="255"/>
      <c r="U31" s="255"/>
      <c r="V31" s="255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5"/>
    </row>
    <row r="32" spans="1:33" s="111" customFormat="1" x14ac:dyDescent="0.3"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</row>
    <row r="33" spans="1:34" s="247" customFormat="1" x14ac:dyDescent="0.3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M33" s="132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</row>
    <row r="34" spans="1:34" s="247" customFormat="1" ht="15" customHeight="1" x14ac:dyDescent="0.3">
      <c r="A34"/>
      <c r="B34"/>
      <c r="C34"/>
      <c r="D34"/>
      <c r="E34"/>
      <c r="F34"/>
      <c r="G34"/>
      <c r="H34"/>
      <c r="I34"/>
      <c r="J34"/>
      <c r="K34"/>
      <c r="M34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</row>
    <row r="35" spans="1:34" s="247" customFormat="1" ht="15" customHeight="1" thickBot="1" x14ac:dyDescent="0.35">
      <c r="A35" s="11" t="s">
        <v>70</v>
      </c>
      <c r="B35"/>
      <c r="C35"/>
      <c r="D35"/>
      <c r="E35"/>
      <c r="F35"/>
      <c r="G35"/>
      <c r="H35"/>
      <c r="I35"/>
      <c r="J35"/>
      <c r="K35"/>
      <c r="M3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</row>
    <row r="36" spans="1:34" s="247" customFormat="1" ht="15" customHeight="1" thickBot="1" x14ac:dyDescent="0.35">
      <c r="A36"/>
      <c r="B36" s="110">
        <f>Diskonttaus!B4</f>
        <v>2030</v>
      </c>
      <c r="C36" s="41" t="s">
        <v>186</v>
      </c>
      <c r="D36" s="41" t="s">
        <v>187</v>
      </c>
      <c r="E36" s="61" t="s">
        <v>191</v>
      </c>
      <c r="F36" s="41" t="s">
        <v>192</v>
      </c>
      <c r="G36"/>
      <c r="H36" s="262"/>
      <c r="I36" s="41" t="s">
        <v>79</v>
      </c>
      <c r="J36" s="41" t="s">
        <v>132</v>
      </c>
      <c r="K36" s="41" t="s">
        <v>77</v>
      </c>
      <c r="M36" s="79" t="s">
        <v>11</v>
      </c>
      <c r="N36" s="255"/>
      <c r="O36" s="255"/>
      <c r="P36" s="258"/>
      <c r="Q36" s="258"/>
      <c r="R36" s="258"/>
      <c r="S36" s="255"/>
      <c r="T36" s="255"/>
      <c r="U36" s="255"/>
      <c r="V36" s="258"/>
      <c r="W36" s="258"/>
      <c r="X36" s="258"/>
      <c r="Y36" s="255"/>
      <c r="Z36" s="255"/>
      <c r="AA36" s="255"/>
      <c r="AB36" s="258"/>
      <c r="AC36" s="258"/>
      <c r="AD36" s="258"/>
      <c r="AE36" s="255"/>
      <c r="AF36" s="255"/>
      <c r="AG36" s="255"/>
    </row>
    <row r="37" spans="1:34" s="247" customFormat="1" x14ac:dyDescent="0.3">
      <c r="A37"/>
      <c r="B37" s="66" t="s">
        <v>66</v>
      </c>
      <c r="C37" s="81">
        <f>-ha_tyo!F37</f>
        <v>0</v>
      </c>
      <c r="D37" s="81">
        <f>-ha_muu!F37</f>
        <v>0</v>
      </c>
      <c r="E37" s="127">
        <f>-jl_tyo!F37</f>
        <v>0</v>
      </c>
      <c r="F37" s="127">
        <f>-jl_muu!F37</f>
        <v>0</v>
      </c>
      <c r="G37"/>
      <c r="H37" s="263"/>
      <c r="I37" s="127">
        <f>-ka!F37</f>
        <v>0</v>
      </c>
      <c r="J37" s="127">
        <f>-yhd!F37</f>
        <v>0</v>
      </c>
      <c r="K37" s="127">
        <f>-pa!F37</f>
        <v>0</v>
      </c>
      <c r="M37" s="251">
        <f>SUM(C37:L37)</f>
        <v>0</v>
      </c>
      <c r="N37" s="255"/>
      <c r="O37" s="255"/>
      <c r="P37" s="259"/>
      <c r="Q37" s="259"/>
      <c r="R37" s="259"/>
      <c r="S37" s="259"/>
      <c r="T37" s="259"/>
      <c r="U37" s="255"/>
      <c r="V37" s="259"/>
      <c r="W37" s="259"/>
      <c r="X37" s="259"/>
      <c r="Y37" s="259"/>
      <c r="Z37" s="259"/>
      <c r="AA37" s="255"/>
      <c r="AB37" s="259"/>
      <c r="AC37" s="259"/>
      <c r="AD37" s="259"/>
      <c r="AE37" s="259"/>
      <c r="AF37" s="259"/>
      <c r="AG37" s="255"/>
    </row>
    <row r="38" spans="1:34" s="247" customFormat="1" x14ac:dyDescent="0.3">
      <c r="A38"/>
      <c r="B38" s="44" t="s">
        <v>67</v>
      </c>
      <c r="C38" s="83">
        <f>-ha_tyo!F38</f>
        <v>0</v>
      </c>
      <c r="D38" s="83">
        <f>-ha_muu!F38</f>
        <v>0</v>
      </c>
      <c r="E38" s="75">
        <f>-jl_tyo!F38</f>
        <v>0</v>
      </c>
      <c r="F38" s="75">
        <f>-jl_muu!F38</f>
        <v>0</v>
      </c>
      <c r="G38"/>
      <c r="H38" s="263"/>
      <c r="I38" s="75">
        <f>-ka!F38</f>
        <v>0</v>
      </c>
      <c r="J38" s="75">
        <f>-yhd!F38</f>
        <v>0</v>
      </c>
      <c r="K38" s="75">
        <f>-pa!F38</f>
        <v>0</v>
      </c>
      <c r="M38" s="252">
        <f>SUM(C38:L38)</f>
        <v>0</v>
      </c>
      <c r="N38" s="255"/>
      <c r="O38" s="255"/>
      <c r="P38" s="259"/>
      <c r="Q38" s="259"/>
      <c r="R38" s="259"/>
      <c r="S38" s="259"/>
      <c r="T38" s="259"/>
      <c r="U38" s="255"/>
      <c r="V38" s="259"/>
      <c r="W38" s="259"/>
      <c r="X38" s="259"/>
      <c r="Y38" s="259"/>
      <c r="Z38" s="259"/>
      <c r="AA38" s="255"/>
      <c r="AB38" s="259"/>
      <c r="AC38" s="259"/>
      <c r="AD38" s="259"/>
      <c r="AE38" s="259"/>
      <c r="AF38" s="259"/>
      <c r="AG38" s="255"/>
    </row>
    <row r="39" spans="1:34" s="247" customFormat="1" ht="15" customHeight="1" thickBot="1" x14ac:dyDescent="0.35">
      <c r="A39"/>
      <c r="B39" s="67" t="s">
        <v>11</v>
      </c>
      <c r="C39" s="116">
        <f>SUM(C37:C38)</f>
        <v>0</v>
      </c>
      <c r="D39" s="116">
        <f>SUM(D37:D38)</f>
        <v>0</v>
      </c>
      <c r="E39" s="246">
        <f>SUM(E37:E38)</f>
        <v>0</v>
      </c>
      <c r="F39" s="246">
        <f>SUM(F37:F38)</f>
        <v>0</v>
      </c>
      <c r="G39"/>
      <c r="H39" s="263"/>
      <c r="I39" s="246">
        <f>SUM(I37:I38)</f>
        <v>0</v>
      </c>
      <c r="J39" s="246">
        <f>SUM(J37:J38)</f>
        <v>0</v>
      </c>
      <c r="K39" s="246">
        <f>SUM(K37:K38)</f>
        <v>0</v>
      </c>
      <c r="M39" s="253">
        <f>SUM(C39:L39)</f>
        <v>0</v>
      </c>
      <c r="N39" s="255"/>
      <c r="O39" s="255"/>
      <c r="P39" s="259"/>
      <c r="Q39" s="259"/>
      <c r="R39" s="259"/>
      <c r="S39" s="259"/>
      <c r="T39" s="259"/>
      <c r="U39" s="255"/>
      <c r="V39" s="259"/>
      <c r="W39" s="259"/>
      <c r="X39" s="259"/>
      <c r="Y39" s="259"/>
      <c r="Z39" s="259"/>
      <c r="AA39" s="255"/>
      <c r="AB39" s="259"/>
      <c r="AC39" s="259"/>
      <c r="AD39" s="259"/>
      <c r="AE39" s="259"/>
      <c r="AF39" s="259"/>
      <c r="AG39" s="255"/>
    </row>
    <row r="40" spans="1:34" s="247" customFormat="1" ht="15" customHeight="1" thickBot="1" x14ac:dyDescent="0.35">
      <c r="A40"/>
      <c r="B40"/>
      <c r="C40"/>
      <c r="D40"/>
      <c r="E40"/>
      <c r="F40"/>
      <c r="G40"/>
      <c r="H40" s="262"/>
      <c r="I40"/>
      <c r="J40"/>
      <c r="K40"/>
      <c r="M40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255"/>
      <c r="AF40" s="255"/>
      <c r="AG40" s="255"/>
    </row>
    <row r="41" spans="1:34" s="247" customFormat="1" ht="15" customHeight="1" thickBot="1" x14ac:dyDescent="0.35">
      <c r="A41"/>
      <c r="B41" s="110">
        <f>Diskonttaus!B6</f>
        <v>2050</v>
      </c>
      <c r="C41" s="41" t="s">
        <v>186</v>
      </c>
      <c r="D41" s="41" t="s">
        <v>187</v>
      </c>
      <c r="E41" s="61" t="s">
        <v>191</v>
      </c>
      <c r="F41" s="41" t="s">
        <v>192</v>
      </c>
      <c r="G41"/>
      <c r="H41" s="262"/>
      <c r="I41" s="41" t="s">
        <v>79</v>
      </c>
      <c r="J41" s="41" t="s">
        <v>132</v>
      </c>
      <c r="K41" s="41" t="s">
        <v>77</v>
      </c>
      <c r="M41" s="79" t="s">
        <v>11</v>
      </c>
      <c r="N41" s="255"/>
      <c r="O41" s="255"/>
      <c r="P41" s="258"/>
      <c r="Q41" s="258"/>
      <c r="R41" s="258"/>
      <c r="S41" s="255"/>
      <c r="T41" s="255"/>
      <c r="U41" s="255"/>
      <c r="V41" s="258"/>
      <c r="W41" s="258"/>
      <c r="X41" s="258"/>
      <c r="Y41" s="255"/>
      <c r="Z41" s="255"/>
      <c r="AA41" s="255"/>
      <c r="AB41" s="258"/>
      <c r="AC41" s="258"/>
      <c r="AD41" s="258"/>
      <c r="AE41" s="255"/>
      <c r="AF41" s="255"/>
      <c r="AG41" s="255"/>
    </row>
    <row r="42" spans="1:34" s="247" customFormat="1" x14ac:dyDescent="0.3">
      <c r="A42"/>
      <c r="B42" s="66" t="s">
        <v>66</v>
      </c>
      <c r="C42" s="81">
        <f>-ha_tyo!F42</f>
        <v>0</v>
      </c>
      <c r="D42" s="81">
        <f>-ha_muu!F42</f>
        <v>0</v>
      </c>
      <c r="E42" s="101">
        <f>-jl_tyo!F42</f>
        <v>0</v>
      </c>
      <c r="F42" s="101">
        <f>-jl_muu!F42</f>
        <v>0</v>
      </c>
      <c r="G42"/>
      <c r="H42" s="263"/>
      <c r="I42" s="101">
        <f>-ka!F42</f>
        <v>0</v>
      </c>
      <c r="J42" s="127">
        <f>-yhd!G42</f>
        <v>0</v>
      </c>
      <c r="K42" s="127">
        <f>-pa!F42</f>
        <v>0</v>
      </c>
      <c r="M42" s="251">
        <f>SUM(C42:L42)</f>
        <v>0</v>
      </c>
      <c r="N42" s="255"/>
      <c r="O42" s="255"/>
      <c r="P42" s="259"/>
      <c r="Q42" s="259"/>
      <c r="R42" s="259"/>
      <c r="S42" s="259"/>
      <c r="T42" s="259"/>
      <c r="U42" s="255"/>
      <c r="V42" s="259"/>
      <c r="W42" s="259"/>
      <c r="X42" s="259"/>
      <c r="Y42" s="259"/>
      <c r="Z42" s="259"/>
      <c r="AA42" s="255"/>
      <c r="AB42" s="259"/>
      <c r="AC42" s="259"/>
      <c r="AD42" s="259"/>
      <c r="AE42" s="259"/>
      <c r="AF42" s="259"/>
      <c r="AG42" s="255"/>
    </row>
    <row r="43" spans="1:34" s="247" customFormat="1" x14ac:dyDescent="0.3">
      <c r="A43"/>
      <c r="B43" s="44" t="s">
        <v>67</v>
      </c>
      <c r="C43" s="83">
        <f>-ha_tyo!F43</f>
        <v>0</v>
      </c>
      <c r="D43" s="83">
        <f>-ha_muu!F43</f>
        <v>0</v>
      </c>
      <c r="E43" s="101">
        <f>-jl_tyo!F43</f>
        <v>0</v>
      </c>
      <c r="F43" s="101">
        <f>-jl_muu!F43</f>
        <v>0</v>
      </c>
      <c r="G43"/>
      <c r="H43" s="263"/>
      <c r="I43" s="101">
        <f>-ka!F43</f>
        <v>0</v>
      </c>
      <c r="J43" s="75">
        <f>-yhd!G43</f>
        <v>0</v>
      </c>
      <c r="K43" s="75">
        <f>-pa!F43</f>
        <v>0</v>
      </c>
      <c r="M43" s="252">
        <f>SUM(C43:L43)</f>
        <v>0</v>
      </c>
      <c r="N43" s="255"/>
      <c r="O43" s="255"/>
      <c r="P43" s="259"/>
      <c r="Q43" s="259"/>
      <c r="R43" s="259"/>
      <c r="S43" s="259"/>
      <c r="T43" s="259"/>
      <c r="U43" s="255"/>
      <c r="V43" s="259"/>
      <c r="W43" s="259"/>
      <c r="X43" s="259"/>
      <c r="Y43" s="259"/>
      <c r="Z43" s="259"/>
      <c r="AA43" s="255"/>
      <c r="AB43" s="259"/>
      <c r="AC43" s="259"/>
      <c r="AD43" s="259"/>
      <c r="AE43" s="259"/>
      <c r="AF43" s="259"/>
      <c r="AG43" s="255"/>
    </row>
    <row r="44" spans="1:34" s="247" customFormat="1" ht="15" customHeight="1" thickBot="1" x14ac:dyDescent="0.35">
      <c r="A44"/>
      <c r="B44" s="67" t="s">
        <v>11</v>
      </c>
      <c r="C44" s="55">
        <f>SUM(C42:C43)</f>
        <v>0</v>
      </c>
      <c r="D44" s="55">
        <f>SUM(D42:D43)</f>
        <v>0</v>
      </c>
      <c r="E44" s="95">
        <f>SUM(E42:E43)</f>
        <v>0</v>
      </c>
      <c r="F44" s="95">
        <f>SUM(F42:F43)</f>
        <v>0</v>
      </c>
      <c r="G44"/>
      <c r="H44" s="262"/>
      <c r="I44" s="95">
        <f>SUM(I42:I43)</f>
        <v>0</v>
      </c>
      <c r="J44" s="246">
        <f>SUM(J42:J43)</f>
        <v>0</v>
      </c>
      <c r="K44" s="246">
        <f>SUM(K42:K43)</f>
        <v>0</v>
      </c>
      <c r="M44" s="253">
        <f>SUM(C44:L44)</f>
        <v>0</v>
      </c>
      <c r="N44" s="255"/>
      <c r="O44" s="255"/>
      <c r="P44" s="259"/>
      <c r="Q44" s="259"/>
      <c r="R44" s="259"/>
      <c r="S44" s="259"/>
      <c r="T44" s="259"/>
      <c r="U44" s="255"/>
      <c r="V44" s="259"/>
      <c r="W44" s="259"/>
      <c r="X44" s="259"/>
      <c r="Y44" s="259"/>
      <c r="Z44" s="259"/>
      <c r="AA44" s="255"/>
      <c r="AB44" s="259"/>
      <c r="AC44" s="259"/>
      <c r="AD44" s="259"/>
      <c r="AE44" s="259"/>
      <c r="AF44" s="259"/>
      <c r="AG44" s="255"/>
    </row>
    <row r="45" spans="1:34" s="247" customFormat="1" ht="15" customHeight="1" thickBot="1" x14ac:dyDescent="0.35">
      <c r="A45"/>
      <c r="B45"/>
      <c r="C45"/>
      <c r="D45"/>
      <c r="E45"/>
      <c r="F45"/>
      <c r="G45"/>
      <c r="H45" s="262"/>
      <c r="I45" s="262"/>
      <c r="J45" s="262"/>
      <c r="K45"/>
      <c r="M4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5"/>
    </row>
    <row r="46" spans="1:34" s="247" customFormat="1" ht="21.6" customHeight="1" thickBot="1" x14ac:dyDescent="0.45">
      <c r="A46"/>
      <c r="B46" s="152" t="s">
        <v>68</v>
      </c>
      <c r="C46" s="262"/>
      <c r="D46" s="262"/>
      <c r="E46" s="262"/>
      <c r="F46" s="262"/>
      <c r="G46" s="262"/>
      <c r="H46" s="262"/>
      <c r="I46" s="262"/>
      <c r="J46" s="262"/>
      <c r="K46" s="262"/>
      <c r="M46" s="254">
        <f ca="1">IF(ISNUMBER(Diskonttaus!B27),Diskonttaus!B26*Kayttajahyodyt!M39+Diskonttaus!B27*Kayttajahyodyt!M44,Diskonttaus!B26*Kayttajahyodyt!M39)</f>
        <v>0</v>
      </c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</row>
    <row r="47" spans="1:34" s="247" customFormat="1" x14ac:dyDescent="0.3">
      <c r="A47"/>
      <c r="B47"/>
      <c r="C47"/>
      <c r="D47"/>
      <c r="E47"/>
      <c r="F47"/>
      <c r="G47"/>
      <c r="H47"/>
      <c r="I47"/>
      <c r="J47"/>
      <c r="K47"/>
      <c r="M47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  <c r="AG47" s="255"/>
    </row>
    <row r="48" spans="1:34" s="247" customFormat="1" x14ac:dyDescent="0.3">
      <c r="A48"/>
      <c r="B48"/>
      <c r="C48"/>
      <c r="D48"/>
      <c r="E48"/>
      <c r="F48"/>
      <c r="G48"/>
      <c r="H48"/>
      <c r="I48"/>
      <c r="J48"/>
      <c r="K48"/>
      <c r="N48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5"/>
    </row>
    <row r="49" spans="1:34" s="247" customFormat="1" x14ac:dyDescent="0.3">
      <c r="A49"/>
      <c r="B49"/>
      <c r="C49"/>
      <c r="D49"/>
      <c r="E49"/>
      <c r="F49"/>
      <c r="G49"/>
      <c r="H49"/>
      <c r="I49"/>
      <c r="J49"/>
      <c r="K49"/>
      <c r="N49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5"/>
      <c r="AH49" s="255"/>
    </row>
    <row r="50" spans="1:34" s="247" customFormat="1" x14ac:dyDescent="0.3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N50" s="132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</row>
    <row r="57" spans="1:34" ht="21" customHeight="1" x14ac:dyDescent="0.4">
      <c r="B57" s="145" t="s">
        <v>71</v>
      </c>
    </row>
    <row r="59" spans="1:34" ht="15" customHeight="1" thickBot="1" x14ac:dyDescent="0.35">
      <c r="B59" s="50" t="s">
        <v>72</v>
      </c>
    </row>
    <row r="60" spans="1:34" ht="15" customHeight="1" thickBot="1" x14ac:dyDescent="0.35">
      <c r="B60" s="40" t="s">
        <v>73</v>
      </c>
      <c r="C60" s="39" t="s">
        <v>74</v>
      </c>
      <c r="D60" s="36" t="s">
        <v>75</v>
      </c>
      <c r="E60" s="37" t="s">
        <v>76</v>
      </c>
    </row>
    <row r="61" spans="1:34" x14ac:dyDescent="0.3">
      <c r="B61" s="35" t="s">
        <v>57</v>
      </c>
      <c r="C61" s="178">
        <f>0.01*8.03</f>
        <v>8.0299999999999996E-2</v>
      </c>
      <c r="D61" s="179">
        <f>0.01*6.54</f>
        <v>6.54E-2</v>
      </c>
      <c r="E61" s="180">
        <f>0.01*14.57</f>
        <v>0.1457</v>
      </c>
    </row>
    <row r="62" spans="1:34" x14ac:dyDescent="0.3">
      <c r="B62" s="47" t="s">
        <v>77</v>
      </c>
      <c r="C62" s="181">
        <f>0.01*10.95</f>
        <v>0.1095</v>
      </c>
      <c r="D62" s="182">
        <f>0.01*8.05</f>
        <v>8.0500000000000002E-2</v>
      </c>
      <c r="E62" s="183">
        <f>0.01*19</f>
        <v>0.19</v>
      </c>
    </row>
    <row r="63" spans="1:34" x14ac:dyDescent="0.3">
      <c r="B63" s="47" t="s">
        <v>78</v>
      </c>
      <c r="C63" s="181">
        <f>0.01*32.09</f>
        <v>0.32090000000000002</v>
      </c>
      <c r="D63" s="182">
        <f>0.01*11.57</f>
        <v>0.11570000000000001</v>
      </c>
      <c r="E63" s="183">
        <f>0.01*43.66</f>
        <v>0.43659999999999999</v>
      </c>
    </row>
    <row r="64" spans="1:34" x14ac:dyDescent="0.3">
      <c r="B64" s="47" t="s">
        <v>79</v>
      </c>
      <c r="C64" s="181">
        <f>0.01*40.46</f>
        <v>0.40460000000000002</v>
      </c>
      <c r="D64" s="182">
        <f>0.01*10.79</f>
        <v>0.1079</v>
      </c>
      <c r="E64" s="183">
        <f>0.01*51.26</f>
        <v>0.51259999999999994</v>
      </c>
    </row>
    <row r="65" spans="2:17 16384:16384" ht="15" customHeight="1" thickBot="1" x14ac:dyDescent="0.35">
      <c r="B65" s="48" t="s">
        <v>80</v>
      </c>
      <c r="C65" s="184">
        <f>0.01*38.04</f>
        <v>0.38040000000000002</v>
      </c>
      <c r="D65" s="185">
        <f>0.01*11.02</f>
        <v>0.11019999999999999</v>
      </c>
      <c r="E65" s="186">
        <f>0.01*49.05</f>
        <v>0.49049999999999999</v>
      </c>
    </row>
    <row r="66" spans="2:17 16384:16384" x14ac:dyDescent="0.3">
      <c r="XFD66" s="49"/>
    </row>
    <row r="68" spans="2:17 16384:16384" ht="15" customHeight="1" thickBot="1" x14ac:dyDescent="0.35"/>
    <row r="69" spans="2:17 16384:16384" ht="15" customHeight="1" thickBot="1" x14ac:dyDescent="0.35">
      <c r="B69" s="40" t="s">
        <v>81</v>
      </c>
      <c r="C69" s="41">
        <f>Diskonttaus!B4</f>
        <v>2030</v>
      </c>
      <c r="D69" s="29"/>
      <c r="E69" s="29"/>
      <c r="H69" s="40" t="s">
        <v>82</v>
      </c>
      <c r="I69" s="41">
        <f>Diskonttaus!B4</f>
        <v>2030</v>
      </c>
      <c r="J69" s="29"/>
      <c r="K69" s="29"/>
      <c r="N69" s="40" t="s">
        <v>83</v>
      </c>
      <c r="O69" s="41">
        <f>Diskonttaus!B4</f>
        <v>2030</v>
      </c>
      <c r="P69" s="29"/>
      <c r="Q69" s="29"/>
    </row>
    <row r="70" spans="2:17 16384:16384" x14ac:dyDescent="0.3">
      <c r="B70" s="30" t="s">
        <v>57</v>
      </c>
      <c r="C70" s="33">
        <f>300*Ulkoisvaikutukset!O19</f>
        <v>0</v>
      </c>
      <c r="D70" s="31"/>
      <c r="E70" s="31"/>
      <c r="H70" s="35" t="s">
        <v>57</v>
      </c>
      <c r="I70" s="119">
        <f>$D61*C70</f>
        <v>0</v>
      </c>
      <c r="J70" s="120"/>
      <c r="K70" s="234"/>
      <c r="N70" s="35" t="s">
        <v>57</v>
      </c>
      <c r="O70" s="119">
        <f>$C61*C70</f>
        <v>0</v>
      </c>
      <c r="P70" s="120"/>
      <c r="Q70" s="234"/>
    </row>
    <row r="71" spans="2:17 16384:16384" x14ac:dyDescent="0.3">
      <c r="B71" s="44" t="s">
        <v>77</v>
      </c>
      <c r="C71" s="45">
        <f>300*(Ulkoisvaikutukset!O20)</f>
        <v>0</v>
      </c>
      <c r="D71" s="46"/>
      <c r="E71" s="46"/>
      <c r="H71" s="47" t="s">
        <v>77</v>
      </c>
      <c r="I71" s="121">
        <f>$D62*C71</f>
        <v>0</v>
      </c>
      <c r="J71" s="122"/>
      <c r="K71" s="235"/>
      <c r="N71" s="47" t="s">
        <v>77</v>
      </c>
      <c r="O71" s="121">
        <f>$C62*C71</f>
        <v>0</v>
      </c>
      <c r="P71" s="122"/>
      <c r="Q71" s="235"/>
    </row>
    <row r="72" spans="2:17 16384:16384" x14ac:dyDescent="0.3">
      <c r="B72" s="44" t="s">
        <v>78</v>
      </c>
      <c r="C72" s="45">
        <f>300*Ulkoisvaikutukset!O15</f>
        <v>0</v>
      </c>
      <c r="D72" s="46"/>
      <c r="E72" s="46"/>
      <c r="H72" s="47" t="s">
        <v>78</v>
      </c>
      <c r="I72" s="121">
        <f>$D63*C72</f>
        <v>0</v>
      </c>
      <c r="J72" s="122"/>
      <c r="K72" s="235"/>
      <c r="N72" s="47" t="s">
        <v>78</v>
      </c>
      <c r="O72" s="121">
        <f>$C63*C72</f>
        <v>0</v>
      </c>
      <c r="P72" s="122"/>
      <c r="Q72" s="235"/>
    </row>
    <row r="73" spans="2:17 16384:16384" x14ac:dyDescent="0.3">
      <c r="B73" s="44" t="s">
        <v>79</v>
      </c>
      <c r="C73" s="45">
        <f>300*Ulkoisvaikutukset!O21</f>
        <v>0</v>
      </c>
      <c r="D73" s="46"/>
      <c r="E73" s="46"/>
      <c r="H73" s="47" t="s">
        <v>79</v>
      </c>
      <c r="I73" s="121">
        <f>$D64*C73</f>
        <v>0</v>
      </c>
      <c r="J73" s="122"/>
      <c r="K73" s="235"/>
      <c r="N73" s="47" t="s">
        <v>79</v>
      </c>
      <c r="O73" s="121">
        <f>$C64*C73</f>
        <v>0</v>
      </c>
      <c r="P73" s="122"/>
      <c r="Q73" s="235"/>
    </row>
    <row r="74" spans="2:17 16384:16384" ht="15" customHeight="1" thickBot="1" x14ac:dyDescent="0.35">
      <c r="B74" s="42" t="s">
        <v>80</v>
      </c>
      <c r="C74" s="34">
        <f>300*Ulkoisvaikutukset!O22</f>
        <v>0</v>
      </c>
      <c r="D74" s="43"/>
      <c r="E74" s="43"/>
      <c r="H74" s="48" t="s">
        <v>80</v>
      </c>
      <c r="I74" s="123">
        <f>$D65*C74</f>
        <v>0</v>
      </c>
      <c r="J74" s="124"/>
      <c r="K74" s="236"/>
      <c r="N74" s="48" t="s">
        <v>80</v>
      </c>
      <c r="O74" s="123">
        <f>$C65*C74</f>
        <v>0</v>
      </c>
      <c r="P74" s="124"/>
      <c r="Q74" s="236"/>
    </row>
    <row r="75" spans="2:17 16384:16384" ht="15" customHeight="1" thickBot="1" x14ac:dyDescent="0.35">
      <c r="H75" s="10" t="s">
        <v>76</v>
      </c>
      <c r="I75" s="125">
        <f>SUM(I70:I74)</f>
        <v>0</v>
      </c>
      <c r="J75" s="125"/>
      <c r="K75" s="125"/>
      <c r="M75" s="33"/>
      <c r="N75" s="10" t="s">
        <v>76</v>
      </c>
      <c r="O75" s="125">
        <f>SUM(O70:O74)</f>
        <v>0</v>
      </c>
      <c r="P75" s="125"/>
      <c r="Q75" s="125"/>
    </row>
    <row r="76" spans="2:17 16384:16384" ht="15" customHeight="1" thickBot="1" x14ac:dyDescent="0.35">
      <c r="B76" s="40" t="s">
        <v>81</v>
      </c>
      <c r="C76" s="41">
        <f>Diskonttaus!B6</f>
        <v>2050</v>
      </c>
      <c r="D76" s="29"/>
      <c r="E76" s="29"/>
      <c r="H76" s="40" t="s">
        <v>82</v>
      </c>
      <c r="I76" s="41">
        <f>Diskonttaus!B6</f>
        <v>2050</v>
      </c>
      <c r="J76" s="29"/>
      <c r="K76" s="29"/>
      <c r="N76" s="40" t="s">
        <v>83</v>
      </c>
      <c r="O76" s="41">
        <f>Diskonttaus!B6</f>
        <v>2050</v>
      </c>
      <c r="P76" s="29"/>
      <c r="Q76" s="29"/>
    </row>
    <row r="77" spans="2:17 16384:16384" x14ac:dyDescent="0.3">
      <c r="B77" s="30" t="s">
        <v>57</v>
      </c>
      <c r="C77" s="33">
        <f>300*Ulkoisvaikutukset!O32</f>
        <v>0</v>
      </c>
      <c r="D77" s="38"/>
      <c r="E77" s="38"/>
      <c r="H77" s="35" t="s">
        <v>57</v>
      </c>
      <c r="I77" s="119">
        <f>$D61*C77</f>
        <v>0</v>
      </c>
      <c r="J77" s="120"/>
      <c r="K77" s="234"/>
      <c r="N77" s="35" t="s">
        <v>57</v>
      </c>
      <c r="O77" s="119">
        <f>$C61*C77</f>
        <v>0</v>
      </c>
      <c r="P77" s="120"/>
      <c r="Q77" s="234"/>
    </row>
    <row r="78" spans="2:17 16384:16384" x14ac:dyDescent="0.3">
      <c r="B78" s="44" t="s">
        <v>77</v>
      </c>
      <c r="C78" s="45">
        <f>300*Ulkoisvaikutukset!O33</f>
        <v>0</v>
      </c>
      <c r="D78" s="9"/>
      <c r="E78" s="9"/>
      <c r="H78" s="47" t="s">
        <v>77</v>
      </c>
      <c r="I78" s="121">
        <f>$D62*C78</f>
        <v>0</v>
      </c>
      <c r="J78" s="122"/>
      <c r="K78" s="235"/>
      <c r="N78" s="47" t="s">
        <v>77</v>
      </c>
      <c r="O78" s="121">
        <f>$C62*C78</f>
        <v>0</v>
      </c>
      <c r="P78" s="122"/>
      <c r="Q78" s="235"/>
    </row>
    <row r="79" spans="2:17 16384:16384" x14ac:dyDescent="0.3">
      <c r="B79" s="44" t="s">
        <v>78</v>
      </c>
      <c r="C79" s="45">
        <f>300*Ulkoisvaikutukset!O28</f>
        <v>0</v>
      </c>
      <c r="D79" s="9"/>
      <c r="E79" s="9"/>
      <c r="H79" s="47" t="s">
        <v>78</v>
      </c>
      <c r="I79" s="121">
        <f>$D63*C79</f>
        <v>0</v>
      </c>
      <c r="J79" s="122"/>
      <c r="K79" s="235"/>
      <c r="N79" s="47" t="s">
        <v>78</v>
      </c>
      <c r="O79" s="121">
        <f>$C63*C79</f>
        <v>0</v>
      </c>
      <c r="P79" s="122"/>
      <c r="Q79" s="235"/>
    </row>
    <row r="80" spans="2:17 16384:16384" x14ac:dyDescent="0.3">
      <c r="B80" s="44" t="s">
        <v>79</v>
      </c>
      <c r="C80" s="45">
        <f>300*Ulkoisvaikutukset!O34</f>
        <v>0</v>
      </c>
      <c r="D80" s="9"/>
      <c r="E80" s="9"/>
      <c r="H80" s="47" t="s">
        <v>79</v>
      </c>
      <c r="I80" s="121">
        <f>$D64*C80</f>
        <v>0</v>
      </c>
      <c r="J80" s="122"/>
      <c r="K80" s="235"/>
      <c r="N80" s="47" t="s">
        <v>79</v>
      </c>
      <c r="O80" s="121">
        <f>$C64*C80</f>
        <v>0</v>
      </c>
      <c r="P80" s="122"/>
      <c r="Q80" s="235"/>
    </row>
    <row r="81" spans="2:17" ht="15" customHeight="1" thickBot="1" x14ac:dyDescent="0.35">
      <c r="B81" s="42" t="s">
        <v>80</v>
      </c>
      <c r="C81" s="34">
        <f>300*Ulkoisvaikutukset!O35</f>
        <v>0</v>
      </c>
      <c r="D81" s="32"/>
      <c r="E81" s="32"/>
      <c r="H81" s="48" t="s">
        <v>80</v>
      </c>
      <c r="I81" s="123">
        <f>$D65*C81</f>
        <v>0</v>
      </c>
      <c r="J81" s="124"/>
      <c r="K81" s="236"/>
      <c r="N81" s="48" t="s">
        <v>80</v>
      </c>
      <c r="O81" s="123">
        <f>$C65*C81</f>
        <v>0</v>
      </c>
      <c r="P81" s="124"/>
      <c r="Q81" s="236"/>
    </row>
    <row r="82" spans="2:17" x14ac:dyDescent="0.3">
      <c r="B82" s="10"/>
      <c r="C82" s="118"/>
      <c r="D82" s="33"/>
      <c r="E82" s="33"/>
      <c r="G82" s="33"/>
      <c r="H82" s="10" t="s">
        <v>76</v>
      </c>
      <c r="I82" s="125">
        <f>SUM(I77:I81)</f>
        <v>0</v>
      </c>
      <c r="J82" s="125"/>
      <c r="K82" s="125"/>
      <c r="M82" s="33"/>
      <c r="N82" s="10" t="s">
        <v>76</v>
      </c>
      <c r="O82" s="125">
        <f>SUM(O77:O81)</f>
        <v>0</v>
      </c>
      <c r="P82" s="125"/>
      <c r="Q82" s="125"/>
    </row>
    <row r="85" spans="2:17" x14ac:dyDescent="0.3">
      <c r="B85" s="10" t="s">
        <v>84</v>
      </c>
    </row>
    <row r="88" spans="2:17" x14ac:dyDescent="0.3">
      <c r="B88" s="26"/>
    </row>
    <row r="92" spans="2:17" x14ac:dyDescent="0.3">
      <c r="B92" s="33"/>
    </row>
    <row r="93" spans="2:17" x14ac:dyDescent="0.3">
      <c r="B93" s="33"/>
    </row>
    <row r="98" s="133" customForma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2" sqref="B2"/>
    </sheetView>
  </sheetViews>
  <sheetFormatPr defaultRowHeight="14.4" x14ac:dyDescent="0.3"/>
  <cols>
    <col min="1" max="1" width="17" bestFit="1" customWidth="1"/>
    <col min="2" max="5" width="9.21875" customWidth="1"/>
    <col min="6" max="6" width="10.88671875" bestFit="1" customWidth="1"/>
  </cols>
  <sheetData>
    <row r="1" spans="1:6" x14ac:dyDescent="0.3">
      <c r="A1" t="s">
        <v>57</v>
      </c>
      <c r="B1" t="s">
        <v>183</v>
      </c>
    </row>
    <row r="6" spans="1:6" ht="15" thickBot="1" x14ac:dyDescent="0.35"/>
    <row r="7" spans="1:6" ht="15" thickBot="1" x14ac:dyDescent="0.35">
      <c r="A7" s="110"/>
      <c r="B7" s="39" t="s">
        <v>61</v>
      </c>
      <c r="C7" s="36" t="s">
        <v>62</v>
      </c>
      <c r="D7" s="36" t="s">
        <v>63</v>
      </c>
      <c r="E7" s="37" t="s">
        <v>64</v>
      </c>
      <c r="F7" s="70" t="s">
        <v>65</v>
      </c>
    </row>
    <row r="8" spans="1:6" x14ac:dyDescent="0.3">
      <c r="A8" s="62"/>
      <c r="B8" s="163">
        <v>0.47</v>
      </c>
      <c r="C8" s="164">
        <v>0.09</v>
      </c>
      <c r="D8" s="164">
        <v>0.38</v>
      </c>
      <c r="E8" s="82"/>
      <c r="F8" s="172"/>
    </row>
    <row r="9" spans="1:6" x14ac:dyDescent="0.3">
      <c r="A9" s="47" t="s">
        <v>66</v>
      </c>
      <c r="B9" s="159"/>
      <c r="C9" s="160"/>
      <c r="D9" s="160"/>
      <c r="E9" s="148">
        <f>B9/B$8+C9/C$8+D9/D$8</f>
        <v>0</v>
      </c>
      <c r="F9" s="117">
        <f>E9/60*300</f>
        <v>0</v>
      </c>
    </row>
    <row r="10" spans="1:6" ht="15" thickBot="1" x14ac:dyDescent="0.35">
      <c r="A10" s="63" t="s">
        <v>67</v>
      </c>
      <c r="B10" s="159"/>
      <c r="C10" s="160"/>
      <c r="D10" s="160"/>
      <c r="E10" s="148">
        <f>B10/B$8+C10/C$8+D10/D$8</f>
        <v>0</v>
      </c>
      <c r="F10" s="117">
        <f>E10/60*300</f>
        <v>0</v>
      </c>
    </row>
    <row r="11" spans="1:6" ht="15" thickBot="1" x14ac:dyDescent="0.35">
      <c r="A11" s="79" t="s">
        <v>11</v>
      </c>
      <c r="B11" s="88">
        <f>B9+B10</f>
        <v>0</v>
      </c>
      <c r="C11" s="171">
        <f>C9+C10</f>
        <v>0</v>
      </c>
      <c r="D11" s="171">
        <f>D9+D10</f>
        <v>0</v>
      </c>
      <c r="E11" s="171">
        <f>B11/B$8+C11/C$8+D11/D$8</f>
        <v>0</v>
      </c>
      <c r="F11" s="173">
        <f>E11/60*300</f>
        <v>0</v>
      </c>
    </row>
    <row r="12" spans="1:6" ht="15" thickBot="1" x14ac:dyDescent="0.35">
      <c r="A12" s="110"/>
      <c r="B12" s="39" t="s">
        <v>61</v>
      </c>
      <c r="C12" s="36" t="s">
        <v>62</v>
      </c>
      <c r="D12" s="36" t="s">
        <v>63</v>
      </c>
      <c r="E12" s="37" t="s">
        <v>64</v>
      </c>
      <c r="F12" s="70" t="s">
        <v>65</v>
      </c>
    </row>
    <row r="13" spans="1:6" x14ac:dyDescent="0.3">
      <c r="A13" s="62" t="s">
        <v>57</v>
      </c>
      <c r="B13" s="163">
        <v>0.47</v>
      </c>
      <c r="C13" s="164">
        <v>0.09</v>
      </c>
      <c r="D13" s="164">
        <v>0.38</v>
      </c>
      <c r="E13" s="82"/>
      <c r="F13" s="172"/>
    </row>
    <row r="14" spans="1:6" x14ac:dyDescent="0.3">
      <c r="A14" s="47" t="s">
        <v>66</v>
      </c>
      <c r="B14" s="159"/>
      <c r="C14" s="160"/>
      <c r="D14" s="160"/>
      <c r="E14" s="148">
        <f>B14/B$8+C14/C$8+D14/D$8</f>
        <v>0</v>
      </c>
      <c r="F14" s="117">
        <f>E14/60*300</f>
        <v>0</v>
      </c>
    </row>
    <row r="15" spans="1:6" ht="15" thickBot="1" x14ac:dyDescent="0.35">
      <c r="A15" s="63" t="s">
        <v>67</v>
      </c>
      <c r="B15" s="159"/>
      <c r="C15" s="160"/>
      <c r="D15" s="160"/>
      <c r="E15" s="148">
        <f>B15/B$8+C15/C$8+D15/D$8</f>
        <v>0</v>
      </c>
      <c r="F15" s="117">
        <f>E15/60*300</f>
        <v>0</v>
      </c>
    </row>
    <row r="16" spans="1:6" ht="15" thickBot="1" x14ac:dyDescent="0.35">
      <c r="A16" s="79" t="s">
        <v>11</v>
      </c>
      <c r="B16" s="88">
        <f>B14+B15</f>
        <v>0</v>
      </c>
      <c r="C16" s="171">
        <f>C14+C15</f>
        <v>0</v>
      </c>
      <c r="D16" s="171">
        <f>D14+D15</f>
        <v>0</v>
      </c>
      <c r="E16" s="171">
        <f>B16/B$8+C16/C$8+D16/D$8</f>
        <v>0</v>
      </c>
      <c r="F16" s="173">
        <f>E16/60*300</f>
        <v>0</v>
      </c>
    </row>
    <row r="19" spans="1:6" ht="15" thickBot="1" x14ac:dyDescent="0.35"/>
    <row r="20" spans="1:6" ht="15" thickBot="1" x14ac:dyDescent="0.35">
      <c r="A20" s="110"/>
      <c r="B20" s="39" t="s">
        <v>61</v>
      </c>
      <c r="C20" s="36" t="s">
        <v>62</v>
      </c>
      <c r="D20" s="36" t="s">
        <v>63</v>
      </c>
      <c r="E20" s="37" t="s">
        <v>64</v>
      </c>
      <c r="F20" s="80" t="s">
        <v>65</v>
      </c>
    </row>
    <row r="21" spans="1:6" x14ac:dyDescent="0.3">
      <c r="A21" s="62"/>
      <c r="B21" s="165">
        <v>0.47</v>
      </c>
      <c r="C21" s="166">
        <v>0.09</v>
      </c>
      <c r="D21" s="166">
        <v>0.38</v>
      </c>
      <c r="E21" s="52"/>
      <c r="F21" s="53"/>
    </row>
    <row r="22" spans="1:6" x14ac:dyDescent="0.3">
      <c r="A22" s="47" t="s">
        <v>66</v>
      </c>
      <c r="B22" s="161"/>
      <c r="C22" s="162"/>
      <c r="D22" s="162"/>
      <c r="E22" s="69">
        <f>B22/B$21+C22/C$21+D22/D$21</f>
        <v>0</v>
      </c>
      <c r="F22" s="87">
        <f>E22/60*300</f>
        <v>0</v>
      </c>
    </row>
    <row r="23" spans="1:6" ht="15" thickBot="1" x14ac:dyDescent="0.35">
      <c r="A23" s="63" t="s">
        <v>67</v>
      </c>
      <c r="B23" s="161"/>
      <c r="C23" s="162"/>
      <c r="D23" s="162"/>
      <c r="E23" s="69">
        <f>B23/B$21+C23/C$21+D23/D$21</f>
        <v>0</v>
      </c>
      <c r="F23" s="87">
        <f>E23/60*300</f>
        <v>0</v>
      </c>
    </row>
    <row r="24" spans="1:6" ht="15" thickBot="1" x14ac:dyDescent="0.35">
      <c r="A24" s="79" t="s">
        <v>11</v>
      </c>
      <c r="B24" s="88">
        <f>B22+B23</f>
        <v>0</v>
      </c>
      <c r="C24" s="171">
        <f>C22+C23</f>
        <v>0</v>
      </c>
      <c r="D24" s="171">
        <f>D22+D23</f>
        <v>0</v>
      </c>
      <c r="E24" s="171">
        <f>B24/B$21+C24/C$21+D24/D$21</f>
        <v>0</v>
      </c>
      <c r="F24" s="89">
        <f>E24/60*300</f>
        <v>0</v>
      </c>
    </row>
    <row r="25" spans="1:6" ht="15" thickBot="1" x14ac:dyDescent="0.35">
      <c r="A25" s="110"/>
      <c r="B25" s="39" t="s">
        <v>61</v>
      </c>
      <c r="C25" s="36" t="s">
        <v>62</v>
      </c>
      <c r="D25" s="36" t="s">
        <v>63</v>
      </c>
      <c r="E25" s="37" t="s">
        <v>64</v>
      </c>
      <c r="F25" s="80" t="s">
        <v>65</v>
      </c>
    </row>
    <row r="26" spans="1:6" x14ac:dyDescent="0.3">
      <c r="A26" s="62" t="s">
        <v>57</v>
      </c>
      <c r="B26" s="165">
        <v>0.47</v>
      </c>
      <c r="C26" s="166">
        <v>0.09</v>
      </c>
      <c r="D26" s="166">
        <v>0.38</v>
      </c>
      <c r="E26" s="52"/>
      <c r="F26" s="53"/>
    </row>
    <row r="27" spans="1:6" x14ac:dyDescent="0.3">
      <c r="A27" s="47" t="s">
        <v>66</v>
      </c>
      <c r="B27" s="161"/>
      <c r="C27" s="162"/>
      <c r="D27" s="162"/>
      <c r="E27" s="69">
        <f>B27/B$21+C27/C$21+D27/D$21</f>
        <v>0</v>
      </c>
      <c r="F27" s="87">
        <f>E27/60*300</f>
        <v>0</v>
      </c>
    </row>
    <row r="28" spans="1:6" ht="15" thickBot="1" x14ac:dyDescent="0.35">
      <c r="A28" s="63" t="s">
        <v>67</v>
      </c>
      <c r="B28" s="161"/>
      <c r="C28" s="162"/>
      <c r="D28" s="162"/>
      <c r="E28" s="69">
        <f>B28/B$21+C28/C$21+D28/D$21</f>
        <v>0</v>
      </c>
      <c r="F28" s="87">
        <f>E28/60*300</f>
        <v>0</v>
      </c>
    </row>
    <row r="29" spans="1:6" ht="15" thickBot="1" x14ac:dyDescent="0.35">
      <c r="A29" s="79" t="s">
        <v>11</v>
      </c>
      <c r="B29" s="88">
        <f>B27+B28</f>
        <v>0</v>
      </c>
      <c r="C29" s="171">
        <f>C27+C28</f>
        <v>0</v>
      </c>
      <c r="D29" s="171">
        <f>D27+D28</f>
        <v>0</v>
      </c>
      <c r="E29" s="171">
        <f>B29/B$21+C29/C$21+D29/D$21</f>
        <v>0</v>
      </c>
      <c r="F29" s="89">
        <f>E29/60*300</f>
        <v>0</v>
      </c>
    </row>
    <row r="32" spans="1:6" x14ac:dyDescent="0.3">
      <c r="A32" s="111"/>
      <c r="B32" s="111"/>
      <c r="C32" s="111"/>
      <c r="D32" s="111"/>
      <c r="E32" s="111"/>
      <c r="F32" s="111"/>
    </row>
    <row r="33" spans="1:6" x14ac:dyDescent="0.3">
      <c r="A33" s="132"/>
      <c r="B33" s="132"/>
      <c r="C33" s="132"/>
      <c r="D33" s="132"/>
      <c r="E33" s="132"/>
      <c r="F33" s="132"/>
    </row>
    <row r="34" spans="1:6" ht="15" thickBot="1" x14ac:dyDescent="0.35"/>
    <row r="35" spans="1:6" ht="15" thickBot="1" x14ac:dyDescent="0.35">
      <c r="A35" s="110"/>
      <c r="B35" s="41" t="s">
        <v>61</v>
      </c>
      <c r="C35" s="61" t="s">
        <v>62</v>
      </c>
      <c r="D35" s="61" t="s">
        <v>63</v>
      </c>
      <c r="E35" s="61" t="s">
        <v>64</v>
      </c>
      <c r="F35" s="29" t="s">
        <v>65</v>
      </c>
    </row>
    <row r="36" spans="1:6" x14ac:dyDescent="0.3">
      <c r="A36" s="66"/>
      <c r="B36" s="167">
        <v>0.47</v>
      </c>
      <c r="C36" s="168">
        <v>0.09</v>
      </c>
      <c r="D36" s="168">
        <v>0.38</v>
      </c>
      <c r="E36" s="58"/>
      <c r="F36" s="59"/>
    </row>
    <row r="37" spans="1:6" x14ac:dyDescent="0.3">
      <c r="A37" s="44" t="s">
        <v>66</v>
      </c>
      <c r="B37" s="169"/>
      <c r="C37" s="162"/>
      <c r="D37" s="162"/>
      <c r="E37" s="69">
        <f>B37/B$36+C37/C$36+D37/D$36</f>
        <v>0</v>
      </c>
      <c r="F37" s="87">
        <f>E37*300</f>
        <v>0</v>
      </c>
    </row>
    <row r="38" spans="1:6" x14ac:dyDescent="0.3">
      <c r="A38" s="44" t="s">
        <v>67</v>
      </c>
      <c r="B38" s="169"/>
      <c r="C38" s="162"/>
      <c r="D38" s="162"/>
      <c r="E38" s="69">
        <f>B38/B$36+C38/C$36+D38/D$36</f>
        <v>0</v>
      </c>
      <c r="F38" s="87">
        <f>E38*300</f>
        <v>0</v>
      </c>
    </row>
    <row r="39" spans="1:6" ht="15" thickBot="1" x14ac:dyDescent="0.35">
      <c r="A39" s="67" t="s">
        <v>11</v>
      </c>
      <c r="B39" s="170">
        <f>B37+B38</f>
        <v>0</v>
      </c>
      <c r="C39" s="171">
        <f>C37+C38</f>
        <v>0</v>
      </c>
      <c r="D39" s="171">
        <f>D37+D38</f>
        <v>0</v>
      </c>
      <c r="E39" s="171">
        <f>B39/B$36+C39/C$36+D39/D$36</f>
        <v>0</v>
      </c>
      <c r="F39" s="89">
        <f>E39*300</f>
        <v>0</v>
      </c>
    </row>
    <row r="40" spans="1:6" ht="15" thickBot="1" x14ac:dyDescent="0.35">
      <c r="A40" s="110"/>
      <c r="B40" s="41" t="s">
        <v>61</v>
      </c>
      <c r="C40" s="61" t="s">
        <v>62</v>
      </c>
      <c r="D40" s="61" t="s">
        <v>63</v>
      </c>
      <c r="E40" s="61" t="s">
        <v>64</v>
      </c>
      <c r="F40" s="29" t="s">
        <v>65</v>
      </c>
    </row>
    <row r="41" spans="1:6" x14ac:dyDescent="0.3">
      <c r="A41" s="66"/>
      <c r="B41" s="167">
        <v>0.47</v>
      </c>
      <c r="C41" s="168">
        <v>0.09</v>
      </c>
      <c r="D41" s="168">
        <v>0.38</v>
      </c>
      <c r="E41" s="58"/>
      <c r="F41" s="59"/>
    </row>
    <row r="42" spans="1:6" x14ac:dyDescent="0.3">
      <c r="A42" s="44" t="s">
        <v>66</v>
      </c>
      <c r="B42" s="169"/>
      <c r="C42" s="162"/>
      <c r="D42" s="162"/>
      <c r="E42" s="69">
        <f>B42/B$36+C42/C$36+D42/D$36</f>
        <v>0</v>
      </c>
      <c r="F42" s="87">
        <f>E42*300</f>
        <v>0</v>
      </c>
    </row>
    <row r="43" spans="1:6" x14ac:dyDescent="0.3">
      <c r="A43" s="44" t="s">
        <v>67</v>
      </c>
      <c r="B43" s="169"/>
      <c r="C43" s="162"/>
      <c r="D43" s="162"/>
      <c r="E43" s="69">
        <f>B43/B$36+C43/C$36+D43/D$36</f>
        <v>0</v>
      </c>
      <c r="F43" s="87">
        <f>E43*300</f>
        <v>0</v>
      </c>
    </row>
    <row r="44" spans="1:6" ht="15" thickBot="1" x14ac:dyDescent="0.35">
      <c r="A44" s="67" t="s">
        <v>11</v>
      </c>
      <c r="B44" s="170">
        <f>B42+B43</f>
        <v>0</v>
      </c>
      <c r="C44" s="171">
        <f>C42+C43</f>
        <v>0</v>
      </c>
      <c r="D44" s="171">
        <f>D42+D43</f>
        <v>0</v>
      </c>
      <c r="E44" s="171">
        <f>B44/B$36+C44/C$36+D44/D$36</f>
        <v>0</v>
      </c>
      <c r="F44" s="89">
        <f>E44*300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2" sqref="B2"/>
    </sheetView>
  </sheetViews>
  <sheetFormatPr defaultRowHeight="14.4" x14ac:dyDescent="0.3"/>
  <cols>
    <col min="1" max="1" width="17" bestFit="1" customWidth="1"/>
    <col min="2" max="5" width="9.21875" customWidth="1"/>
    <col min="6" max="6" width="10.88671875" bestFit="1" customWidth="1"/>
  </cols>
  <sheetData>
    <row r="1" spans="1:6" x14ac:dyDescent="0.3">
      <c r="A1" t="s">
        <v>57</v>
      </c>
      <c r="B1" t="s">
        <v>185</v>
      </c>
    </row>
    <row r="6" spans="1:6" ht="15" thickBot="1" x14ac:dyDescent="0.35"/>
    <row r="7" spans="1:6" ht="15" thickBot="1" x14ac:dyDescent="0.35">
      <c r="A7" s="110"/>
      <c r="B7" s="39" t="s">
        <v>61</v>
      </c>
      <c r="C7" s="36" t="s">
        <v>62</v>
      </c>
      <c r="D7" s="36" t="s">
        <v>63</v>
      </c>
      <c r="E7" s="37" t="s">
        <v>64</v>
      </c>
      <c r="F7" s="70" t="s">
        <v>65</v>
      </c>
    </row>
    <row r="8" spans="1:6" x14ac:dyDescent="0.3">
      <c r="A8" s="62"/>
      <c r="B8" s="163">
        <v>0.47</v>
      </c>
      <c r="C8" s="164">
        <v>0.09</v>
      </c>
      <c r="D8" s="164">
        <v>0.38</v>
      </c>
      <c r="E8" s="82"/>
      <c r="F8" s="172"/>
    </row>
    <row r="9" spans="1:6" x14ac:dyDescent="0.3">
      <c r="A9" s="47" t="s">
        <v>66</v>
      </c>
      <c r="B9" s="159"/>
      <c r="C9" s="160"/>
      <c r="D9" s="160"/>
      <c r="E9" s="148">
        <f>B9/B$8+C9/C$8+D9/D$8</f>
        <v>0</v>
      </c>
      <c r="F9" s="117">
        <f>E9/60*300</f>
        <v>0</v>
      </c>
    </row>
    <row r="10" spans="1:6" ht="15" thickBot="1" x14ac:dyDescent="0.35">
      <c r="A10" s="63" t="s">
        <v>67</v>
      </c>
      <c r="B10" s="159"/>
      <c r="C10" s="160"/>
      <c r="D10" s="160"/>
      <c r="E10" s="148">
        <f>B10/B$8+C10/C$8+D10/D$8</f>
        <v>0</v>
      </c>
      <c r="F10" s="117">
        <f>E10/60*300</f>
        <v>0</v>
      </c>
    </row>
    <row r="11" spans="1:6" ht="15" thickBot="1" x14ac:dyDescent="0.35">
      <c r="A11" s="79" t="s">
        <v>11</v>
      </c>
      <c r="B11" s="88">
        <f>B9+B10</f>
        <v>0</v>
      </c>
      <c r="C11" s="171">
        <f>C9+C10</f>
        <v>0</v>
      </c>
      <c r="D11" s="171">
        <f>D9+D10</f>
        <v>0</v>
      </c>
      <c r="E11" s="171">
        <f>B11/B$8+C11/C$8+D11/D$8</f>
        <v>0</v>
      </c>
      <c r="F11" s="173">
        <f>E11/60*300</f>
        <v>0</v>
      </c>
    </row>
    <row r="12" spans="1:6" ht="15" thickBot="1" x14ac:dyDescent="0.35">
      <c r="A12" s="110"/>
      <c r="B12" s="39" t="s">
        <v>61</v>
      </c>
      <c r="C12" s="36" t="s">
        <v>62</v>
      </c>
      <c r="D12" s="36" t="s">
        <v>63</v>
      </c>
      <c r="E12" s="37" t="s">
        <v>64</v>
      </c>
      <c r="F12" s="70" t="s">
        <v>65</v>
      </c>
    </row>
    <row r="13" spans="1:6" x14ac:dyDescent="0.3">
      <c r="A13" s="62" t="s">
        <v>57</v>
      </c>
      <c r="B13" s="163">
        <v>0.47</v>
      </c>
      <c r="C13" s="164">
        <v>0.09</v>
      </c>
      <c r="D13" s="164">
        <v>0.38</v>
      </c>
      <c r="E13" s="82"/>
      <c r="F13" s="172"/>
    </row>
    <row r="14" spans="1:6" x14ac:dyDescent="0.3">
      <c r="A14" s="47" t="s">
        <v>66</v>
      </c>
      <c r="B14" s="159"/>
      <c r="C14" s="160"/>
      <c r="D14" s="160"/>
      <c r="E14" s="148">
        <f>B14/B$8+C14/C$8+D14/D$8</f>
        <v>0</v>
      </c>
      <c r="F14" s="117">
        <f>E14/60*300</f>
        <v>0</v>
      </c>
    </row>
    <row r="15" spans="1:6" ht="15" thickBot="1" x14ac:dyDescent="0.35">
      <c r="A15" s="63" t="s">
        <v>67</v>
      </c>
      <c r="B15" s="159"/>
      <c r="C15" s="160"/>
      <c r="D15" s="160"/>
      <c r="E15" s="148">
        <f>B15/B$8+C15/C$8+D15/D$8</f>
        <v>0</v>
      </c>
      <c r="F15" s="117">
        <f>E15/60*300</f>
        <v>0</v>
      </c>
    </row>
    <row r="16" spans="1:6" ht="15" thickBot="1" x14ac:dyDescent="0.35">
      <c r="A16" s="79" t="s">
        <v>11</v>
      </c>
      <c r="B16" s="88">
        <f>B14+B15</f>
        <v>0</v>
      </c>
      <c r="C16" s="171">
        <f>C14+C15</f>
        <v>0</v>
      </c>
      <c r="D16" s="171">
        <f>D14+D15</f>
        <v>0</v>
      </c>
      <c r="E16" s="171">
        <f>B16/B$8+C16/C$8+D16/D$8</f>
        <v>0</v>
      </c>
      <c r="F16" s="173">
        <f>E16/60*300</f>
        <v>0</v>
      </c>
    </row>
    <row r="19" spans="1:6" ht="15" thickBot="1" x14ac:dyDescent="0.35"/>
    <row r="20" spans="1:6" ht="15" thickBot="1" x14ac:dyDescent="0.35">
      <c r="A20" s="110"/>
      <c r="B20" s="39" t="s">
        <v>61</v>
      </c>
      <c r="C20" s="36" t="s">
        <v>62</v>
      </c>
      <c r="D20" s="36" t="s">
        <v>63</v>
      </c>
      <c r="E20" s="37" t="s">
        <v>64</v>
      </c>
      <c r="F20" s="80" t="s">
        <v>65</v>
      </c>
    </row>
    <row r="21" spans="1:6" x14ac:dyDescent="0.3">
      <c r="A21" s="62"/>
      <c r="B21" s="165">
        <v>0.47</v>
      </c>
      <c r="C21" s="166">
        <v>0.09</v>
      </c>
      <c r="D21" s="166">
        <v>0.38</v>
      </c>
      <c r="E21" s="52"/>
      <c r="F21" s="53"/>
    </row>
    <row r="22" spans="1:6" x14ac:dyDescent="0.3">
      <c r="A22" s="47" t="s">
        <v>66</v>
      </c>
      <c r="B22" s="161"/>
      <c r="C22" s="162"/>
      <c r="D22" s="162"/>
      <c r="E22" s="69">
        <f>B22/B$21+C22/C$21+D22/D$21</f>
        <v>0</v>
      </c>
      <c r="F22" s="87">
        <f>E22/60*300</f>
        <v>0</v>
      </c>
    </row>
    <row r="23" spans="1:6" ht="15" thickBot="1" x14ac:dyDescent="0.35">
      <c r="A23" s="63" t="s">
        <v>67</v>
      </c>
      <c r="B23" s="161"/>
      <c r="C23" s="162"/>
      <c r="D23" s="162"/>
      <c r="E23" s="69">
        <f>B23/B$21+C23/C$21+D23/D$21</f>
        <v>0</v>
      </c>
      <c r="F23" s="87">
        <f>E23/60*300</f>
        <v>0</v>
      </c>
    </row>
    <row r="24" spans="1:6" ht="15" thickBot="1" x14ac:dyDescent="0.35">
      <c r="A24" s="79" t="s">
        <v>11</v>
      </c>
      <c r="B24" s="88">
        <f>B22+B23</f>
        <v>0</v>
      </c>
      <c r="C24" s="171">
        <f>C22+C23</f>
        <v>0</v>
      </c>
      <c r="D24" s="171">
        <f>D22+D23</f>
        <v>0</v>
      </c>
      <c r="E24" s="171">
        <f>B24/B$21+C24/C$21+D24/D$21</f>
        <v>0</v>
      </c>
      <c r="F24" s="89">
        <f>E24/60*300</f>
        <v>0</v>
      </c>
    </row>
    <row r="25" spans="1:6" ht="15" thickBot="1" x14ac:dyDescent="0.35">
      <c r="A25" s="110"/>
      <c r="B25" s="39" t="s">
        <v>61</v>
      </c>
      <c r="C25" s="36" t="s">
        <v>62</v>
      </c>
      <c r="D25" s="36" t="s">
        <v>63</v>
      </c>
      <c r="E25" s="37" t="s">
        <v>64</v>
      </c>
      <c r="F25" s="80" t="s">
        <v>65</v>
      </c>
    </row>
    <row r="26" spans="1:6" x14ac:dyDescent="0.3">
      <c r="A26" s="62" t="s">
        <v>57</v>
      </c>
      <c r="B26" s="165">
        <v>0.47</v>
      </c>
      <c r="C26" s="166">
        <v>0.09</v>
      </c>
      <c r="D26" s="166">
        <v>0.38</v>
      </c>
      <c r="E26" s="52"/>
      <c r="F26" s="53"/>
    </row>
    <row r="27" spans="1:6" x14ac:dyDescent="0.3">
      <c r="A27" s="47" t="s">
        <v>66</v>
      </c>
      <c r="B27" s="161"/>
      <c r="C27" s="162"/>
      <c r="D27" s="162"/>
      <c r="E27" s="69">
        <f>B27/B$21+C27/C$21+D27/D$21</f>
        <v>0</v>
      </c>
      <c r="F27" s="87">
        <f>E27/60*300</f>
        <v>0</v>
      </c>
    </row>
    <row r="28" spans="1:6" ht="15" thickBot="1" x14ac:dyDescent="0.35">
      <c r="A28" s="63" t="s">
        <v>67</v>
      </c>
      <c r="B28" s="161"/>
      <c r="C28" s="162"/>
      <c r="D28" s="162"/>
      <c r="E28" s="69">
        <f>B28/B$21+C28/C$21+D28/D$21</f>
        <v>0</v>
      </c>
      <c r="F28" s="87">
        <f>E28/60*300</f>
        <v>0</v>
      </c>
    </row>
    <row r="29" spans="1:6" ht="15" thickBot="1" x14ac:dyDescent="0.35">
      <c r="A29" s="79" t="s">
        <v>11</v>
      </c>
      <c r="B29" s="88">
        <f>B27+B28</f>
        <v>0</v>
      </c>
      <c r="C29" s="171">
        <f>C27+C28</f>
        <v>0</v>
      </c>
      <c r="D29" s="171">
        <f>D27+D28</f>
        <v>0</v>
      </c>
      <c r="E29" s="171">
        <f>B29/B$21+C29/C$21+D29/D$21</f>
        <v>0</v>
      </c>
      <c r="F29" s="89">
        <f>E29/60*300</f>
        <v>0</v>
      </c>
    </row>
    <row r="32" spans="1:6" x14ac:dyDescent="0.3">
      <c r="A32" s="111"/>
      <c r="B32" s="111"/>
      <c r="C32" s="111"/>
      <c r="D32" s="111"/>
      <c r="E32" s="111"/>
      <c r="F32" s="111"/>
    </row>
    <row r="33" spans="1:6" x14ac:dyDescent="0.3">
      <c r="A33" s="132"/>
      <c r="B33" s="132"/>
      <c r="C33" s="132"/>
      <c r="D33" s="132"/>
      <c r="E33" s="132"/>
      <c r="F33" s="132"/>
    </row>
    <row r="34" spans="1:6" ht="15" thickBot="1" x14ac:dyDescent="0.35"/>
    <row r="35" spans="1:6" ht="15" thickBot="1" x14ac:dyDescent="0.35">
      <c r="A35" s="110"/>
      <c r="B35" s="41" t="s">
        <v>61</v>
      </c>
      <c r="C35" s="61" t="s">
        <v>62</v>
      </c>
      <c r="D35" s="61" t="s">
        <v>63</v>
      </c>
      <c r="E35" s="61" t="s">
        <v>64</v>
      </c>
      <c r="F35" s="29" t="s">
        <v>65</v>
      </c>
    </row>
    <row r="36" spans="1:6" x14ac:dyDescent="0.3">
      <c r="A36" s="66"/>
      <c r="B36" s="167">
        <v>0.47</v>
      </c>
      <c r="C36" s="168">
        <v>0.09</v>
      </c>
      <c r="D36" s="168">
        <v>0.38</v>
      </c>
      <c r="E36" s="58"/>
      <c r="F36" s="59"/>
    </row>
    <row r="37" spans="1:6" x14ac:dyDescent="0.3">
      <c r="A37" s="44" t="s">
        <v>66</v>
      </c>
      <c r="B37" s="169"/>
      <c r="C37" s="162"/>
      <c r="D37" s="162"/>
      <c r="E37" s="69">
        <f>B37/B$36+C37/C$36+D37/D$36</f>
        <v>0</v>
      </c>
      <c r="F37" s="87">
        <f>E37*300</f>
        <v>0</v>
      </c>
    </row>
    <row r="38" spans="1:6" x14ac:dyDescent="0.3">
      <c r="A38" s="44" t="s">
        <v>67</v>
      </c>
      <c r="B38" s="169"/>
      <c r="C38" s="162"/>
      <c r="D38" s="162"/>
      <c r="E38" s="69">
        <f>B38/B$36+C38/C$36+D38/D$36</f>
        <v>0</v>
      </c>
      <c r="F38" s="87">
        <f>E38*300</f>
        <v>0</v>
      </c>
    </row>
    <row r="39" spans="1:6" ht="15" thickBot="1" x14ac:dyDescent="0.35">
      <c r="A39" s="67" t="s">
        <v>11</v>
      </c>
      <c r="B39" s="170">
        <f>B37+B38</f>
        <v>0</v>
      </c>
      <c r="C39" s="171">
        <f>C37+C38</f>
        <v>0</v>
      </c>
      <c r="D39" s="171">
        <f>D37+D38</f>
        <v>0</v>
      </c>
      <c r="E39" s="171">
        <f>B39/B$36+C39/C$36+D39/D$36</f>
        <v>0</v>
      </c>
      <c r="F39" s="89">
        <f>E39*300</f>
        <v>0</v>
      </c>
    </row>
    <row r="40" spans="1:6" ht="15" thickBot="1" x14ac:dyDescent="0.35">
      <c r="A40" s="110"/>
      <c r="B40" s="41" t="s">
        <v>61</v>
      </c>
      <c r="C40" s="61" t="s">
        <v>62</v>
      </c>
      <c r="D40" s="61" t="s">
        <v>63</v>
      </c>
      <c r="E40" s="61" t="s">
        <v>64</v>
      </c>
      <c r="F40" s="29" t="s">
        <v>65</v>
      </c>
    </row>
    <row r="41" spans="1:6" x14ac:dyDescent="0.3">
      <c r="A41" s="66"/>
      <c r="B41" s="167">
        <v>0.47</v>
      </c>
      <c r="C41" s="168">
        <v>0.09</v>
      </c>
      <c r="D41" s="168">
        <v>0.38</v>
      </c>
      <c r="E41" s="58"/>
      <c r="F41" s="59"/>
    </row>
    <row r="42" spans="1:6" x14ac:dyDescent="0.3">
      <c r="A42" s="44" t="s">
        <v>66</v>
      </c>
      <c r="B42" s="169"/>
      <c r="C42" s="162"/>
      <c r="D42" s="162"/>
      <c r="E42" s="69">
        <f>B42/B$36+C42/C$36+D42/D$36</f>
        <v>0</v>
      </c>
      <c r="F42" s="87">
        <f>E42*300</f>
        <v>0</v>
      </c>
    </row>
    <row r="43" spans="1:6" x14ac:dyDescent="0.3">
      <c r="A43" s="44" t="s">
        <v>67</v>
      </c>
      <c r="B43" s="169"/>
      <c r="C43" s="162"/>
      <c r="D43" s="162"/>
      <c r="E43" s="69">
        <f>B43/B$36+C43/C$36+D43/D$36</f>
        <v>0</v>
      </c>
      <c r="F43" s="87">
        <f>E43*300</f>
        <v>0</v>
      </c>
    </row>
    <row r="44" spans="1:6" ht="15" thickBot="1" x14ac:dyDescent="0.35">
      <c r="A44" s="67" t="s">
        <v>11</v>
      </c>
      <c r="B44" s="170">
        <f>B42+B43</f>
        <v>0</v>
      </c>
      <c r="C44" s="171">
        <f>C42+C43</f>
        <v>0</v>
      </c>
      <c r="D44" s="171">
        <f>D42+D43</f>
        <v>0</v>
      </c>
      <c r="E44" s="171">
        <f>B44/B$36+C44/C$36+D44/D$36</f>
        <v>0</v>
      </c>
      <c r="F44" s="89">
        <f>E44*300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2" sqref="A2"/>
    </sheetView>
  </sheetViews>
  <sheetFormatPr defaultRowHeight="14.4" x14ac:dyDescent="0.3"/>
  <cols>
    <col min="1" max="1" width="17" bestFit="1" customWidth="1"/>
    <col min="2" max="5" width="9.21875" customWidth="1"/>
    <col min="6" max="6" width="10.88671875" bestFit="1" customWidth="1"/>
  </cols>
  <sheetData>
    <row r="1" spans="1:6" x14ac:dyDescent="0.3">
      <c r="A1" t="s">
        <v>58</v>
      </c>
      <c r="B1" t="s">
        <v>183</v>
      </c>
    </row>
    <row r="6" spans="1:6" ht="15" thickBot="1" x14ac:dyDescent="0.35"/>
    <row r="7" spans="1:6" ht="15" thickBot="1" x14ac:dyDescent="0.35">
      <c r="A7" s="110"/>
      <c r="B7" s="39" t="s">
        <v>61</v>
      </c>
      <c r="C7" s="36" t="s">
        <v>62</v>
      </c>
      <c r="D7" s="36" t="s">
        <v>63</v>
      </c>
      <c r="E7" s="37" t="s">
        <v>64</v>
      </c>
      <c r="F7" s="70" t="s">
        <v>65</v>
      </c>
    </row>
    <row r="8" spans="1:6" x14ac:dyDescent="0.3">
      <c r="A8" s="62"/>
      <c r="B8" s="163">
        <v>0.47</v>
      </c>
      <c r="C8" s="164">
        <v>0.09</v>
      </c>
      <c r="D8" s="164">
        <v>0.38</v>
      </c>
      <c r="E8" s="82"/>
      <c r="F8" s="172"/>
    </row>
    <row r="9" spans="1:6" x14ac:dyDescent="0.3">
      <c r="A9" s="47" t="s">
        <v>66</v>
      </c>
      <c r="B9" s="159"/>
      <c r="C9" s="160"/>
      <c r="D9" s="160"/>
      <c r="E9" s="148">
        <f>B9/B$8+C9/C$8+D9/D$8</f>
        <v>0</v>
      </c>
      <c r="F9" s="117">
        <f>E9/60*300</f>
        <v>0</v>
      </c>
    </row>
    <row r="10" spans="1:6" ht="15" thickBot="1" x14ac:dyDescent="0.35">
      <c r="A10" s="63" t="s">
        <v>67</v>
      </c>
      <c r="B10" s="159"/>
      <c r="C10" s="160"/>
      <c r="D10" s="160"/>
      <c r="E10" s="148">
        <f>B10/B$8+C10/C$8+D10/D$8</f>
        <v>0</v>
      </c>
      <c r="F10" s="117">
        <f>E10/60*300</f>
        <v>0</v>
      </c>
    </row>
    <row r="11" spans="1:6" ht="15" thickBot="1" x14ac:dyDescent="0.35">
      <c r="A11" s="79" t="s">
        <v>11</v>
      </c>
      <c r="B11" s="88">
        <f>B9+B10</f>
        <v>0</v>
      </c>
      <c r="C11" s="171">
        <f>C9+C10</f>
        <v>0</v>
      </c>
      <c r="D11" s="171">
        <f>D9+D10</f>
        <v>0</v>
      </c>
      <c r="E11" s="171">
        <f>B11/B$8+C11/C$8+D11/D$8</f>
        <v>0</v>
      </c>
      <c r="F11" s="173">
        <f>E11/60*300</f>
        <v>0</v>
      </c>
    </row>
    <row r="12" spans="1:6" ht="15" thickBot="1" x14ac:dyDescent="0.35">
      <c r="A12" s="110"/>
      <c r="B12" s="39" t="s">
        <v>61</v>
      </c>
      <c r="C12" s="36" t="s">
        <v>62</v>
      </c>
      <c r="D12" s="36" t="s">
        <v>63</v>
      </c>
      <c r="E12" s="37" t="s">
        <v>64</v>
      </c>
      <c r="F12" s="70" t="s">
        <v>65</v>
      </c>
    </row>
    <row r="13" spans="1:6" x14ac:dyDescent="0.3">
      <c r="A13" s="62" t="s">
        <v>57</v>
      </c>
      <c r="B13" s="163">
        <v>0.47</v>
      </c>
      <c r="C13" s="164">
        <v>0.09</v>
      </c>
      <c r="D13" s="164">
        <v>0.38</v>
      </c>
      <c r="E13" s="82"/>
      <c r="F13" s="172"/>
    </row>
    <row r="14" spans="1:6" x14ac:dyDescent="0.3">
      <c r="A14" s="47" t="s">
        <v>66</v>
      </c>
      <c r="B14" s="159"/>
      <c r="C14" s="160"/>
      <c r="D14" s="160"/>
      <c r="E14" s="148">
        <f>B14/B$8+C14/C$8+D14/D$8</f>
        <v>0</v>
      </c>
      <c r="F14" s="117">
        <f>E14/60*300</f>
        <v>0</v>
      </c>
    </row>
    <row r="15" spans="1:6" ht="15" thickBot="1" x14ac:dyDescent="0.35">
      <c r="A15" s="63" t="s">
        <v>67</v>
      </c>
      <c r="B15" s="159"/>
      <c r="C15" s="160"/>
      <c r="D15" s="160"/>
      <c r="E15" s="148">
        <f>B15/B$8+C15/C$8+D15/D$8</f>
        <v>0</v>
      </c>
      <c r="F15" s="117">
        <f>E15/60*300</f>
        <v>0</v>
      </c>
    </row>
    <row r="16" spans="1:6" ht="15" thickBot="1" x14ac:dyDescent="0.35">
      <c r="A16" s="79" t="s">
        <v>11</v>
      </c>
      <c r="B16" s="88">
        <f>B14+B15</f>
        <v>0</v>
      </c>
      <c r="C16" s="171">
        <f>C14+C15</f>
        <v>0</v>
      </c>
      <c r="D16" s="171">
        <f>D14+D15</f>
        <v>0</v>
      </c>
      <c r="E16" s="171">
        <f>B16/B$8+C16/C$8+D16/D$8</f>
        <v>0</v>
      </c>
      <c r="F16" s="173">
        <f>E16/60*300</f>
        <v>0</v>
      </c>
    </row>
    <row r="19" spans="1:6" ht="15" thickBot="1" x14ac:dyDescent="0.35"/>
    <row r="20" spans="1:6" ht="15" thickBot="1" x14ac:dyDescent="0.35">
      <c r="A20" s="110"/>
      <c r="B20" s="39" t="s">
        <v>61</v>
      </c>
      <c r="C20" s="36" t="s">
        <v>62</v>
      </c>
      <c r="D20" s="36" t="s">
        <v>63</v>
      </c>
      <c r="E20" s="37" t="s">
        <v>64</v>
      </c>
      <c r="F20" s="80" t="s">
        <v>65</v>
      </c>
    </row>
    <row r="21" spans="1:6" x14ac:dyDescent="0.3">
      <c r="A21" s="62"/>
      <c r="B21" s="165">
        <v>0.47</v>
      </c>
      <c r="C21" s="166">
        <v>0.09</v>
      </c>
      <c r="D21" s="166">
        <v>0.38</v>
      </c>
      <c r="E21" s="52"/>
      <c r="F21" s="53"/>
    </row>
    <row r="22" spans="1:6" x14ac:dyDescent="0.3">
      <c r="A22" s="47" t="s">
        <v>66</v>
      </c>
      <c r="B22" s="161"/>
      <c r="C22" s="162"/>
      <c r="D22" s="162"/>
      <c r="E22" s="69">
        <f>B22/B$21+C22/C$21+D22/D$21</f>
        <v>0</v>
      </c>
      <c r="F22" s="87">
        <f>E22/60*300</f>
        <v>0</v>
      </c>
    </row>
    <row r="23" spans="1:6" ht="15" thickBot="1" x14ac:dyDescent="0.35">
      <c r="A23" s="63" t="s">
        <v>67</v>
      </c>
      <c r="B23" s="161"/>
      <c r="C23" s="162"/>
      <c r="D23" s="162"/>
      <c r="E23" s="69">
        <f>B23/B$21+C23/C$21+D23/D$21</f>
        <v>0</v>
      </c>
      <c r="F23" s="87">
        <f>E23/60*300</f>
        <v>0</v>
      </c>
    </row>
    <row r="24" spans="1:6" ht="15" thickBot="1" x14ac:dyDescent="0.35">
      <c r="A24" s="79" t="s">
        <v>11</v>
      </c>
      <c r="B24" s="88">
        <f>B22+B23</f>
        <v>0</v>
      </c>
      <c r="C24" s="171">
        <f>C22+C23</f>
        <v>0</v>
      </c>
      <c r="D24" s="171">
        <f>D22+D23</f>
        <v>0</v>
      </c>
      <c r="E24" s="171">
        <f>B24/B$21+C24/C$21+D24/D$21</f>
        <v>0</v>
      </c>
      <c r="F24" s="89">
        <f>E24/60*300</f>
        <v>0</v>
      </c>
    </row>
    <row r="25" spans="1:6" ht="15" thickBot="1" x14ac:dyDescent="0.35">
      <c r="A25" s="110"/>
      <c r="B25" s="39" t="s">
        <v>61</v>
      </c>
      <c r="C25" s="36" t="s">
        <v>62</v>
      </c>
      <c r="D25" s="36" t="s">
        <v>63</v>
      </c>
      <c r="E25" s="37" t="s">
        <v>64</v>
      </c>
      <c r="F25" s="80" t="s">
        <v>65</v>
      </c>
    </row>
    <row r="26" spans="1:6" x14ac:dyDescent="0.3">
      <c r="A26" s="62" t="s">
        <v>57</v>
      </c>
      <c r="B26" s="165">
        <v>0.47</v>
      </c>
      <c r="C26" s="166">
        <v>0.09</v>
      </c>
      <c r="D26" s="166">
        <v>0.38</v>
      </c>
      <c r="E26" s="52"/>
      <c r="F26" s="53"/>
    </row>
    <row r="27" spans="1:6" x14ac:dyDescent="0.3">
      <c r="A27" s="47" t="s">
        <v>66</v>
      </c>
      <c r="B27" s="161"/>
      <c r="C27" s="162"/>
      <c r="D27" s="162"/>
      <c r="E27" s="69">
        <f>B27/B$21+C27/C$21+D27/D$21</f>
        <v>0</v>
      </c>
      <c r="F27" s="87">
        <f>E27/60*300</f>
        <v>0</v>
      </c>
    </row>
    <row r="28" spans="1:6" ht="15" thickBot="1" x14ac:dyDescent="0.35">
      <c r="A28" s="63" t="s">
        <v>67</v>
      </c>
      <c r="B28" s="161"/>
      <c r="C28" s="162"/>
      <c r="D28" s="162"/>
      <c r="E28" s="69">
        <f>B28/B$21+C28/C$21+D28/D$21</f>
        <v>0</v>
      </c>
      <c r="F28" s="87">
        <f>E28/60*300</f>
        <v>0</v>
      </c>
    </row>
    <row r="29" spans="1:6" ht="15" thickBot="1" x14ac:dyDescent="0.35">
      <c r="A29" s="79" t="s">
        <v>11</v>
      </c>
      <c r="B29" s="88">
        <f>B27+B28</f>
        <v>0</v>
      </c>
      <c r="C29" s="171">
        <f>C27+C28</f>
        <v>0</v>
      </c>
      <c r="D29" s="171">
        <f>D27+D28</f>
        <v>0</v>
      </c>
      <c r="E29" s="171">
        <f>B29/B$21+C29/C$21+D29/D$21</f>
        <v>0</v>
      </c>
      <c r="F29" s="89">
        <f>E29/60*300</f>
        <v>0</v>
      </c>
    </row>
    <row r="32" spans="1:6" x14ac:dyDescent="0.3">
      <c r="A32" s="111"/>
      <c r="B32" s="111"/>
      <c r="C32" s="111"/>
      <c r="D32" s="111"/>
      <c r="E32" s="111"/>
      <c r="F32" s="111"/>
    </row>
    <row r="33" spans="1:6" x14ac:dyDescent="0.3">
      <c r="A33" s="132"/>
      <c r="B33" s="132"/>
      <c r="C33" s="132"/>
      <c r="D33" s="132"/>
      <c r="E33" s="132"/>
      <c r="F33" s="132"/>
    </row>
    <row r="34" spans="1:6" ht="15" thickBot="1" x14ac:dyDescent="0.35"/>
    <row r="35" spans="1:6" ht="15" thickBot="1" x14ac:dyDescent="0.35">
      <c r="A35" s="110"/>
      <c r="B35" s="41" t="s">
        <v>61</v>
      </c>
      <c r="C35" s="61" t="s">
        <v>62</v>
      </c>
      <c r="D35" s="61" t="s">
        <v>63</v>
      </c>
      <c r="E35" s="61" t="s">
        <v>64</v>
      </c>
      <c r="F35" s="29" t="s">
        <v>65</v>
      </c>
    </row>
    <row r="36" spans="1:6" x14ac:dyDescent="0.3">
      <c r="A36" s="66"/>
      <c r="B36" s="167">
        <v>0.47</v>
      </c>
      <c r="C36" s="168">
        <v>0.09</v>
      </c>
      <c r="D36" s="168">
        <v>0.38</v>
      </c>
      <c r="E36" s="58"/>
      <c r="F36" s="59"/>
    </row>
    <row r="37" spans="1:6" x14ac:dyDescent="0.3">
      <c r="A37" s="44" t="s">
        <v>66</v>
      </c>
      <c r="B37" s="169"/>
      <c r="C37" s="162"/>
      <c r="D37" s="162"/>
      <c r="E37" s="69">
        <f>B37/B$36+C37/C$36+D37/D$36</f>
        <v>0</v>
      </c>
      <c r="F37" s="87">
        <f>E37*300</f>
        <v>0</v>
      </c>
    </row>
    <row r="38" spans="1:6" x14ac:dyDescent="0.3">
      <c r="A38" s="44" t="s">
        <v>67</v>
      </c>
      <c r="B38" s="169"/>
      <c r="C38" s="162"/>
      <c r="D38" s="162"/>
      <c r="E38" s="69">
        <f>B38/B$36+C38/C$36+D38/D$36</f>
        <v>0</v>
      </c>
      <c r="F38" s="87">
        <f>E38*300</f>
        <v>0</v>
      </c>
    </row>
    <row r="39" spans="1:6" ht="15" thickBot="1" x14ac:dyDescent="0.35">
      <c r="A39" s="67" t="s">
        <v>11</v>
      </c>
      <c r="B39" s="170">
        <f>B37+B38</f>
        <v>0</v>
      </c>
      <c r="C39" s="171">
        <f>C37+C38</f>
        <v>0</v>
      </c>
      <c r="D39" s="171">
        <f>D37+D38</f>
        <v>0</v>
      </c>
      <c r="E39" s="171">
        <f>B39/B$36+C39/C$36+D39/D$36</f>
        <v>0</v>
      </c>
      <c r="F39" s="89">
        <f>E39*300</f>
        <v>0</v>
      </c>
    </row>
    <row r="40" spans="1:6" ht="15" thickBot="1" x14ac:dyDescent="0.35">
      <c r="A40" s="110"/>
      <c r="B40" s="41" t="s">
        <v>61</v>
      </c>
      <c r="C40" s="61" t="s">
        <v>62</v>
      </c>
      <c r="D40" s="61" t="s">
        <v>63</v>
      </c>
      <c r="E40" s="61" t="s">
        <v>64</v>
      </c>
      <c r="F40" s="29" t="s">
        <v>65</v>
      </c>
    </row>
    <row r="41" spans="1:6" x14ac:dyDescent="0.3">
      <c r="A41" s="66"/>
      <c r="B41" s="167">
        <v>0.47</v>
      </c>
      <c r="C41" s="168">
        <v>0.09</v>
      </c>
      <c r="D41" s="168">
        <v>0.38</v>
      </c>
      <c r="E41" s="58"/>
      <c r="F41" s="59"/>
    </row>
    <row r="42" spans="1:6" x14ac:dyDescent="0.3">
      <c r="A42" s="44" t="s">
        <v>66</v>
      </c>
      <c r="B42" s="169"/>
      <c r="C42" s="162"/>
      <c r="D42" s="162"/>
      <c r="E42" s="69">
        <f>B42/B$36+C42/C$36+D42/D$36</f>
        <v>0</v>
      </c>
      <c r="F42" s="87">
        <f>E42*300</f>
        <v>0</v>
      </c>
    </row>
    <row r="43" spans="1:6" x14ac:dyDescent="0.3">
      <c r="A43" s="44" t="s">
        <v>67</v>
      </c>
      <c r="B43" s="169"/>
      <c r="C43" s="162"/>
      <c r="D43" s="162"/>
      <c r="E43" s="69">
        <f>B43/B$36+C43/C$36+D43/D$36</f>
        <v>0</v>
      </c>
      <c r="F43" s="87">
        <f>E43*300</f>
        <v>0</v>
      </c>
    </row>
    <row r="44" spans="1:6" ht="15" thickBot="1" x14ac:dyDescent="0.35">
      <c r="A44" s="67" t="s">
        <v>11</v>
      </c>
      <c r="B44" s="170">
        <f>B42+B43</f>
        <v>0</v>
      </c>
      <c r="C44" s="171">
        <f>C42+C43</f>
        <v>0</v>
      </c>
      <c r="D44" s="171">
        <f>D42+D43</f>
        <v>0</v>
      </c>
      <c r="E44" s="171">
        <f>B44/B$36+C44/C$36+D44/D$36</f>
        <v>0</v>
      </c>
      <c r="F44" s="89">
        <f>E44*300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2" sqref="B2"/>
    </sheetView>
  </sheetViews>
  <sheetFormatPr defaultRowHeight="14.4" x14ac:dyDescent="0.3"/>
  <cols>
    <col min="1" max="1" width="17" bestFit="1" customWidth="1"/>
    <col min="2" max="5" width="9.21875" customWidth="1"/>
    <col min="6" max="6" width="10.88671875" bestFit="1" customWidth="1"/>
  </cols>
  <sheetData>
    <row r="1" spans="1:6" x14ac:dyDescent="0.3">
      <c r="A1" t="s">
        <v>58</v>
      </c>
      <c r="B1" t="s">
        <v>185</v>
      </c>
    </row>
    <row r="6" spans="1:6" ht="15" thickBot="1" x14ac:dyDescent="0.35"/>
    <row r="7" spans="1:6" ht="15" thickBot="1" x14ac:dyDescent="0.35">
      <c r="A7" s="110"/>
      <c r="B7" s="39" t="s">
        <v>61</v>
      </c>
      <c r="C7" s="36" t="s">
        <v>62</v>
      </c>
      <c r="D7" s="36" t="s">
        <v>63</v>
      </c>
      <c r="E7" s="37" t="s">
        <v>64</v>
      </c>
      <c r="F7" s="70" t="s">
        <v>65</v>
      </c>
    </row>
    <row r="8" spans="1:6" x14ac:dyDescent="0.3">
      <c r="A8" s="62"/>
      <c r="B8" s="163">
        <v>0.47</v>
      </c>
      <c r="C8" s="164">
        <v>0.09</v>
      </c>
      <c r="D8" s="164">
        <v>0.38</v>
      </c>
      <c r="E8" s="82"/>
      <c r="F8" s="172"/>
    </row>
    <row r="9" spans="1:6" x14ac:dyDescent="0.3">
      <c r="A9" s="47" t="s">
        <v>66</v>
      </c>
      <c r="B9" s="159"/>
      <c r="C9" s="160"/>
      <c r="D9" s="160"/>
      <c r="E9" s="148">
        <f>B9/B$8+C9/C$8+D9/D$8</f>
        <v>0</v>
      </c>
      <c r="F9" s="117">
        <f>E9/60*300</f>
        <v>0</v>
      </c>
    </row>
    <row r="10" spans="1:6" ht="15" thickBot="1" x14ac:dyDescent="0.35">
      <c r="A10" s="63" t="s">
        <v>67</v>
      </c>
      <c r="B10" s="159"/>
      <c r="C10" s="160"/>
      <c r="D10" s="160"/>
      <c r="E10" s="148">
        <f>B10/B$8+C10/C$8+D10/D$8</f>
        <v>0</v>
      </c>
      <c r="F10" s="117">
        <f>E10/60*300</f>
        <v>0</v>
      </c>
    </row>
    <row r="11" spans="1:6" ht="15" thickBot="1" x14ac:dyDescent="0.35">
      <c r="A11" s="79" t="s">
        <v>11</v>
      </c>
      <c r="B11" s="88">
        <f>B9+B10</f>
        <v>0</v>
      </c>
      <c r="C11" s="171">
        <f>C9+C10</f>
        <v>0</v>
      </c>
      <c r="D11" s="171">
        <f>D9+D10</f>
        <v>0</v>
      </c>
      <c r="E11" s="171">
        <f>B11/B$8+C11/C$8+D11/D$8</f>
        <v>0</v>
      </c>
      <c r="F11" s="173">
        <f>E11/60*300</f>
        <v>0</v>
      </c>
    </row>
    <row r="12" spans="1:6" ht="15" thickBot="1" x14ac:dyDescent="0.35">
      <c r="A12" s="110"/>
      <c r="B12" s="39" t="s">
        <v>61</v>
      </c>
      <c r="C12" s="36" t="s">
        <v>62</v>
      </c>
      <c r="D12" s="36" t="s">
        <v>63</v>
      </c>
      <c r="E12" s="37" t="s">
        <v>64</v>
      </c>
      <c r="F12" s="70" t="s">
        <v>65</v>
      </c>
    </row>
    <row r="13" spans="1:6" x14ac:dyDescent="0.3">
      <c r="A13" s="62" t="s">
        <v>57</v>
      </c>
      <c r="B13" s="163">
        <v>0.47</v>
      </c>
      <c r="C13" s="164">
        <v>0.09</v>
      </c>
      <c r="D13" s="164">
        <v>0.38</v>
      </c>
      <c r="E13" s="82"/>
      <c r="F13" s="172"/>
    </row>
    <row r="14" spans="1:6" x14ac:dyDescent="0.3">
      <c r="A14" s="47" t="s">
        <v>66</v>
      </c>
      <c r="B14" s="159"/>
      <c r="C14" s="160"/>
      <c r="D14" s="160"/>
      <c r="E14" s="148">
        <f>B14/B$8+C14/C$8+D14/D$8</f>
        <v>0</v>
      </c>
      <c r="F14" s="117">
        <f>E14/60*300</f>
        <v>0</v>
      </c>
    </row>
    <row r="15" spans="1:6" ht="15" thickBot="1" x14ac:dyDescent="0.35">
      <c r="A15" s="63" t="s">
        <v>67</v>
      </c>
      <c r="B15" s="159"/>
      <c r="C15" s="160"/>
      <c r="D15" s="160"/>
      <c r="E15" s="148">
        <f>B15/B$8+C15/C$8+D15/D$8</f>
        <v>0</v>
      </c>
      <c r="F15" s="117">
        <f>E15/60*300</f>
        <v>0</v>
      </c>
    </row>
    <row r="16" spans="1:6" ht="15" thickBot="1" x14ac:dyDescent="0.35">
      <c r="A16" s="79" t="s">
        <v>11</v>
      </c>
      <c r="B16" s="88">
        <f>B14+B15</f>
        <v>0</v>
      </c>
      <c r="C16" s="171">
        <f>C14+C15</f>
        <v>0</v>
      </c>
      <c r="D16" s="171">
        <f>D14+D15</f>
        <v>0</v>
      </c>
      <c r="E16" s="171">
        <f>B16/B$8+C16/C$8+D16/D$8</f>
        <v>0</v>
      </c>
      <c r="F16" s="173">
        <f>E16/60*300</f>
        <v>0</v>
      </c>
    </row>
    <row r="19" spans="1:6" ht="15" thickBot="1" x14ac:dyDescent="0.35"/>
    <row r="20" spans="1:6" ht="15" thickBot="1" x14ac:dyDescent="0.35">
      <c r="A20" s="110"/>
      <c r="B20" s="39" t="s">
        <v>61</v>
      </c>
      <c r="C20" s="36" t="s">
        <v>62</v>
      </c>
      <c r="D20" s="36" t="s">
        <v>63</v>
      </c>
      <c r="E20" s="37" t="s">
        <v>64</v>
      </c>
      <c r="F20" s="80" t="s">
        <v>65</v>
      </c>
    </row>
    <row r="21" spans="1:6" x14ac:dyDescent="0.3">
      <c r="A21" s="62"/>
      <c r="B21" s="165">
        <v>0.47</v>
      </c>
      <c r="C21" s="166">
        <v>0.09</v>
      </c>
      <c r="D21" s="166">
        <v>0.38</v>
      </c>
      <c r="E21" s="52"/>
      <c r="F21" s="53"/>
    </row>
    <row r="22" spans="1:6" x14ac:dyDescent="0.3">
      <c r="A22" s="47" t="s">
        <v>66</v>
      </c>
      <c r="B22" s="161"/>
      <c r="C22" s="162"/>
      <c r="D22" s="162"/>
      <c r="E22" s="69">
        <f>B22/B$21+C22/C$21+D22/D$21</f>
        <v>0</v>
      </c>
      <c r="F22" s="87">
        <f>E22/60*300</f>
        <v>0</v>
      </c>
    </row>
    <row r="23" spans="1:6" ht="15" thickBot="1" x14ac:dyDescent="0.35">
      <c r="A23" s="63" t="s">
        <v>67</v>
      </c>
      <c r="B23" s="161"/>
      <c r="C23" s="162"/>
      <c r="D23" s="162"/>
      <c r="E23" s="69">
        <f>B23/B$21+C23/C$21+D23/D$21</f>
        <v>0</v>
      </c>
      <c r="F23" s="87">
        <f>E23/60*300</f>
        <v>0</v>
      </c>
    </row>
    <row r="24" spans="1:6" ht="15" thickBot="1" x14ac:dyDescent="0.35">
      <c r="A24" s="79" t="s">
        <v>11</v>
      </c>
      <c r="B24" s="88">
        <f>B22+B23</f>
        <v>0</v>
      </c>
      <c r="C24" s="171">
        <f>C22+C23</f>
        <v>0</v>
      </c>
      <c r="D24" s="171">
        <f>D22+D23</f>
        <v>0</v>
      </c>
      <c r="E24" s="171">
        <f>B24/B$21+C24/C$21+D24/D$21</f>
        <v>0</v>
      </c>
      <c r="F24" s="89">
        <f>E24/60*300</f>
        <v>0</v>
      </c>
    </row>
    <row r="25" spans="1:6" ht="15" thickBot="1" x14ac:dyDescent="0.35">
      <c r="A25" s="110"/>
      <c r="B25" s="39" t="s">
        <v>61</v>
      </c>
      <c r="C25" s="36" t="s">
        <v>62</v>
      </c>
      <c r="D25" s="36" t="s">
        <v>63</v>
      </c>
      <c r="E25" s="37" t="s">
        <v>64</v>
      </c>
      <c r="F25" s="80" t="s">
        <v>65</v>
      </c>
    </row>
    <row r="26" spans="1:6" x14ac:dyDescent="0.3">
      <c r="A26" s="62" t="s">
        <v>57</v>
      </c>
      <c r="B26" s="165">
        <v>0.47</v>
      </c>
      <c r="C26" s="166">
        <v>0.09</v>
      </c>
      <c r="D26" s="166">
        <v>0.38</v>
      </c>
      <c r="E26" s="52"/>
      <c r="F26" s="53"/>
    </row>
    <row r="27" spans="1:6" x14ac:dyDescent="0.3">
      <c r="A27" s="47" t="s">
        <v>66</v>
      </c>
      <c r="B27" s="161"/>
      <c r="C27" s="162"/>
      <c r="D27" s="162"/>
      <c r="E27" s="69">
        <f>B27/B$21+C27/C$21+D27/D$21</f>
        <v>0</v>
      </c>
      <c r="F27" s="87">
        <f>E27/60*300</f>
        <v>0</v>
      </c>
    </row>
    <row r="28" spans="1:6" ht="15" thickBot="1" x14ac:dyDescent="0.35">
      <c r="A28" s="63" t="s">
        <v>67</v>
      </c>
      <c r="B28" s="161"/>
      <c r="C28" s="162"/>
      <c r="D28" s="162"/>
      <c r="E28" s="69">
        <f>B28/B$21+C28/C$21+D28/D$21</f>
        <v>0</v>
      </c>
      <c r="F28" s="87">
        <f>E28/60*300</f>
        <v>0</v>
      </c>
    </row>
    <row r="29" spans="1:6" ht="15" thickBot="1" x14ac:dyDescent="0.35">
      <c r="A29" s="79" t="s">
        <v>11</v>
      </c>
      <c r="B29" s="88">
        <f>B27+B28</f>
        <v>0</v>
      </c>
      <c r="C29" s="171">
        <f>C27+C28</f>
        <v>0</v>
      </c>
      <c r="D29" s="171">
        <f>D27+D28</f>
        <v>0</v>
      </c>
      <c r="E29" s="171">
        <f>B29/B$21+C29/C$21+D29/D$21</f>
        <v>0</v>
      </c>
      <c r="F29" s="89">
        <f>E29/60*300</f>
        <v>0</v>
      </c>
    </row>
    <row r="32" spans="1:6" x14ac:dyDescent="0.3">
      <c r="A32" s="111"/>
      <c r="B32" s="111"/>
      <c r="C32" s="111"/>
      <c r="D32" s="111"/>
      <c r="E32" s="111"/>
      <c r="F32" s="111"/>
    </row>
    <row r="33" spans="1:6" x14ac:dyDescent="0.3">
      <c r="A33" s="132"/>
      <c r="B33" s="132"/>
      <c r="C33" s="132"/>
      <c r="D33" s="132"/>
      <c r="E33" s="132"/>
      <c r="F33" s="132"/>
    </row>
    <row r="34" spans="1:6" ht="15" thickBot="1" x14ac:dyDescent="0.35"/>
    <row r="35" spans="1:6" ht="15" thickBot="1" x14ac:dyDescent="0.35">
      <c r="A35" s="110"/>
      <c r="B35" s="41" t="s">
        <v>61</v>
      </c>
      <c r="C35" s="61" t="s">
        <v>62</v>
      </c>
      <c r="D35" s="61" t="s">
        <v>63</v>
      </c>
      <c r="E35" s="61" t="s">
        <v>64</v>
      </c>
      <c r="F35" s="29" t="s">
        <v>65</v>
      </c>
    </row>
    <row r="36" spans="1:6" x14ac:dyDescent="0.3">
      <c r="A36" s="66"/>
      <c r="B36" s="167">
        <v>0.47</v>
      </c>
      <c r="C36" s="168">
        <v>0.09</v>
      </c>
      <c r="D36" s="168">
        <v>0.38</v>
      </c>
      <c r="E36" s="58"/>
      <c r="F36" s="59"/>
    </row>
    <row r="37" spans="1:6" x14ac:dyDescent="0.3">
      <c r="A37" s="44" t="s">
        <v>66</v>
      </c>
      <c r="B37" s="169"/>
      <c r="C37" s="162"/>
      <c r="D37" s="162"/>
      <c r="E37" s="69">
        <f>B37/B$36+C37/C$36+D37/D$36</f>
        <v>0</v>
      </c>
      <c r="F37" s="87">
        <f>E37*300</f>
        <v>0</v>
      </c>
    </row>
    <row r="38" spans="1:6" x14ac:dyDescent="0.3">
      <c r="A38" s="44" t="s">
        <v>67</v>
      </c>
      <c r="B38" s="169"/>
      <c r="C38" s="162"/>
      <c r="D38" s="162"/>
      <c r="E38" s="69">
        <f>B38/B$36+C38/C$36+D38/D$36</f>
        <v>0</v>
      </c>
      <c r="F38" s="87">
        <f>E38*300</f>
        <v>0</v>
      </c>
    </row>
    <row r="39" spans="1:6" ht="15" thickBot="1" x14ac:dyDescent="0.35">
      <c r="A39" s="67" t="s">
        <v>11</v>
      </c>
      <c r="B39" s="170">
        <f>B37+B38</f>
        <v>0</v>
      </c>
      <c r="C39" s="171">
        <f>C37+C38</f>
        <v>0</v>
      </c>
      <c r="D39" s="171">
        <f>D37+D38</f>
        <v>0</v>
      </c>
      <c r="E39" s="171">
        <f>B39/B$36+C39/C$36+D39/D$36</f>
        <v>0</v>
      </c>
      <c r="F39" s="89">
        <f>E39*300</f>
        <v>0</v>
      </c>
    </row>
    <row r="40" spans="1:6" ht="15" thickBot="1" x14ac:dyDescent="0.35">
      <c r="A40" s="110"/>
      <c r="B40" s="41" t="s">
        <v>61</v>
      </c>
      <c r="C40" s="61" t="s">
        <v>62</v>
      </c>
      <c r="D40" s="61" t="s">
        <v>63</v>
      </c>
      <c r="E40" s="61" t="s">
        <v>64</v>
      </c>
      <c r="F40" s="29" t="s">
        <v>65</v>
      </c>
    </row>
    <row r="41" spans="1:6" x14ac:dyDescent="0.3">
      <c r="A41" s="66"/>
      <c r="B41" s="167">
        <v>0.47</v>
      </c>
      <c r="C41" s="168">
        <v>0.09</v>
      </c>
      <c r="D41" s="168">
        <v>0.38</v>
      </c>
      <c r="E41" s="58"/>
      <c r="F41" s="59"/>
    </row>
    <row r="42" spans="1:6" x14ac:dyDescent="0.3">
      <c r="A42" s="44" t="s">
        <v>66</v>
      </c>
      <c r="B42" s="169"/>
      <c r="C42" s="162"/>
      <c r="D42" s="162"/>
      <c r="E42" s="69">
        <f>B42/B$36+C42/C$36+D42/D$36</f>
        <v>0</v>
      </c>
      <c r="F42" s="87">
        <f>E42*300</f>
        <v>0</v>
      </c>
    </row>
    <row r="43" spans="1:6" x14ac:dyDescent="0.3">
      <c r="A43" s="44" t="s">
        <v>67</v>
      </c>
      <c r="B43" s="169"/>
      <c r="C43" s="162"/>
      <c r="D43" s="162"/>
      <c r="E43" s="69">
        <f>B43/B$36+C43/C$36+D43/D$36</f>
        <v>0</v>
      </c>
      <c r="F43" s="87">
        <f>E43*300</f>
        <v>0</v>
      </c>
    </row>
    <row r="44" spans="1:6" ht="15" thickBot="1" x14ac:dyDescent="0.35">
      <c r="A44" s="67" t="s">
        <v>11</v>
      </c>
      <c r="B44" s="170">
        <f>B42+B43</f>
        <v>0</v>
      </c>
      <c r="C44" s="171">
        <f>C42+C43</f>
        <v>0</v>
      </c>
      <c r="D44" s="171">
        <f>D42+D43</f>
        <v>0</v>
      </c>
      <c r="E44" s="171">
        <f>B44/B$36+C44/C$36+D44/D$36</f>
        <v>0</v>
      </c>
      <c r="F44" s="89">
        <f>E44*300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2" sqref="A2"/>
    </sheetView>
  </sheetViews>
  <sheetFormatPr defaultRowHeight="14.4" x14ac:dyDescent="0.3"/>
  <cols>
    <col min="1" max="1" width="17" bestFit="1" customWidth="1"/>
    <col min="2" max="5" width="9.21875" customWidth="1"/>
    <col min="6" max="6" width="10.88671875" bestFit="1" customWidth="1"/>
  </cols>
  <sheetData>
    <row r="1" spans="1:6" x14ac:dyDescent="0.3">
      <c r="A1" t="s">
        <v>195</v>
      </c>
      <c r="B1" t="s">
        <v>183</v>
      </c>
    </row>
    <row r="6" spans="1:6" ht="15" thickBot="1" x14ac:dyDescent="0.35"/>
    <row r="7" spans="1:6" ht="15" thickBot="1" x14ac:dyDescent="0.35">
      <c r="A7" s="110"/>
      <c r="B7" s="39" t="s">
        <v>61</v>
      </c>
      <c r="C7" s="36" t="s">
        <v>62</v>
      </c>
      <c r="D7" s="36" t="s">
        <v>63</v>
      </c>
      <c r="E7" s="37" t="s">
        <v>64</v>
      </c>
      <c r="F7" s="70" t="s">
        <v>65</v>
      </c>
    </row>
    <row r="8" spans="1:6" x14ac:dyDescent="0.3">
      <c r="A8" s="62"/>
      <c r="B8" s="163">
        <v>0.47</v>
      </c>
      <c r="C8" s="164">
        <v>0.09</v>
      </c>
      <c r="D8" s="164">
        <v>0.38</v>
      </c>
      <c r="E8" s="82"/>
      <c r="F8" s="172"/>
    </row>
    <row r="9" spans="1:6" x14ac:dyDescent="0.3">
      <c r="A9" s="47" t="s">
        <v>66</v>
      </c>
      <c r="B9" s="159"/>
      <c r="C9" s="160"/>
      <c r="D9" s="160"/>
      <c r="E9" s="148">
        <f>B9/B$8+C9/C$8+D9/D$8</f>
        <v>0</v>
      </c>
      <c r="F9" s="117">
        <f>E9/60*300</f>
        <v>0</v>
      </c>
    </row>
    <row r="10" spans="1:6" ht="15" thickBot="1" x14ac:dyDescent="0.35">
      <c r="A10" s="63" t="s">
        <v>67</v>
      </c>
      <c r="B10" s="159"/>
      <c r="C10" s="160"/>
      <c r="D10" s="160"/>
      <c r="E10" s="148">
        <f>B10/B$8+C10/C$8+D10/D$8</f>
        <v>0</v>
      </c>
      <c r="F10" s="117">
        <f>E10/60*300</f>
        <v>0</v>
      </c>
    </row>
    <row r="11" spans="1:6" ht="15" thickBot="1" x14ac:dyDescent="0.35">
      <c r="A11" s="79" t="s">
        <v>11</v>
      </c>
      <c r="B11" s="88">
        <f>B9+B10</f>
        <v>0</v>
      </c>
      <c r="C11" s="171">
        <f>C9+C10</f>
        <v>0</v>
      </c>
      <c r="D11" s="171">
        <f>D9+D10</f>
        <v>0</v>
      </c>
      <c r="E11" s="171">
        <f>B11/B$8+C11/C$8+D11/D$8</f>
        <v>0</v>
      </c>
      <c r="F11" s="173">
        <f>E11/60*300</f>
        <v>0</v>
      </c>
    </row>
    <row r="12" spans="1:6" ht="15" thickBot="1" x14ac:dyDescent="0.35">
      <c r="A12" s="110"/>
      <c r="B12" s="39" t="s">
        <v>61</v>
      </c>
      <c r="C12" s="36" t="s">
        <v>62</v>
      </c>
      <c r="D12" s="36" t="s">
        <v>63</v>
      </c>
      <c r="E12" s="37" t="s">
        <v>64</v>
      </c>
      <c r="F12" s="70" t="s">
        <v>65</v>
      </c>
    </row>
    <row r="13" spans="1:6" x14ac:dyDescent="0.3">
      <c r="A13" s="62" t="s">
        <v>57</v>
      </c>
      <c r="B13" s="163">
        <v>0.47</v>
      </c>
      <c r="C13" s="164">
        <v>0.09</v>
      </c>
      <c r="D13" s="164">
        <v>0.38</v>
      </c>
      <c r="E13" s="82"/>
      <c r="F13" s="172"/>
    </row>
    <row r="14" spans="1:6" x14ac:dyDescent="0.3">
      <c r="A14" s="47" t="s">
        <v>66</v>
      </c>
      <c r="B14" s="159"/>
      <c r="C14" s="160"/>
      <c r="D14" s="160"/>
      <c r="E14" s="148">
        <f>B14/B$8+C14/C$8+D14/D$8</f>
        <v>0</v>
      </c>
      <c r="F14" s="117">
        <f>E14/60*300</f>
        <v>0</v>
      </c>
    </row>
    <row r="15" spans="1:6" ht="15" thickBot="1" x14ac:dyDescent="0.35">
      <c r="A15" s="63" t="s">
        <v>67</v>
      </c>
      <c r="B15" s="159"/>
      <c r="C15" s="160"/>
      <c r="D15" s="160"/>
      <c r="E15" s="148">
        <f>B15/B$8+C15/C$8+D15/D$8</f>
        <v>0</v>
      </c>
      <c r="F15" s="117">
        <f>E15/60*300</f>
        <v>0</v>
      </c>
    </row>
    <row r="16" spans="1:6" ht="15" thickBot="1" x14ac:dyDescent="0.35">
      <c r="A16" s="79" t="s">
        <v>11</v>
      </c>
      <c r="B16" s="88">
        <f>B14+B15</f>
        <v>0</v>
      </c>
      <c r="C16" s="171">
        <f>C14+C15</f>
        <v>0</v>
      </c>
      <c r="D16" s="171">
        <f>D14+D15</f>
        <v>0</v>
      </c>
      <c r="E16" s="171">
        <f>B16/B$8+C16/C$8+D16/D$8</f>
        <v>0</v>
      </c>
      <c r="F16" s="173">
        <f>E16/60*300</f>
        <v>0</v>
      </c>
    </row>
    <row r="19" spans="1:6" ht="15" thickBot="1" x14ac:dyDescent="0.35"/>
    <row r="20" spans="1:6" ht="15" thickBot="1" x14ac:dyDescent="0.35">
      <c r="A20" s="110"/>
      <c r="B20" s="39" t="s">
        <v>61</v>
      </c>
      <c r="C20" s="36" t="s">
        <v>62</v>
      </c>
      <c r="D20" s="36" t="s">
        <v>63</v>
      </c>
      <c r="E20" s="37" t="s">
        <v>64</v>
      </c>
      <c r="F20" s="80" t="s">
        <v>65</v>
      </c>
    </row>
    <row r="21" spans="1:6" x14ac:dyDescent="0.3">
      <c r="A21" s="62"/>
      <c r="B21" s="165">
        <v>0.47</v>
      </c>
      <c r="C21" s="166">
        <v>0.09</v>
      </c>
      <c r="D21" s="166">
        <v>0.38</v>
      </c>
      <c r="E21" s="52"/>
      <c r="F21" s="53"/>
    </row>
    <row r="22" spans="1:6" x14ac:dyDescent="0.3">
      <c r="A22" s="47" t="s">
        <v>66</v>
      </c>
      <c r="B22" s="161"/>
      <c r="C22" s="162"/>
      <c r="D22" s="162"/>
      <c r="E22" s="69">
        <f>B22/B$21+C22/C$21+D22/D$21</f>
        <v>0</v>
      </c>
      <c r="F22" s="87">
        <f>E22/60*300</f>
        <v>0</v>
      </c>
    </row>
    <row r="23" spans="1:6" ht="15" thickBot="1" x14ac:dyDescent="0.35">
      <c r="A23" s="63" t="s">
        <v>67</v>
      </c>
      <c r="B23" s="161"/>
      <c r="C23" s="162"/>
      <c r="D23" s="162"/>
      <c r="E23" s="69">
        <f>B23/B$21+C23/C$21+D23/D$21</f>
        <v>0</v>
      </c>
      <c r="F23" s="87">
        <f>E23/60*300</f>
        <v>0</v>
      </c>
    </row>
    <row r="24" spans="1:6" ht="15" thickBot="1" x14ac:dyDescent="0.35">
      <c r="A24" s="79" t="s">
        <v>11</v>
      </c>
      <c r="B24" s="88">
        <f>B22+B23</f>
        <v>0</v>
      </c>
      <c r="C24" s="171">
        <f>C22+C23</f>
        <v>0</v>
      </c>
      <c r="D24" s="171">
        <f>D22+D23</f>
        <v>0</v>
      </c>
      <c r="E24" s="171">
        <f>B24/B$21+C24/C$21+D24/D$21</f>
        <v>0</v>
      </c>
      <c r="F24" s="89">
        <f>E24/60*300</f>
        <v>0</v>
      </c>
    </row>
    <row r="25" spans="1:6" ht="15" thickBot="1" x14ac:dyDescent="0.35">
      <c r="A25" s="110"/>
      <c r="B25" s="39" t="s">
        <v>61</v>
      </c>
      <c r="C25" s="36" t="s">
        <v>62</v>
      </c>
      <c r="D25" s="36" t="s">
        <v>63</v>
      </c>
      <c r="E25" s="37" t="s">
        <v>64</v>
      </c>
      <c r="F25" s="80" t="s">
        <v>65</v>
      </c>
    </row>
    <row r="26" spans="1:6" x14ac:dyDescent="0.3">
      <c r="A26" s="62" t="s">
        <v>57</v>
      </c>
      <c r="B26" s="165">
        <v>0.47</v>
      </c>
      <c r="C26" s="166">
        <v>0.09</v>
      </c>
      <c r="D26" s="166">
        <v>0.38</v>
      </c>
      <c r="E26" s="52"/>
      <c r="F26" s="53"/>
    </row>
    <row r="27" spans="1:6" x14ac:dyDescent="0.3">
      <c r="A27" s="47" t="s">
        <v>66</v>
      </c>
      <c r="B27" s="161"/>
      <c r="C27" s="162"/>
      <c r="D27" s="162"/>
      <c r="E27" s="69">
        <f>B27/B$21+C27/C$21+D27/D$21</f>
        <v>0</v>
      </c>
      <c r="F27" s="87">
        <f>E27/60*300</f>
        <v>0</v>
      </c>
    </row>
    <row r="28" spans="1:6" ht="15" thickBot="1" x14ac:dyDescent="0.35">
      <c r="A28" s="63" t="s">
        <v>67</v>
      </c>
      <c r="B28" s="161"/>
      <c r="C28" s="162"/>
      <c r="D28" s="162"/>
      <c r="E28" s="69">
        <f>B28/B$21+C28/C$21+D28/D$21</f>
        <v>0</v>
      </c>
      <c r="F28" s="87">
        <f>E28/60*300</f>
        <v>0</v>
      </c>
    </row>
    <row r="29" spans="1:6" ht="15" thickBot="1" x14ac:dyDescent="0.35">
      <c r="A29" s="79" t="s">
        <v>11</v>
      </c>
      <c r="B29" s="88">
        <f>B27+B28</f>
        <v>0</v>
      </c>
      <c r="C29" s="171">
        <f>C27+C28</f>
        <v>0</v>
      </c>
      <c r="D29" s="171">
        <f>D27+D28</f>
        <v>0</v>
      </c>
      <c r="E29" s="171">
        <f>B29/B$21+C29/C$21+D29/D$21</f>
        <v>0</v>
      </c>
      <c r="F29" s="89">
        <f>E29/60*300</f>
        <v>0</v>
      </c>
    </row>
    <row r="32" spans="1:6" x14ac:dyDescent="0.3">
      <c r="A32" s="111"/>
      <c r="B32" s="111"/>
      <c r="C32" s="111"/>
      <c r="D32" s="111"/>
      <c r="E32" s="111"/>
      <c r="F32" s="111"/>
    </row>
    <row r="33" spans="1:6" x14ac:dyDescent="0.3">
      <c r="A33" s="132"/>
      <c r="B33" s="132"/>
      <c r="C33" s="132"/>
      <c r="D33" s="132"/>
      <c r="E33" s="132"/>
      <c r="F33" s="132"/>
    </row>
    <row r="34" spans="1:6" ht="15" thickBot="1" x14ac:dyDescent="0.35"/>
    <row r="35" spans="1:6" ht="15" thickBot="1" x14ac:dyDescent="0.35">
      <c r="A35" s="110"/>
      <c r="B35" s="41" t="s">
        <v>61</v>
      </c>
      <c r="C35" s="61" t="s">
        <v>62</v>
      </c>
      <c r="D35" s="61" t="s">
        <v>63</v>
      </c>
      <c r="E35" s="61" t="s">
        <v>64</v>
      </c>
      <c r="F35" s="29" t="s">
        <v>65</v>
      </c>
    </row>
    <row r="36" spans="1:6" x14ac:dyDescent="0.3">
      <c r="A36" s="66"/>
      <c r="B36" s="167">
        <v>0.47</v>
      </c>
      <c r="C36" s="168">
        <v>0.09</v>
      </c>
      <c r="D36" s="168">
        <v>0.38</v>
      </c>
      <c r="E36" s="58"/>
      <c r="F36" s="59"/>
    </row>
    <row r="37" spans="1:6" x14ac:dyDescent="0.3">
      <c r="A37" s="44" t="s">
        <v>66</v>
      </c>
      <c r="B37" s="169"/>
      <c r="C37" s="162"/>
      <c r="D37" s="162"/>
      <c r="E37" s="69">
        <f>B37/B$36+C37/C$36+D37/D$36</f>
        <v>0</v>
      </c>
      <c r="F37" s="87">
        <f>E37*300</f>
        <v>0</v>
      </c>
    </row>
    <row r="38" spans="1:6" x14ac:dyDescent="0.3">
      <c r="A38" s="44" t="s">
        <v>67</v>
      </c>
      <c r="B38" s="169"/>
      <c r="C38" s="162"/>
      <c r="D38" s="162"/>
      <c r="E38" s="69">
        <f>B38/B$36+C38/C$36+D38/D$36</f>
        <v>0</v>
      </c>
      <c r="F38" s="87">
        <f>E38*300</f>
        <v>0</v>
      </c>
    </row>
    <row r="39" spans="1:6" ht="15" thickBot="1" x14ac:dyDescent="0.35">
      <c r="A39" s="67" t="s">
        <v>11</v>
      </c>
      <c r="B39" s="170">
        <f>B37+B38</f>
        <v>0</v>
      </c>
      <c r="C39" s="171">
        <f>C37+C38</f>
        <v>0</v>
      </c>
      <c r="D39" s="171">
        <f>D37+D38</f>
        <v>0</v>
      </c>
      <c r="E39" s="171">
        <f>B39/B$36+C39/C$36+D39/D$36</f>
        <v>0</v>
      </c>
      <c r="F39" s="89">
        <f>E39*300</f>
        <v>0</v>
      </c>
    </row>
    <row r="40" spans="1:6" ht="15" thickBot="1" x14ac:dyDescent="0.35">
      <c r="A40" s="110"/>
      <c r="B40" s="41" t="s">
        <v>61</v>
      </c>
      <c r="C40" s="61" t="s">
        <v>62</v>
      </c>
      <c r="D40" s="61" t="s">
        <v>63</v>
      </c>
      <c r="E40" s="61" t="s">
        <v>64</v>
      </c>
      <c r="F40" s="29" t="s">
        <v>65</v>
      </c>
    </row>
    <row r="41" spans="1:6" x14ac:dyDescent="0.3">
      <c r="A41" s="66"/>
      <c r="B41" s="167">
        <v>0.47</v>
      </c>
      <c r="C41" s="168">
        <v>0.09</v>
      </c>
      <c r="D41" s="168">
        <v>0.38</v>
      </c>
      <c r="E41" s="58"/>
      <c r="F41" s="59"/>
    </row>
    <row r="42" spans="1:6" x14ac:dyDescent="0.3">
      <c r="A42" s="44" t="s">
        <v>66</v>
      </c>
      <c r="B42" s="169"/>
      <c r="C42" s="162"/>
      <c r="D42" s="162"/>
      <c r="E42" s="69">
        <f>B42/B$36+C42/C$36+D42/D$36</f>
        <v>0</v>
      </c>
      <c r="F42" s="87">
        <f>E42*300</f>
        <v>0</v>
      </c>
    </row>
    <row r="43" spans="1:6" x14ac:dyDescent="0.3">
      <c r="A43" s="44" t="s">
        <v>67</v>
      </c>
      <c r="B43" s="169"/>
      <c r="C43" s="162"/>
      <c r="D43" s="162"/>
      <c r="E43" s="69">
        <f>B43/B$36+C43/C$36+D43/D$36</f>
        <v>0</v>
      </c>
      <c r="F43" s="87">
        <f>E43*300</f>
        <v>0</v>
      </c>
    </row>
    <row r="44" spans="1:6" ht="15" thickBot="1" x14ac:dyDescent="0.35">
      <c r="A44" s="67" t="s">
        <v>11</v>
      </c>
      <c r="B44" s="170">
        <f>B42+B43</f>
        <v>0</v>
      </c>
      <c r="C44" s="171">
        <f>C42+C43</f>
        <v>0</v>
      </c>
      <c r="D44" s="171">
        <f>D42+D43</f>
        <v>0</v>
      </c>
      <c r="E44" s="171">
        <f>B44/B$36+C44/C$36+D44/D$36</f>
        <v>0</v>
      </c>
      <c r="F44" s="89">
        <f>E44*300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2" sqref="B2"/>
    </sheetView>
  </sheetViews>
  <sheetFormatPr defaultRowHeight="14.4" x14ac:dyDescent="0.3"/>
  <cols>
    <col min="1" max="1" width="17" bestFit="1" customWidth="1"/>
    <col min="2" max="5" width="9.21875" customWidth="1"/>
    <col min="6" max="6" width="10.88671875" bestFit="1" customWidth="1"/>
  </cols>
  <sheetData>
    <row r="1" spans="1:6" x14ac:dyDescent="0.3">
      <c r="A1" t="s">
        <v>195</v>
      </c>
      <c r="B1" t="s">
        <v>185</v>
      </c>
    </row>
    <row r="6" spans="1:6" ht="15" thickBot="1" x14ac:dyDescent="0.35"/>
    <row r="7" spans="1:6" ht="15" thickBot="1" x14ac:dyDescent="0.35">
      <c r="A7" s="110"/>
      <c r="B7" s="39" t="s">
        <v>61</v>
      </c>
      <c r="C7" s="36" t="s">
        <v>62</v>
      </c>
      <c r="D7" s="36" t="s">
        <v>63</v>
      </c>
      <c r="E7" s="37" t="s">
        <v>64</v>
      </c>
      <c r="F7" s="70" t="s">
        <v>65</v>
      </c>
    </row>
    <row r="8" spans="1:6" x14ac:dyDescent="0.3">
      <c r="A8" s="62"/>
      <c r="B8" s="163">
        <v>0.47</v>
      </c>
      <c r="C8" s="164">
        <v>0.09</v>
      </c>
      <c r="D8" s="164">
        <v>0.38</v>
      </c>
      <c r="E8" s="82"/>
      <c r="F8" s="172"/>
    </row>
    <row r="9" spans="1:6" x14ac:dyDescent="0.3">
      <c r="A9" s="47" t="s">
        <v>66</v>
      </c>
      <c r="B9" s="159"/>
      <c r="C9" s="160"/>
      <c r="D9" s="160"/>
      <c r="E9" s="148">
        <f>B9/B$8+C9/C$8+D9/D$8</f>
        <v>0</v>
      </c>
      <c r="F9" s="117">
        <f>E9/60*300</f>
        <v>0</v>
      </c>
    </row>
    <row r="10" spans="1:6" ht="15" thickBot="1" x14ac:dyDescent="0.35">
      <c r="A10" s="63" t="s">
        <v>67</v>
      </c>
      <c r="B10" s="159"/>
      <c r="C10" s="160"/>
      <c r="D10" s="160"/>
      <c r="E10" s="148">
        <f>B10/B$8+C10/C$8+D10/D$8</f>
        <v>0</v>
      </c>
      <c r="F10" s="117">
        <f>E10/60*300</f>
        <v>0</v>
      </c>
    </row>
    <row r="11" spans="1:6" ht="15" thickBot="1" x14ac:dyDescent="0.35">
      <c r="A11" s="79" t="s">
        <v>11</v>
      </c>
      <c r="B11" s="88">
        <f>B9+B10</f>
        <v>0</v>
      </c>
      <c r="C11" s="171">
        <f>C9+C10</f>
        <v>0</v>
      </c>
      <c r="D11" s="171">
        <f>D9+D10</f>
        <v>0</v>
      </c>
      <c r="E11" s="171">
        <f>B11/B$8+C11/C$8+D11/D$8</f>
        <v>0</v>
      </c>
      <c r="F11" s="173">
        <f>E11/60*300</f>
        <v>0</v>
      </c>
    </row>
    <row r="12" spans="1:6" ht="15" thickBot="1" x14ac:dyDescent="0.35">
      <c r="A12" s="110"/>
      <c r="B12" s="39" t="s">
        <v>61</v>
      </c>
      <c r="C12" s="36" t="s">
        <v>62</v>
      </c>
      <c r="D12" s="36" t="s">
        <v>63</v>
      </c>
      <c r="E12" s="37" t="s">
        <v>64</v>
      </c>
      <c r="F12" s="70" t="s">
        <v>65</v>
      </c>
    </row>
    <row r="13" spans="1:6" x14ac:dyDescent="0.3">
      <c r="A13" s="62" t="s">
        <v>57</v>
      </c>
      <c r="B13" s="163">
        <v>0.47</v>
      </c>
      <c r="C13" s="164">
        <v>0.09</v>
      </c>
      <c r="D13" s="164">
        <v>0.38</v>
      </c>
      <c r="E13" s="82"/>
      <c r="F13" s="172"/>
    </row>
    <row r="14" spans="1:6" x14ac:dyDescent="0.3">
      <c r="A14" s="47" t="s">
        <v>66</v>
      </c>
      <c r="B14" s="159"/>
      <c r="C14" s="160"/>
      <c r="D14" s="160"/>
      <c r="E14" s="148">
        <f>B14/B$8+C14/C$8+D14/D$8</f>
        <v>0</v>
      </c>
      <c r="F14" s="117">
        <f>E14/60*300</f>
        <v>0</v>
      </c>
    </row>
    <row r="15" spans="1:6" ht="15" thickBot="1" x14ac:dyDescent="0.35">
      <c r="A15" s="63" t="s">
        <v>67</v>
      </c>
      <c r="B15" s="159"/>
      <c r="C15" s="160"/>
      <c r="D15" s="160"/>
      <c r="E15" s="148">
        <f>B15/B$8+C15/C$8+D15/D$8</f>
        <v>0</v>
      </c>
      <c r="F15" s="117">
        <f>E15/60*300</f>
        <v>0</v>
      </c>
    </row>
    <row r="16" spans="1:6" ht="15" thickBot="1" x14ac:dyDescent="0.35">
      <c r="A16" s="79" t="s">
        <v>11</v>
      </c>
      <c r="B16" s="88">
        <f>B14+B15</f>
        <v>0</v>
      </c>
      <c r="C16" s="171">
        <f>C14+C15</f>
        <v>0</v>
      </c>
      <c r="D16" s="171">
        <f>D14+D15</f>
        <v>0</v>
      </c>
      <c r="E16" s="171">
        <f>B16/B$8+C16/C$8+D16/D$8</f>
        <v>0</v>
      </c>
      <c r="F16" s="173">
        <f>E16/60*300</f>
        <v>0</v>
      </c>
    </row>
    <row r="19" spans="1:6" ht="15" thickBot="1" x14ac:dyDescent="0.35"/>
    <row r="20" spans="1:6" ht="15" thickBot="1" x14ac:dyDescent="0.35">
      <c r="A20" s="110"/>
      <c r="B20" s="39" t="s">
        <v>61</v>
      </c>
      <c r="C20" s="36" t="s">
        <v>62</v>
      </c>
      <c r="D20" s="36" t="s">
        <v>63</v>
      </c>
      <c r="E20" s="37" t="s">
        <v>64</v>
      </c>
      <c r="F20" s="80" t="s">
        <v>65</v>
      </c>
    </row>
    <row r="21" spans="1:6" x14ac:dyDescent="0.3">
      <c r="A21" s="62"/>
      <c r="B21" s="165">
        <v>0.47</v>
      </c>
      <c r="C21" s="166">
        <v>0.09</v>
      </c>
      <c r="D21" s="166">
        <v>0.38</v>
      </c>
      <c r="E21" s="52"/>
      <c r="F21" s="53"/>
    </row>
    <row r="22" spans="1:6" x14ac:dyDescent="0.3">
      <c r="A22" s="47" t="s">
        <v>66</v>
      </c>
      <c r="B22" s="161"/>
      <c r="C22" s="162"/>
      <c r="D22" s="162"/>
      <c r="E22" s="69">
        <f>B22/B$21+C22/C$21+D22/D$21</f>
        <v>0</v>
      </c>
      <c r="F22" s="87">
        <f>E22/60*300</f>
        <v>0</v>
      </c>
    </row>
    <row r="23" spans="1:6" ht="15" thickBot="1" x14ac:dyDescent="0.35">
      <c r="A23" s="63" t="s">
        <v>67</v>
      </c>
      <c r="B23" s="161"/>
      <c r="C23" s="162"/>
      <c r="D23" s="162"/>
      <c r="E23" s="69">
        <f>B23/B$21+C23/C$21+D23/D$21</f>
        <v>0</v>
      </c>
      <c r="F23" s="87">
        <f>E23/60*300</f>
        <v>0</v>
      </c>
    </row>
    <row r="24" spans="1:6" ht="15" thickBot="1" x14ac:dyDescent="0.35">
      <c r="A24" s="79" t="s">
        <v>11</v>
      </c>
      <c r="B24" s="88">
        <f>B22+B23</f>
        <v>0</v>
      </c>
      <c r="C24" s="171">
        <f>C22+C23</f>
        <v>0</v>
      </c>
      <c r="D24" s="171">
        <f>D22+D23</f>
        <v>0</v>
      </c>
      <c r="E24" s="171">
        <f>B24/B$21+C24/C$21+D24/D$21</f>
        <v>0</v>
      </c>
      <c r="F24" s="89">
        <f>E24/60*300</f>
        <v>0</v>
      </c>
    </row>
    <row r="25" spans="1:6" ht="15" thickBot="1" x14ac:dyDescent="0.35">
      <c r="A25" s="110"/>
      <c r="B25" s="39" t="s">
        <v>61</v>
      </c>
      <c r="C25" s="36" t="s">
        <v>62</v>
      </c>
      <c r="D25" s="36" t="s">
        <v>63</v>
      </c>
      <c r="E25" s="37" t="s">
        <v>64</v>
      </c>
      <c r="F25" s="80" t="s">
        <v>65</v>
      </c>
    </row>
    <row r="26" spans="1:6" x14ac:dyDescent="0.3">
      <c r="A26" s="62" t="s">
        <v>57</v>
      </c>
      <c r="B26" s="165">
        <v>0.47</v>
      </c>
      <c r="C26" s="166">
        <v>0.09</v>
      </c>
      <c r="D26" s="166">
        <v>0.38</v>
      </c>
      <c r="E26" s="52"/>
      <c r="F26" s="53"/>
    </row>
    <row r="27" spans="1:6" x14ac:dyDescent="0.3">
      <c r="A27" s="47" t="s">
        <v>66</v>
      </c>
      <c r="B27" s="161"/>
      <c r="C27" s="162"/>
      <c r="D27" s="162"/>
      <c r="E27" s="69">
        <f>B27/B$21+C27/C$21+D27/D$21</f>
        <v>0</v>
      </c>
      <c r="F27" s="87">
        <f>E27/60*300</f>
        <v>0</v>
      </c>
    </row>
    <row r="28" spans="1:6" ht="15" thickBot="1" x14ac:dyDescent="0.35">
      <c r="A28" s="63" t="s">
        <v>67</v>
      </c>
      <c r="B28" s="161"/>
      <c r="C28" s="162"/>
      <c r="D28" s="162"/>
      <c r="E28" s="69">
        <f>B28/B$21+C28/C$21+D28/D$21</f>
        <v>0</v>
      </c>
      <c r="F28" s="87">
        <f>E28/60*300</f>
        <v>0</v>
      </c>
    </row>
    <row r="29" spans="1:6" ht="15" thickBot="1" x14ac:dyDescent="0.35">
      <c r="A29" s="79" t="s">
        <v>11</v>
      </c>
      <c r="B29" s="88">
        <f>B27+B28</f>
        <v>0</v>
      </c>
      <c r="C29" s="171">
        <f>C27+C28</f>
        <v>0</v>
      </c>
      <c r="D29" s="171">
        <f>D27+D28</f>
        <v>0</v>
      </c>
      <c r="E29" s="171">
        <f>B29/B$21+C29/C$21+D29/D$21</f>
        <v>0</v>
      </c>
      <c r="F29" s="89">
        <f>E29/60*300</f>
        <v>0</v>
      </c>
    </row>
    <row r="32" spans="1:6" x14ac:dyDescent="0.3">
      <c r="A32" s="111"/>
      <c r="B32" s="111"/>
      <c r="C32" s="111"/>
      <c r="D32" s="111"/>
      <c r="E32" s="111"/>
      <c r="F32" s="111"/>
    </row>
    <row r="33" spans="1:6" x14ac:dyDescent="0.3">
      <c r="A33" s="132"/>
      <c r="B33" s="132"/>
      <c r="C33" s="132"/>
      <c r="D33" s="132"/>
      <c r="E33" s="132"/>
      <c r="F33" s="132"/>
    </row>
    <row r="34" spans="1:6" ht="15" thickBot="1" x14ac:dyDescent="0.35"/>
    <row r="35" spans="1:6" ht="15" thickBot="1" x14ac:dyDescent="0.35">
      <c r="A35" s="110"/>
      <c r="B35" s="41" t="s">
        <v>61</v>
      </c>
      <c r="C35" s="61" t="s">
        <v>62</v>
      </c>
      <c r="D35" s="61" t="s">
        <v>63</v>
      </c>
      <c r="E35" s="61" t="s">
        <v>64</v>
      </c>
      <c r="F35" s="29" t="s">
        <v>65</v>
      </c>
    </row>
    <row r="36" spans="1:6" x14ac:dyDescent="0.3">
      <c r="A36" s="66"/>
      <c r="B36" s="167">
        <v>0.47</v>
      </c>
      <c r="C36" s="168">
        <v>0.09</v>
      </c>
      <c r="D36" s="168">
        <v>0.38</v>
      </c>
      <c r="E36" s="58"/>
      <c r="F36" s="59"/>
    </row>
    <row r="37" spans="1:6" x14ac:dyDescent="0.3">
      <c r="A37" s="44" t="s">
        <v>66</v>
      </c>
      <c r="B37" s="169"/>
      <c r="C37" s="162"/>
      <c r="D37" s="162"/>
      <c r="E37" s="69">
        <f>B37/B$36+C37/C$36+D37/D$36</f>
        <v>0</v>
      </c>
      <c r="F37" s="87">
        <f>E37*300</f>
        <v>0</v>
      </c>
    </row>
    <row r="38" spans="1:6" x14ac:dyDescent="0.3">
      <c r="A38" s="44" t="s">
        <v>67</v>
      </c>
      <c r="B38" s="169"/>
      <c r="C38" s="162"/>
      <c r="D38" s="162"/>
      <c r="E38" s="69">
        <f>B38/B$36+C38/C$36+D38/D$36</f>
        <v>0</v>
      </c>
      <c r="F38" s="87">
        <f>E38*300</f>
        <v>0</v>
      </c>
    </row>
    <row r="39" spans="1:6" ht="15" thickBot="1" x14ac:dyDescent="0.35">
      <c r="A39" s="67" t="s">
        <v>11</v>
      </c>
      <c r="B39" s="170">
        <f>B37+B38</f>
        <v>0</v>
      </c>
      <c r="C39" s="171">
        <f>C37+C38</f>
        <v>0</v>
      </c>
      <c r="D39" s="171">
        <f>D37+D38</f>
        <v>0</v>
      </c>
      <c r="E39" s="171">
        <f>B39/B$36+C39/C$36+D39/D$36</f>
        <v>0</v>
      </c>
      <c r="F39" s="89">
        <f>E39*300</f>
        <v>0</v>
      </c>
    </row>
    <row r="40" spans="1:6" ht="15" thickBot="1" x14ac:dyDescent="0.35">
      <c r="A40" s="110"/>
      <c r="B40" s="41" t="s">
        <v>61</v>
      </c>
      <c r="C40" s="61" t="s">
        <v>62</v>
      </c>
      <c r="D40" s="61" t="s">
        <v>63</v>
      </c>
      <c r="E40" s="61" t="s">
        <v>64</v>
      </c>
      <c r="F40" s="29" t="s">
        <v>65</v>
      </c>
    </row>
    <row r="41" spans="1:6" x14ac:dyDescent="0.3">
      <c r="A41" s="66"/>
      <c r="B41" s="167">
        <v>0.47</v>
      </c>
      <c r="C41" s="168">
        <v>0.09</v>
      </c>
      <c r="D41" s="168">
        <v>0.38</v>
      </c>
      <c r="E41" s="58"/>
      <c r="F41" s="59"/>
    </row>
    <row r="42" spans="1:6" x14ac:dyDescent="0.3">
      <c r="A42" s="44" t="s">
        <v>66</v>
      </c>
      <c r="B42" s="169"/>
      <c r="C42" s="162"/>
      <c r="D42" s="162"/>
      <c r="E42" s="69">
        <f>B42/B$36+C42/C$36+D42/D$36</f>
        <v>0</v>
      </c>
      <c r="F42" s="87">
        <f>E42*300</f>
        <v>0</v>
      </c>
    </row>
    <row r="43" spans="1:6" x14ac:dyDescent="0.3">
      <c r="A43" s="44" t="s">
        <v>67</v>
      </c>
      <c r="B43" s="169"/>
      <c r="C43" s="162"/>
      <c r="D43" s="162"/>
      <c r="E43" s="69">
        <f>B43/B$36+C43/C$36+D43/D$36</f>
        <v>0</v>
      </c>
      <c r="F43" s="87">
        <f>E43*300</f>
        <v>0</v>
      </c>
    </row>
    <row r="44" spans="1:6" ht="15" thickBot="1" x14ac:dyDescent="0.35">
      <c r="A44" s="67" t="s">
        <v>11</v>
      </c>
      <c r="B44" s="170">
        <f>B42+B43</f>
        <v>0</v>
      </c>
      <c r="C44" s="171">
        <f>C42+C43</f>
        <v>0</v>
      </c>
      <c r="D44" s="171">
        <f>D42+D43</f>
        <v>0</v>
      </c>
      <c r="E44" s="171">
        <f>B44/B$36+C44/C$36+D44/D$36</f>
        <v>0</v>
      </c>
      <c r="F44" s="89">
        <f>E44*300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55EAC-37BA-4509-9765-6FB27F6E2583}">
  <ds:schemaRefs>
    <ds:schemaRef ds:uri="http://purl.org/dc/elements/1.1/"/>
    <ds:schemaRef ds:uri="37b6a217-4fe1-4884-a4eb-572c5a1969c7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b4a05875-65d3-4835-893d-114c38c7e664"/>
    <ds:schemaRef ds:uri="http://schemas.openxmlformats.org/package/2006/metadata/core-properties"/>
    <ds:schemaRef ds:uri="6960d0b3-ca4a-4cf2-9ba8-0295adcbe63e"/>
    <ds:schemaRef ds:uri="http://www.w3.org/XML/1998/namespace"/>
    <ds:schemaRef ds:uri="http://purl.org/dc/dcmitype/"/>
    <ds:schemaRef ds:uri="8dde8a50-f86d-46ca-ae54-a219d58ab0f1"/>
  </ds:schemaRefs>
</ds:datastoreItem>
</file>

<file path=customXml/itemProps2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2020-01-28T10:03:51Z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