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ämäTyökirja"/>
  <mc:AlternateContent xmlns:mc="http://schemas.openxmlformats.org/markup-compatibility/2006">
    <mc:Choice Requires="x15">
      <x15ac:absPath xmlns:x15ac="http://schemas.microsoft.com/office/spreadsheetml/2010/11/ac" url="C:\Users\FIAS34036\helmet\helmet-model-system\Scripts\"/>
    </mc:Choice>
  </mc:AlternateContent>
  <bookViews>
    <workbookView xWindow="28680" yWindow="-120" windowWidth="29040" windowHeight="15840" activeTab="12"/>
  </bookViews>
  <sheets>
    <sheet name="Yhteenveto" sheetId="1" r:id="rId1"/>
    <sheet name="Diskonttaus" sheetId="2" r:id="rId2"/>
    <sheet name="Kayttajahyodyt" sheetId="3" r:id="rId3"/>
    <sheet name="ha_tyo" sheetId="4" state="hidden" r:id="rId4"/>
    <sheet name="ha_muu" sheetId="5" state="hidden" r:id="rId5"/>
    <sheet name="jl_tyo" sheetId="6" state="hidden" r:id="rId6"/>
    <sheet name="jl_muu" sheetId="7" state="hidden" r:id="rId7"/>
    <sheet name="pp_tyo" sheetId="8" state="hidden" r:id="rId8"/>
    <sheet name="pp_muu" sheetId="9" state="hidden" r:id="rId9"/>
    <sheet name="ka" sheetId="10" state="hidden" r:id="rId10"/>
    <sheet name="yhd" sheetId="11" state="hidden" r:id="rId11"/>
    <sheet name="pa" sheetId="12" state="hidden" r:id="rId12"/>
    <sheet name="Tuottajahyodyt" sheetId="13" r:id="rId13"/>
    <sheet name="Ulkoisvaikutukset" sheetId="14" r:id="rId14"/>
    <sheet name="Julkistaloudelliset" sheetId="15" r:id="rId15"/>
    <sheet name="Investointikustannus" sheetId="16" r:id="rId16"/>
  </sheets>
  <calcPr calcId="171027"/>
  <fileRecoveryPr repairLoad="1"/>
</workbook>
</file>

<file path=xl/calcChain.xml><?xml version="1.0" encoding="utf-8"?>
<calcChain xmlns="http://schemas.openxmlformats.org/spreadsheetml/2006/main">
  <c r="U19" i="14" l="1"/>
  <c r="U18" i="14"/>
  <c r="U17" i="14"/>
  <c r="U16" i="14"/>
  <c r="U15" i="14"/>
  <c r="U14" i="14"/>
  <c r="R139" i="14"/>
  <c r="R138" i="14"/>
  <c r="R130" i="14"/>
  <c r="R129" i="14"/>
  <c r="R121" i="14"/>
  <c r="R120" i="14"/>
  <c r="R112" i="14"/>
  <c r="R111" i="14"/>
  <c r="I139" i="14"/>
  <c r="I138" i="14"/>
  <c r="I130" i="14"/>
  <c r="I129" i="14"/>
  <c r="I121" i="14"/>
  <c r="I120" i="14"/>
  <c r="I111" i="14"/>
  <c r="I112" i="14"/>
  <c r="C109" i="14"/>
  <c r="U11" i="14"/>
  <c r="U10" i="14"/>
  <c r="U9" i="14"/>
  <c r="U8" i="14"/>
  <c r="E25" i="1"/>
  <c r="C17" i="14"/>
  <c r="C140" i="14" s="1"/>
  <c r="L13" i="14"/>
  <c r="L136" i="14" s="1"/>
  <c r="C13" i="14"/>
  <c r="C118" i="14" s="1"/>
  <c r="L17" i="14"/>
  <c r="L140" i="14" s="1"/>
  <c r="W14" i="14" l="1"/>
  <c r="C113" i="14"/>
  <c r="C122" i="14"/>
  <c r="C131" i="14"/>
  <c r="L109" i="14"/>
  <c r="L146" i="14" s="1"/>
  <c r="L118" i="14"/>
  <c r="L127" i="14"/>
  <c r="C127" i="14"/>
  <c r="C164" i="14" s="1"/>
  <c r="C136" i="14"/>
  <c r="C173" i="14" s="1"/>
  <c r="C146" i="14"/>
  <c r="L113" i="14"/>
  <c r="L122" i="14"/>
  <c r="L131" i="14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D27" i="16"/>
  <c r="C27" i="16"/>
  <c r="W23" i="16"/>
  <c r="V23" i="16"/>
  <c r="U23" i="16"/>
  <c r="T23" i="16"/>
  <c r="S23" i="16"/>
  <c r="R23" i="16"/>
  <c r="Q23" i="16"/>
  <c r="P23" i="16"/>
  <c r="O23" i="16"/>
  <c r="N23" i="16"/>
  <c r="L23" i="16"/>
  <c r="K23" i="16"/>
  <c r="J23" i="16"/>
  <c r="I23" i="16"/>
  <c r="H23" i="16"/>
  <c r="G23" i="16"/>
  <c r="F23" i="16"/>
  <c r="E23" i="16"/>
  <c r="D23" i="16"/>
  <c r="C23" i="16"/>
  <c r="N8" i="16"/>
  <c r="D8" i="16"/>
  <c r="D40" i="16" s="1"/>
  <c r="C8" i="16"/>
  <c r="Z7" i="16"/>
  <c r="B25" i="15"/>
  <c r="B20" i="15"/>
  <c r="J13" i="15"/>
  <c r="C13" i="15"/>
  <c r="B11" i="15"/>
  <c r="J8" i="15"/>
  <c r="C8" i="15"/>
  <c r="B6" i="15"/>
  <c r="C177" i="14"/>
  <c r="C155" i="14"/>
  <c r="Q20" i="14"/>
  <c r="P20" i="14"/>
  <c r="O20" i="14"/>
  <c r="N20" i="14"/>
  <c r="M20" i="14"/>
  <c r="L20" i="14"/>
  <c r="H20" i="14"/>
  <c r="G20" i="14"/>
  <c r="F20" i="14"/>
  <c r="E20" i="14"/>
  <c r="D20" i="14"/>
  <c r="C20" i="14"/>
  <c r="Q19" i="14"/>
  <c r="P19" i="14"/>
  <c r="O19" i="14"/>
  <c r="N19" i="14"/>
  <c r="M19" i="14"/>
  <c r="L19" i="14"/>
  <c r="H19" i="14"/>
  <c r="G19" i="14"/>
  <c r="F19" i="14"/>
  <c r="E19" i="14"/>
  <c r="D19" i="14"/>
  <c r="C19" i="14"/>
  <c r="Q18" i="14"/>
  <c r="P18" i="14"/>
  <c r="O18" i="14"/>
  <c r="N18" i="14"/>
  <c r="M18" i="14"/>
  <c r="L18" i="14"/>
  <c r="H18" i="14"/>
  <c r="G18" i="14"/>
  <c r="F18" i="14"/>
  <c r="E18" i="14"/>
  <c r="D18" i="14"/>
  <c r="C18" i="14"/>
  <c r="V14" i="14" s="1"/>
  <c r="Q17" i="14"/>
  <c r="W19" i="14" s="1"/>
  <c r="P17" i="14"/>
  <c r="W18" i="14" s="1"/>
  <c r="O17" i="14"/>
  <c r="W17" i="14" s="1"/>
  <c r="N17" i="14"/>
  <c r="W16" i="14" s="1"/>
  <c r="M17" i="14"/>
  <c r="W15" i="14" s="1"/>
  <c r="H17" i="14"/>
  <c r="G17" i="14"/>
  <c r="F17" i="14"/>
  <c r="V17" i="14" s="1"/>
  <c r="E17" i="14"/>
  <c r="D17" i="14"/>
  <c r="Q16" i="14"/>
  <c r="P16" i="14"/>
  <c r="O16" i="14"/>
  <c r="N16" i="14"/>
  <c r="M16" i="14"/>
  <c r="L16" i="14"/>
  <c r="H16" i="14"/>
  <c r="G16" i="14"/>
  <c r="F16" i="14"/>
  <c r="E16" i="14"/>
  <c r="D16" i="14"/>
  <c r="C16" i="14"/>
  <c r="Q15" i="14"/>
  <c r="P15" i="14"/>
  <c r="O15" i="14"/>
  <c r="N15" i="14"/>
  <c r="M15" i="14"/>
  <c r="L15" i="14"/>
  <c r="H15" i="14"/>
  <c r="G15" i="14"/>
  <c r="F15" i="14"/>
  <c r="E15" i="14"/>
  <c r="D15" i="14"/>
  <c r="C15" i="14"/>
  <c r="P14" i="14"/>
  <c r="O14" i="14"/>
  <c r="N14" i="14"/>
  <c r="M14" i="14"/>
  <c r="L14" i="14"/>
  <c r="G14" i="14"/>
  <c r="F14" i="14"/>
  <c r="E14" i="14"/>
  <c r="D14" i="14"/>
  <c r="C14" i="14"/>
  <c r="P13" i="14"/>
  <c r="O13" i="14"/>
  <c r="N13" i="14"/>
  <c r="M13" i="14"/>
  <c r="L173" i="14"/>
  <c r="G13" i="14"/>
  <c r="F13" i="14"/>
  <c r="E13" i="14"/>
  <c r="D13" i="14"/>
  <c r="R11" i="14"/>
  <c r="C81" i="3" s="1"/>
  <c r="I11" i="14"/>
  <c r="R10" i="14"/>
  <c r="C80" i="3" s="1"/>
  <c r="I10" i="14"/>
  <c r="C73" i="3" s="1"/>
  <c r="R9" i="14"/>
  <c r="C78" i="3" s="1"/>
  <c r="I9" i="14"/>
  <c r="C71" i="3" s="1"/>
  <c r="O71" i="3" s="1"/>
  <c r="R8" i="14"/>
  <c r="I8" i="14"/>
  <c r="C70" i="3" s="1"/>
  <c r="O70" i="3" s="1"/>
  <c r="R7" i="14"/>
  <c r="I7" i="14"/>
  <c r="R6" i="14"/>
  <c r="I6" i="14"/>
  <c r="Q5" i="14"/>
  <c r="Q14" i="14" s="1"/>
  <c r="H5" i="14"/>
  <c r="Q4" i="14"/>
  <c r="Q13" i="14" s="1"/>
  <c r="H4" i="14"/>
  <c r="K2" i="14"/>
  <c r="B2" i="14"/>
  <c r="C73" i="13"/>
  <c r="B73" i="13"/>
  <c r="G67" i="13"/>
  <c r="F62" i="13"/>
  <c r="B59" i="13"/>
  <c r="B58" i="13"/>
  <c r="F54" i="13"/>
  <c r="F46" i="13"/>
  <c r="A45" i="13"/>
  <c r="F43" i="13"/>
  <c r="A42" i="13"/>
  <c r="C36" i="13"/>
  <c r="B34" i="13"/>
  <c r="C32" i="13"/>
  <c r="B30" i="13"/>
  <c r="N20" i="13"/>
  <c r="H20" i="13"/>
  <c r="G20" i="13"/>
  <c r="H19" i="13"/>
  <c r="M19" i="13" s="1"/>
  <c r="G19" i="13"/>
  <c r="L19" i="13" s="1"/>
  <c r="N18" i="13"/>
  <c r="H18" i="13"/>
  <c r="M18" i="13" s="1"/>
  <c r="G18" i="13"/>
  <c r="L18" i="13" s="1"/>
  <c r="O18" i="13" s="1"/>
  <c r="N17" i="13"/>
  <c r="H17" i="13"/>
  <c r="M17" i="13" s="1"/>
  <c r="G17" i="13"/>
  <c r="L17" i="13" s="1"/>
  <c r="O17" i="13" s="1"/>
  <c r="N16" i="13"/>
  <c r="H16" i="13"/>
  <c r="M16" i="13" s="1"/>
  <c r="G16" i="13"/>
  <c r="L16" i="13" s="1"/>
  <c r="O16" i="13" s="1"/>
  <c r="K15" i="13"/>
  <c r="N12" i="13"/>
  <c r="H12" i="13"/>
  <c r="M12" i="13" s="1"/>
  <c r="G12" i="13"/>
  <c r="G59" i="13" s="1"/>
  <c r="C12" i="13"/>
  <c r="M20" i="13" s="1"/>
  <c r="B12" i="13"/>
  <c r="L12" i="13" s="1"/>
  <c r="H11" i="13"/>
  <c r="M11" i="13" s="1"/>
  <c r="G11" i="13"/>
  <c r="L11" i="13" s="1"/>
  <c r="D11" i="13"/>
  <c r="N19" i="13" s="1"/>
  <c r="N10" i="13"/>
  <c r="M10" i="13"/>
  <c r="H10" i="13"/>
  <c r="G10" i="13"/>
  <c r="G57" i="13" s="1"/>
  <c r="L57" i="13" s="1"/>
  <c r="N9" i="13"/>
  <c r="H9" i="13"/>
  <c r="M9" i="13" s="1"/>
  <c r="G9" i="13"/>
  <c r="L9" i="13" s="1"/>
  <c r="N8" i="13"/>
  <c r="H8" i="13"/>
  <c r="M8" i="13" s="1"/>
  <c r="G8" i="13"/>
  <c r="L8" i="13" s="1"/>
  <c r="K7" i="13"/>
  <c r="D44" i="12"/>
  <c r="C44" i="12"/>
  <c r="B44" i="12"/>
  <c r="E44" i="12" s="1"/>
  <c r="F44" i="12" s="1"/>
  <c r="F43" i="12"/>
  <c r="F42" i="12"/>
  <c r="K42" i="3" s="1"/>
  <c r="K44" i="3" s="1"/>
  <c r="D39" i="12"/>
  <c r="C39" i="12"/>
  <c r="B39" i="12"/>
  <c r="E39" i="12" s="1"/>
  <c r="F39" i="12" s="1"/>
  <c r="F38" i="12"/>
  <c r="F37" i="12"/>
  <c r="K37" i="3" s="1"/>
  <c r="K39" i="3" s="1"/>
  <c r="E29" i="12"/>
  <c r="F29" i="12" s="1"/>
  <c r="D29" i="12"/>
  <c r="C29" i="12"/>
  <c r="B29" i="12"/>
  <c r="F28" i="12"/>
  <c r="K28" i="3" s="1"/>
  <c r="F27" i="12"/>
  <c r="D24" i="12"/>
  <c r="C24" i="12"/>
  <c r="B24" i="12"/>
  <c r="E24" i="12" s="1"/>
  <c r="F24" i="12" s="1"/>
  <c r="F23" i="12"/>
  <c r="K23" i="3" s="1"/>
  <c r="F22" i="12"/>
  <c r="K22" i="3" s="1"/>
  <c r="D16" i="12"/>
  <c r="C16" i="12"/>
  <c r="B16" i="12"/>
  <c r="E16" i="12" s="1"/>
  <c r="F16" i="12" s="1"/>
  <c r="F15" i="12"/>
  <c r="K15" i="3" s="1"/>
  <c r="F14" i="12"/>
  <c r="K14" i="3" s="1"/>
  <c r="K16" i="3" s="1"/>
  <c r="D11" i="12"/>
  <c r="C11" i="12"/>
  <c r="B11" i="12"/>
  <c r="E11" i="12" s="1"/>
  <c r="F11" i="12" s="1"/>
  <c r="F10" i="12"/>
  <c r="F9" i="12"/>
  <c r="K9" i="3" s="1"/>
  <c r="D44" i="11"/>
  <c r="C44" i="11"/>
  <c r="B44" i="11"/>
  <c r="E44" i="11" s="1"/>
  <c r="F44" i="11" s="1"/>
  <c r="F43" i="11"/>
  <c r="F42" i="11"/>
  <c r="D39" i="11"/>
  <c r="E39" i="11" s="1"/>
  <c r="F39" i="11" s="1"/>
  <c r="C39" i="11"/>
  <c r="B39" i="11"/>
  <c r="F38" i="11"/>
  <c r="F37" i="11"/>
  <c r="J37" i="3" s="1"/>
  <c r="D29" i="11"/>
  <c r="C29" i="11"/>
  <c r="B29" i="11"/>
  <c r="E29" i="11" s="1"/>
  <c r="F29" i="11" s="1"/>
  <c r="F28" i="11"/>
  <c r="F27" i="11"/>
  <c r="F24" i="11"/>
  <c r="E24" i="11"/>
  <c r="D24" i="11"/>
  <c r="C24" i="11"/>
  <c r="B24" i="11"/>
  <c r="F23" i="11"/>
  <c r="F22" i="11"/>
  <c r="D16" i="11"/>
  <c r="C16" i="11"/>
  <c r="B16" i="11"/>
  <c r="E16" i="11" s="1"/>
  <c r="F16" i="11" s="1"/>
  <c r="F15" i="11"/>
  <c r="J15" i="3" s="1"/>
  <c r="F14" i="11"/>
  <c r="J14" i="3" s="1"/>
  <c r="D11" i="11"/>
  <c r="C11" i="11"/>
  <c r="B11" i="11"/>
  <c r="E11" i="11" s="1"/>
  <c r="F11" i="11" s="1"/>
  <c r="F10" i="11"/>
  <c r="J10" i="3" s="1"/>
  <c r="F9" i="11"/>
  <c r="J9" i="3" s="1"/>
  <c r="D44" i="10"/>
  <c r="C44" i="10"/>
  <c r="B44" i="10"/>
  <c r="E44" i="10" s="1"/>
  <c r="F44" i="10" s="1"/>
  <c r="F43" i="10"/>
  <c r="F42" i="10"/>
  <c r="I42" i="3" s="1"/>
  <c r="D39" i="10"/>
  <c r="C39" i="10"/>
  <c r="B39" i="10"/>
  <c r="E39" i="10" s="1"/>
  <c r="F39" i="10" s="1"/>
  <c r="F38" i="10"/>
  <c r="I38" i="3" s="1"/>
  <c r="F37" i="10"/>
  <c r="I37" i="3" s="1"/>
  <c r="E29" i="10"/>
  <c r="F29" i="10" s="1"/>
  <c r="D29" i="10"/>
  <c r="C29" i="10"/>
  <c r="B29" i="10"/>
  <c r="F28" i="10"/>
  <c r="F27" i="10"/>
  <c r="D24" i="10"/>
  <c r="C24" i="10"/>
  <c r="B24" i="10"/>
  <c r="E24" i="10" s="1"/>
  <c r="F24" i="10" s="1"/>
  <c r="F23" i="10"/>
  <c r="F22" i="10"/>
  <c r="D16" i="10"/>
  <c r="C16" i="10"/>
  <c r="B16" i="10"/>
  <c r="E16" i="10" s="1"/>
  <c r="F16" i="10" s="1"/>
  <c r="F15" i="10"/>
  <c r="F14" i="10"/>
  <c r="I14" i="3" s="1"/>
  <c r="I16" i="3" s="1"/>
  <c r="D11" i="10"/>
  <c r="C11" i="10"/>
  <c r="B11" i="10"/>
  <c r="E11" i="10" s="1"/>
  <c r="F11" i="10" s="1"/>
  <c r="F10" i="10"/>
  <c r="I10" i="3" s="1"/>
  <c r="F9" i="10"/>
  <c r="I9" i="3" s="1"/>
  <c r="D44" i="9"/>
  <c r="C44" i="9"/>
  <c r="B44" i="9"/>
  <c r="E44" i="9" s="1"/>
  <c r="F44" i="9" s="1"/>
  <c r="F43" i="9"/>
  <c r="F42" i="9"/>
  <c r="D39" i="9"/>
  <c r="E39" i="9" s="1"/>
  <c r="F39" i="9" s="1"/>
  <c r="C39" i="9"/>
  <c r="B39" i="9"/>
  <c r="F38" i="9"/>
  <c r="F37" i="9"/>
  <c r="D29" i="9"/>
  <c r="C29" i="9"/>
  <c r="B29" i="9"/>
  <c r="E29" i="9" s="1"/>
  <c r="F29" i="9" s="1"/>
  <c r="F28" i="9"/>
  <c r="F27" i="9"/>
  <c r="F24" i="9"/>
  <c r="E24" i="9"/>
  <c r="D24" i="9"/>
  <c r="C24" i="9"/>
  <c r="B24" i="9"/>
  <c r="F23" i="9"/>
  <c r="F22" i="9"/>
  <c r="D16" i="9"/>
  <c r="C16" i="9"/>
  <c r="B16" i="9"/>
  <c r="E16" i="9" s="1"/>
  <c r="F16" i="9" s="1"/>
  <c r="F15" i="9"/>
  <c r="F14" i="9"/>
  <c r="D11" i="9"/>
  <c r="C11" i="9"/>
  <c r="B11" i="9"/>
  <c r="E11" i="9" s="1"/>
  <c r="F11" i="9" s="1"/>
  <c r="F10" i="9"/>
  <c r="F9" i="9"/>
  <c r="D44" i="8"/>
  <c r="C44" i="8"/>
  <c r="B44" i="8"/>
  <c r="E44" i="8" s="1"/>
  <c r="F44" i="8" s="1"/>
  <c r="F43" i="8"/>
  <c r="F42" i="8"/>
  <c r="D39" i="8"/>
  <c r="C39" i="8"/>
  <c r="B39" i="8"/>
  <c r="E39" i="8" s="1"/>
  <c r="F39" i="8" s="1"/>
  <c r="F38" i="8"/>
  <c r="F37" i="8"/>
  <c r="E29" i="8"/>
  <c r="F29" i="8" s="1"/>
  <c r="D29" i="8"/>
  <c r="C29" i="8"/>
  <c r="B29" i="8"/>
  <c r="F28" i="8"/>
  <c r="F27" i="8"/>
  <c r="D24" i="8"/>
  <c r="C24" i="8"/>
  <c r="B24" i="8"/>
  <c r="E24" i="8" s="1"/>
  <c r="F24" i="8" s="1"/>
  <c r="F23" i="8"/>
  <c r="F22" i="8"/>
  <c r="D16" i="8"/>
  <c r="C16" i="8"/>
  <c r="B16" i="8"/>
  <c r="E16" i="8" s="1"/>
  <c r="F16" i="8" s="1"/>
  <c r="F15" i="8"/>
  <c r="F14" i="8"/>
  <c r="D11" i="8"/>
  <c r="C11" i="8"/>
  <c r="B11" i="8"/>
  <c r="F10" i="8"/>
  <c r="F9" i="8"/>
  <c r="G9" i="3" s="1"/>
  <c r="D44" i="7"/>
  <c r="C44" i="7"/>
  <c r="B44" i="7"/>
  <c r="E44" i="7" s="1"/>
  <c r="F44" i="7" s="1"/>
  <c r="F43" i="7"/>
  <c r="F43" i="3" s="1"/>
  <c r="F42" i="7"/>
  <c r="F42" i="3" s="1"/>
  <c r="D39" i="7"/>
  <c r="E39" i="7" s="1"/>
  <c r="F39" i="7" s="1"/>
  <c r="C39" i="7"/>
  <c r="B39" i="7"/>
  <c r="F38" i="7"/>
  <c r="F38" i="3" s="1"/>
  <c r="F37" i="7"/>
  <c r="F37" i="3" s="1"/>
  <c r="D29" i="7"/>
  <c r="C29" i="7"/>
  <c r="B29" i="7"/>
  <c r="E29" i="7" s="1"/>
  <c r="F29" i="7" s="1"/>
  <c r="F28" i="7"/>
  <c r="F27" i="7"/>
  <c r="F24" i="7"/>
  <c r="E24" i="7"/>
  <c r="D24" i="7"/>
  <c r="C24" i="7"/>
  <c r="B24" i="7"/>
  <c r="F23" i="7"/>
  <c r="F22" i="7"/>
  <c r="D16" i="7"/>
  <c r="C16" i="7"/>
  <c r="B16" i="7"/>
  <c r="E16" i="7" s="1"/>
  <c r="F16" i="7" s="1"/>
  <c r="F15" i="7"/>
  <c r="F15" i="3" s="1"/>
  <c r="F16" i="3" s="1"/>
  <c r="F14" i="7"/>
  <c r="F14" i="3" s="1"/>
  <c r="D11" i="7"/>
  <c r="C11" i="7"/>
  <c r="B11" i="7"/>
  <c r="E11" i="7" s="1"/>
  <c r="F11" i="7" s="1"/>
  <c r="F10" i="7"/>
  <c r="F10" i="3" s="1"/>
  <c r="F9" i="7"/>
  <c r="F9" i="3" s="1"/>
  <c r="D44" i="6"/>
  <c r="C44" i="6"/>
  <c r="B44" i="6"/>
  <c r="F43" i="6"/>
  <c r="E43" i="3" s="1"/>
  <c r="F42" i="6"/>
  <c r="E42" i="3" s="1"/>
  <c r="D39" i="6"/>
  <c r="C39" i="6"/>
  <c r="B39" i="6"/>
  <c r="E39" i="6" s="1"/>
  <c r="F39" i="6" s="1"/>
  <c r="F38" i="6"/>
  <c r="F37" i="6"/>
  <c r="F29" i="6"/>
  <c r="E29" i="6"/>
  <c r="D29" i="6"/>
  <c r="C29" i="6"/>
  <c r="B29" i="6"/>
  <c r="F28" i="6"/>
  <c r="F27" i="6"/>
  <c r="D24" i="6"/>
  <c r="C24" i="6"/>
  <c r="B24" i="6"/>
  <c r="E24" i="6" s="1"/>
  <c r="F24" i="6" s="1"/>
  <c r="F23" i="6"/>
  <c r="F22" i="6"/>
  <c r="F16" i="6"/>
  <c r="D16" i="6"/>
  <c r="C16" i="6"/>
  <c r="B16" i="6"/>
  <c r="E16" i="6" s="1"/>
  <c r="F15" i="6"/>
  <c r="E15" i="3" s="1"/>
  <c r="F14" i="6"/>
  <c r="E14" i="3" s="1"/>
  <c r="D11" i="6"/>
  <c r="C11" i="6"/>
  <c r="B11" i="6"/>
  <c r="F10" i="6"/>
  <c r="E10" i="3" s="1"/>
  <c r="F9" i="6"/>
  <c r="D44" i="5"/>
  <c r="C44" i="5"/>
  <c r="B44" i="5"/>
  <c r="E44" i="5" s="1"/>
  <c r="F44" i="5" s="1"/>
  <c r="F43" i="5"/>
  <c r="D43" i="3" s="1"/>
  <c r="F42" i="5"/>
  <c r="D42" i="3" s="1"/>
  <c r="D39" i="5"/>
  <c r="C39" i="5"/>
  <c r="E39" i="5" s="1"/>
  <c r="F39" i="5" s="1"/>
  <c r="B39" i="5"/>
  <c r="F38" i="5"/>
  <c r="D38" i="3" s="1"/>
  <c r="F37" i="5"/>
  <c r="D29" i="5"/>
  <c r="C29" i="5"/>
  <c r="B29" i="5"/>
  <c r="E29" i="5" s="1"/>
  <c r="F29" i="5" s="1"/>
  <c r="F28" i="5"/>
  <c r="F27" i="5"/>
  <c r="E24" i="5"/>
  <c r="F24" i="5" s="1"/>
  <c r="D24" i="5"/>
  <c r="C24" i="5"/>
  <c r="B24" i="5"/>
  <c r="F23" i="5"/>
  <c r="F22" i="5"/>
  <c r="D16" i="5"/>
  <c r="C16" i="5"/>
  <c r="B16" i="5"/>
  <c r="E16" i="5" s="1"/>
  <c r="F16" i="5" s="1"/>
  <c r="F15" i="5"/>
  <c r="D15" i="3" s="1"/>
  <c r="F14" i="5"/>
  <c r="D14" i="3" s="1"/>
  <c r="D16" i="3" s="1"/>
  <c r="D11" i="5"/>
  <c r="C11" i="5"/>
  <c r="B11" i="5"/>
  <c r="E11" i="5" s="1"/>
  <c r="F11" i="5" s="1"/>
  <c r="F10" i="5"/>
  <c r="D10" i="3" s="1"/>
  <c r="F9" i="5"/>
  <c r="D9" i="3" s="1"/>
  <c r="D11" i="3" s="1"/>
  <c r="D44" i="4"/>
  <c r="C44" i="4"/>
  <c r="B44" i="4"/>
  <c r="F43" i="4"/>
  <c r="C43" i="3" s="1"/>
  <c r="F42" i="4"/>
  <c r="D39" i="4"/>
  <c r="C39" i="4"/>
  <c r="B39" i="4"/>
  <c r="E39" i="4" s="1"/>
  <c r="F39" i="4" s="1"/>
  <c r="F38" i="4"/>
  <c r="C38" i="3" s="1"/>
  <c r="F37" i="4"/>
  <c r="C37" i="3" s="1"/>
  <c r="E29" i="4"/>
  <c r="F29" i="4" s="1"/>
  <c r="D29" i="4"/>
  <c r="C29" i="4"/>
  <c r="B29" i="4"/>
  <c r="F28" i="4"/>
  <c r="F27" i="4"/>
  <c r="D24" i="4"/>
  <c r="C24" i="4"/>
  <c r="B24" i="4"/>
  <c r="E24" i="4" s="1"/>
  <c r="F24" i="4" s="1"/>
  <c r="F23" i="4"/>
  <c r="F22" i="4"/>
  <c r="D16" i="4"/>
  <c r="C16" i="4"/>
  <c r="B16" i="4"/>
  <c r="E16" i="4" s="1"/>
  <c r="F16" i="4" s="1"/>
  <c r="F15" i="4"/>
  <c r="C15" i="3" s="1"/>
  <c r="F14" i="4"/>
  <c r="C14" i="3" s="1"/>
  <c r="D11" i="4"/>
  <c r="C11" i="4"/>
  <c r="B11" i="4"/>
  <c r="F10" i="4"/>
  <c r="C10" i="3" s="1"/>
  <c r="F9" i="4"/>
  <c r="C9" i="3" s="1"/>
  <c r="C11" i="3" s="1"/>
  <c r="O76" i="3"/>
  <c r="I76" i="3"/>
  <c r="C76" i="3"/>
  <c r="C74" i="3"/>
  <c r="O74" i="3" s="1"/>
  <c r="O69" i="3"/>
  <c r="I69" i="3"/>
  <c r="C69" i="3"/>
  <c r="D65" i="3"/>
  <c r="C65" i="3"/>
  <c r="D64" i="3"/>
  <c r="C64" i="3"/>
  <c r="E63" i="3"/>
  <c r="D63" i="3"/>
  <c r="C63" i="3"/>
  <c r="E62" i="3"/>
  <c r="D62" i="3"/>
  <c r="C62" i="3"/>
  <c r="D61" i="3"/>
  <c r="C61" i="3"/>
  <c r="J44" i="3"/>
  <c r="K43" i="3"/>
  <c r="J43" i="3"/>
  <c r="I43" i="3"/>
  <c r="J42" i="3"/>
  <c r="C42" i="3"/>
  <c r="B41" i="3"/>
  <c r="K38" i="3"/>
  <c r="J38" i="3"/>
  <c r="E38" i="3"/>
  <c r="E37" i="3"/>
  <c r="D37" i="3"/>
  <c r="B36" i="3"/>
  <c r="K27" i="3"/>
  <c r="B26" i="3"/>
  <c r="B21" i="3"/>
  <c r="I15" i="3"/>
  <c r="B13" i="3"/>
  <c r="K10" i="3"/>
  <c r="E9" i="3"/>
  <c r="B8" i="3"/>
  <c r="D5" i="3"/>
  <c r="C5" i="3"/>
  <c r="B5" i="3"/>
  <c r="I12" i="2"/>
  <c r="E12" i="2"/>
  <c r="F12" i="2" s="1"/>
  <c r="I11" i="2"/>
  <c r="E11" i="2"/>
  <c r="I10" i="2"/>
  <c r="E10" i="2"/>
  <c r="F10" i="2" s="1"/>
  <c r="I9" i="2"/>
  <c r="J9" i="2" s="1"/>
  <c r="E9" i="2"/>
  <c r="F9" i="2" s="1"/>
  <c r="I8" i="2"/>
  <c r="J8" i="2" s="1"/>
  <c r="E8" i="2"/>
  <c r="F8" i="2" s="1"/>
  <c r="I7" i="2"/>
  <c r="E7" i="2"/>
  <c r="F7" i="2" s="1"/>
  <c r="I6" i="2"/>
  <c r="J6" i="2" s="1"/>
  <c r="H6" i="2"/>
  <c r="H7" i="2" s="1"/>
  <c r="H8" i="2" s="1"/>
  <c r="H9" i="2" s="1"/>
  <c r="H10" i="2" s="1"/>
  <c r="E6" i="2"/>
  <c r="F6" i="2" s="1"/>
  <c r="D6" i="2"/>
  <c r="D7" i="2" s="1"/>
  <c r="D8" i="2" s="1"/>
  <c r="D9" i="2" s="1"/>
  <c r="D10" i="2" s="1"/>
  <c r="D11" i="2" s="1"/>
  <c r="D12" i="2" s="1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Q5" i="2"/>
  <c r="AH5" i="2" s="1"/>
  <c r="I5" i="2"/>
  <c r="J5" i="2" s="1"/>
  <c r="H5" i="2"/>
  <c r="E5" i="2"/>
  <c r="F5" i="2" s="1"/>
  <c r="D5" i="2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V4" i="2"/>
  <c r="Q4" i="2"/>
  <c r="AH4" i="2" s="1"/>
  <c r="L4" i="2"/>
  <c r="L5" i="2" s="1"/>
  <c r="I4" i="2"/>
  <c r="J4" i="2" s="1"/>
  <c r="H4" i="2"/>
  <c r="E4" i="2"/>
  <c r="F4" i="2" s="1"/>
  <c r="D4" i="2"/>
  <c r="AG3" i="2"/>
  <c r="AD3" i="2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Q3" i="2"/>
  <c r="AH3" i="2" s="1"/>
  <c r="L3" i="2"/>
  <c r="AE3" i="2" s="1"/>
  <c r="I3" i="2"/>
  <c r="J3" i="2" s="1"/>
  <c r="H3" i="2"/>
  <c r="E3" i="2"/>
  <c r="D3" i="2"/>
  <c r="J1" i="2"/>
  <c r="F1" i="2"/>
  <c r="K29" i="3" l="1"/>
  <c r="K24" i="3"/>
  <c r="K11" i="3"/>
  <c r="G14" i="3"/>
  <c r="F39" i="3"/>
  <c r="F11" i="3"/>
  <c r="M43" i="3"/>
  <c r="E39" i="3"/>
  <c r="E11" i="3"/>
  <c r="D39" i="3"/>
  <c r="O19" i="13"/>
  <c r="L67" i="13"/>
  <c r="G65" i="13"/>
  <c r="L65" i="13" s="1"/>
  <c r="O12" i="13"/>
  <c r="L150" i="14"/>
  <c r="R131" i="14"/>
  <c r="C150" i="14"/>
  <c r="V18" i="14"/>
  <c r="C168" i="14"/>
  <c r="C159" i="14"/>
  <c r="V15" i="14"/>
  <c r="V16" i="14"/>
  <c r="G63" i="13"/>
  <c r="L63" i="13" s="1"/>
  <c r="R16" i="14"/>
  <c r="Q136" i="14"/>
  <c r="Q127" i="14"/>
  <c r="Q118" i="14"/>
  <c r="R118" i="14" s="1"/>
  <c r="Q109" i="14"/>
  <c r="R109" i="14" s="1"/>
  <c r="O137" i="14"/>
  <c r="O128" i="14"/>
  <c r="O165" i="14" s="1"/>
  <c r="O119" i="14"/>
  <c r="O156" i="14" s="1"/>
  <c r="O110" i="14"/>
  <c r="O147" i="14" s="1"/>
  <c r="I15" i="14"/>
  <c r="F138" i="14"/>
  <c r="F175" i="14" s="1"/>
  <c r="F129" i="14"/>
  <c r="F166" i="14" s="1"/>
  <c r="F120" i="14"/>
  <c r="F157" i="14" s="1"/>
  <c r="F111" i="14"/>
  <c r="F148" i="14" s="1"/>
  <c r="F140" i="14"/>
  <c r="F177" i="14" s="1"/>
  <c r="F131" i="14"/>
  <c r="F168" i="14" s="1"/>
  <c r="F122" i="14"/>
  <c r="F159" i="14" s="1"/>
  <c r="F113" i="14"/>
  <c r="F150" i="14" s="1"/>
  <c r="G142" i="14"/>
  <c r="G179" i="14" s="1"/>
  <c r="G133" i="14"/>
  <c r="G170" i="14" s="1"/>
  <c r="G124" i="14"/>
  <c r="G161" i="14" s="1"/>
  <c r="G115" i="14"/>
  <c r="G152" i="14" s="1"/>
  <c r="I74" i="3"/>
  <c r="D29" i="14"/>
  <c r="D32" i="14" s="1"/>
  <c r="D136" i="14"/>
  <c r="D173" i="14" s="1"/>
  <c r="D127" i="14"/>
  <c r="D164" i="14" s="1"/>
  <c r="D118" i="14"/>
  <c r="D155" i="14" s="1"/>
  <c r="D109" i="14"/>
  <c r="D146" i="14" s="1"/>
  <c r="E137" i="14"/>
  <c r="E174" i="14" s="1"/>
  <c r="E128" i="14"/>
  <c r="E165" i="14" s="1"/>
  <c r="E119" i="14"/>
  <c r="E156" i="14" s="1"/>
  <c r="E110" i="14"/>
  <c r="E147" i="14" s="1"/>
  <c r="G29" i="14"/>
  <c r="G32" i="14" s="1"/>
  <c r="G138" i="14"/>
  <c r="G175" i="14" s="1"/>
  <c r="G129" i="14"/>
  <c r="G166" i="14" s="1"/>
  <c r="G120" i="14"/>
  <c r="G157" i="14" s="1"/>
  <c r="G111" i="14"/>
  <c r="G148" i="14" s="1"/>
  <c r="G139" i="14"/>
  <c r="G176" i="14" s="1"/>
  <c r="G130" i="14"/>
  <c r="G167" i="14" s="1"/>
  <c r="G121" i="14"/>
  <c r="G158" i="14" s="1"/>
  <c r="G112" i="14"/>
  <c r="G149" i="14" s="1"/>
  <c r="G122" i="14"/>
  <c r="G159" i="14" s="1"/>
  <c r="G113" i="14"/>
  <c r="G150" i="14" s="1"/>
  <c r="G140" i="14"/>
  <c r="G177" i="14" s="1"/>
  <c r="G131" i="14"/>
  <c r="G168" i="14" s="1"/>
  <c r="H141" i="14"/>
  <c r="H178" i="14" s="1"/>
  <c r="H132" i="14"/>
  <c r="H169" i="14" s="1"/>
  <c r="H123" i="14"/>
  <c r="H160" i="14" s="1"/>
  <c r="H114" i="14"/>
  <c r="H151" i="14" s="1"/>
  <c r="H142" i="14"/>
  <c r="H179" i="14" s="1"/>
  <c r="H133" i="14"/>
  <c r="H170" i="14" s="1"/>
  <c r="H124" i="14"/>
  <c r="H161" i="14" s="1"/>
  <c r="H115" i="14"/>
  <c r="H152" i="14" s="1"/>
  <c r="H143" i="14"/>
  <c r="H180" i="14" s="1"/>
  <c r="H125" i="14"/>
  <c r="H162" i="14" s="1"/>
  <c r="H116" i="14"/>
  <c r="H153" i="14" s="1"/>
  <c r="H134" i="14"/>
  <c r="H171" i="14" s="1"/>
  <c r="N136" i="14"/>
  <c r="N173" i="14" s="1"/>
  <c r="N127" i="14"/>
  <c r="N164" i="14" s="1"/>
  <c r="N118" i="14"/>
  <c r="N155" i="14" s="1"/>
  <c r="N109" i="14"/>
  <c r="Q138" i="14"/>
  <c r="Q175" i="14" s="1"/>
  <c r="Q129" i="14"/>
  <c r="Q166" i="14" s="1"/>
  <c r="Q120" i="14"/>
  <c r="Q157" i="14" s="1"/>
  <c r="Q111" i="14"/>
  <c r="Q148" i="14" s="1"/>
  <c r="C129" i="14"/>
  <c r="C166" i="14" s="1"/>
  <c r="C120" i="14"/>
  <c r="C111" i="14"/>
  <c r="C148" i="14" s="1"/>
  <c r="C138" i="14"/>
  <c r="Q137" i="14"/>
  <c r="Q128" i="14"/>
  <c r="Q119" i="14"/>
  <c r="R119" i="14" s="1"/>
  <c r="Q110" i="14"/>
  <c r="R110" i="14" s="1"/>
  <c r="D137" i="14"/>
  <c r="D174" i="14" s="1"/>
  <c r="D128" i="14"/>
  <c r="D165" i="14" s="1"/>
  <c r="D119" i="14"/>
  <c r="D156" i="14" s="1"/>
  <c r="D110" i="14"/>
  <c r="D147" i="14" s="1"/>
  <c r="F139" i="14"/>
  <c r="F176" i="14" s="1"/>
  <c r="F130" i="14"/>
  <c r="F167" i="14" s="1"/>
  <c r="F121" i="14"/>
  <c r="F158" i="14" s="1"/>
  <c r="F112" i="14"/>
  <c r="F149" i="14" s="1"/>
  <c r="G114" i="14"/>
  <c r="G151" i="14" s="1"/>
  <c r="G141" i="14"/>
  <c r="G178" i="14" s="1"/>
  <c r="G132" i="14"/>
  <c r="G169" i="14" s="1"/>
  <c r="G123" i="14"/>
  <c r="G160" i="14" s="1"/>
  <c r="I20" i="14"/>
  <c r="G143" i="14"/>
  <c r="G180" i="14" s="1"/>
  <c r="G134" i="14"/>
  <c r="G171" i="14" s="1"/>
  <c r="G125" i="14"/>
  <c r="G162" i="14" s="1"/>
  <c r="G116" i="14"/>
  <c r="G153" i="14" s="1"/>
  <c r="E29" i="14"/>
  <c r="E32" i="14" s="1"/>
  <c r="E136" i="14"/>
  <c r="E173" i="14" s="1"/>
  <c r="E127" i="14"/>
  <c r="E164" i="14" s="1"/>
  <c r="E118" i="14"/>
  <c r="E155" i="14" s="1"/>
  <c r="E109" i="14"/>
  <c r="E146" i="14" s="1"/>
  <c r="F137" i="14"/>
  <c r="F174" i="14" s="1"/>
  <c r="F128" i="14"/>
  <c r="F165" i="14" s="1"/>
  <c r="F119" i="14"/>
  <c r="F156" i="14" s="1"/>
  <c r="F110" i="14"/>
  <c r="F147" i="14" s="1"/>
  <c r="H138" i="14"/>
  <c r="H175" i="14" s="1"/>
  <c r="H129" i="14"/>
  <c r="H166" i="14" s="1"/>
  <c r="H120" i="14"/>
  <c r="H157" i="14" s="1"/>
  <c r="H111" i="14"/>
  <c r="H148" i="14" s="1"/>
  <c r="H139" i="14"/>
  <c r="H176" i="14" s="1"/>
  <c r="H130" i="14"/>
  <c r="H167" i="14" s="1"/>
  <c r="H121" i="14"/>
  <c r="H158" i="14" s="1"/>
  <c r="H112" i="14"/>
  <c r="H149" i="14" s="1"/>
  <c r="H140" i="14"/>
  <c r="H177" i="14" s="1"/>
  <c r="H131" i="14"/>
  <c r="H168" i="14" s="1"/>
  <c r="H122" i="14"/>
  <c r="H159" i="14" s="1"/>
  <c r="H113" i="14"/>
  <c r="H150" i="14" s="1"/>
  <c r="L132" i="14"/>
  <c r="L114" i="14"/>
  <c r="L141" i="14"/>
  <c r="L123" i="14"/>
  <c r="L142" i="14"/>
  <c r="L133" i="14"/>
  <c r="L124" i="14"/>
  <c r="L115" i="14"/>
  <c r="L143" i="14"/>
  <c r="L134" i="14"/>
  <c r="L125" i="14"/>
  <c r="L116" i="14"/>
  <c r="P137" i="14"/>
  <c r="P174" i="14" s="1"/>
  <c r="P128" i="14"/>
  <c r="P165" i="14" s="1"/>
  <c r="P110" i="14"/>
  <c r="P147" i="14" s="1"/>
  <c r="P119" i="14"/>
  <c r="C133" i="14"/>
  <c r="C124" i="14"/>
  <c r="C115" i="14"/>
  <c r="C142" i="14"/>
  <c r="D134" i="14"/>
  <c r="D171" i="14" s="1"/>
  <c r="D125" i="14"/>
  <c r="D162" i="14" s="1"/>
  <c r="D143" i="14"/>
  <c r="D180" i="14" s="1"/>
  <c r="D116" i="14"/>
  <c r="D153" i="14" s="1"/>
  <c r="F109" i="14"/>
  <c r="F146" i="14" s="1"/>
  <c r="F136" i="14"/>
  <c r="F173" i="14" s="1"/>
  <c r="F127" i="14"/>
  <c r="F164" i="14" s="1"/>
  <c r="F118" i="14"/>
  <c r="F155" i="14" s="1"/>
  <c r="L138" i="14"/>
  <c r="L129" i="14"/>
  <c r="L166" i="14" s="1"/>
  <c r="L120" i="14"/>
  <c r="L157" i="14" s="1"/>
  <c r="L111" i="14"/>
  <c r="M122" i="14"/>
  <c r="M159" i="14" s="1"/>
  <c r="M140" i="14"/>
  <c r="M113" i="14"/>
  <c r="M150" i="14" s="1"/>
  <c r="M131" i="14"/>
  <c r="M168" i="14" s="1"/>
  <c r="M143" i="14"/>
  <c r="M180" i="14" s="1"/>
  <c r="M134" i="14"/>
  <c r="M171" i="14" s="1"/>
  <c r="M125" i="14"/>
  <c r="M162" i="14" s="1"/>
  <c r="M116" i="14"/>
  <c r="M153" i="14" s="1"/>
  <c r="I70" i="3"/>
  <c r="G128" i="14"/>
  <c r="G165" i="14" s="1"/>
  <c r="G137" i="14"/>
  <c r="G174" i="14" s="1"/>
  <c r="G119" i="14"/>
  <c r="G156" i="14" s="1"/>
  <c r="G110" i="14"/>
  <c r="G147" i="14" s="1"/>
  <c r="L139" i="14"/>
  <c r="L130" i="14"/>
  <c r="L167" i="14" s="1"/>
  <c r="L121" i="14"/>
  <c r="L158" i="14" s="1"/>
  <c r="L112" i="14"/>
  <c r="M141" i="14"/>
  <c r="M178" i="14" s="1"/>
  <c r="M132" i="14"/>
  <c r="M169" i="14" s="1"/>
  <c r="M123" i="14"/>
  <c r="M160" i="14" s="1"/>
  <c r="M114" i="14"/>
  <c r="M151" i="14" s="1"/>
  <c r="M142" i="14"/>
  <c r="M179" i="14" s="1"/>
  <c r="M133" i="14"/>
  <c r="M170" i="14" s="1"/>
  <c r="M124" i="14"/>
  <c r="M161" i="14" s="1"/>
  <c r="M115" i="14"/>
  <c r="M152" i="14" s="1"/>
  <c r="G118" i="14"/>
  <c r="G155" i="14" s="1"/>
  <c r="G136" i="14"/>
  <c r="G173" i="14" s="1"/>
  <c r="G127" i="14"/>
  <c r="G164" i="14" s="1"/>
  <c r="G109" i="14"/>
  <c r="G146" i="14" s="1"/>
  <c r="L137" i="14"/>
  <c r="L174" i="14" s="1"/>
  <c r="L128" i="14"/>
  <c r="L119" i="14"/>
  <c r="L110" i="14"/>
  <c r="M138" i="14"/>
  <c r="M175" i="14" s="1"/>
  <c r="M129" i="14"/>
  <c r="M166" i="14" s="1"/>
  <c r="M120" i="14"/>
  <c r="M157" i="14" s="1"/>
  <c r="M111" i="14"/>
  <c r="M148" i="14" s="1"/>
  <c r="M139" i="14"/>
  <c r="M176" i="14" s="1"/>
  <c r="M130" i="14"/>
  <c r="M167" i="14" s="1"/>
  <c r="M121" i="14"/>
  <c r="M158" i="14" s="1"/>
  <c r="M112" i="14"/>
  <c r="M149" i="14" s="1"/>
  <c r="N140" i="14"/>
  <c r="N177" i="14" s="1"/>
  <c r="N131" i="14"/>
  <c r="N168" i="14" s="1"/>
  <c r="N122" i="14"/>
  <c r="N159" i="14" s="1"/>
  <c r="N113" i="14"/>
  <c r="N150" i="14" s="1"/>
  <c r="N141" i="14"/>
  <c r="N178" i="14" s="1"/>
  <c r="N132" i="14"/>
  <c r="N169" i="14" s="1"/>
  <c r="N123" i="14"/>
  <c r="N160" i="14" s="1"/>
  <c r="N114" i="14"/>
  <c r="N151" i="14" s="1"/>
  <c r="N142" i="14"/>
  <c r="N179" i="14" s="1"/>
  <c r="N133" i="14"/>
  <c r="N170" i="14" s="1"/>
  <c r="N124" i="14"/>
  <c r="N161" i="14" s="1"/>
  <c r="N115" i="14"/>
  <c r="N152" i="14" s="1"/>
  <c r="N143" i="14"/>
  <c r="N134" i="14"/>
  <c r="N171" i="14" s="1"/>
  <c r="N125" i="14"/>
  <c r="N162" i="14" s="1"/>
  <c r="N116" i="14"/>
  <c r="N153" i="14" s="1"/>
  <c r="M137" i="14"/>
  <c r="M174" i="14" s="1"/>
  <c r="M128" i="14"/>
  <c r="M165" i="14" s="1"/>
  <c r="M119" i="14"/>
  <c r="M156" i="14" s="1"/>
  <c r="M110" i="14"/>
  <c r="M147" i="14" s="1"/>
  <c r="N138" i="14"/>
  <c r="N175" i="14" s="1"/>
  <c r="N129" i="14"/>
  <c r="N166" i="14" s="1"/>
  <c r="N120" i="14"/>
  <c r="N157" i="14" s="1"/>
  <c r="N111" i="14"/>
  <c r="N148" i="14" s="1"/>
  <c r="N112" i="14"/>
  <c r="N149" i="14" s="1"/>
  <c r="N139" i="14"/>
  <c r="N176" i="14" s="1"/>
  <c r="N130" i="14"/>
  <c r="N167" i="14" s="1"/>
  <c r="N121" i="14"/>
  <c r="O140" i="14"/>
  <c r="O177" i="14" s="1"/>
  <c r="O131" i="14"/>
  <c r="O168" i="14" s="1"/>
  <c r="O122" i="14"/>
  <c r="O159" i="14" s="1"/>
  <c r="O113" i="14"/>
  <c r="O150" i="14" s="1"/>
  <c r="O132" i="14"/>
  <c r="O169" i="14" s="1"/>
  <c r="O141" i="14"/>
  <c r="O178" i="14" s="1"/>
  <c r="O114" i="14"/>
  <c r="O151" i="14" s="1"/>
  <c r="O123" i="14"/>
  <c r="O160" i="14" s="1"/>
  <c r="O133" i="14"/>
  <c r="O170" i="14" s="1"/>
  <c r="O124" i="14"/>
  <c r="O161" i="14" s="1"/>
  <c r="O142" i="14"/>
  <c r="O179" i="14" s="1"/>
  <c r="O115" i="14"/>
  <c r="O152" i="14" s="1"/>
  <c r="O143" i="14"/>
  <c r="O180" i="14" s="1"/>
  <c r="O134" i="14"/>
  <c r="O171" i="14" s="1"/>
  <c r="O125" i="14"/>
  <c r="O162" i="14" s="1"/>
  <c r="O116" i="14"/>
  <c r="O153" i="14" s="1"/>
  <c r="M136" i="14"/>
  <c r="M173" i="14" s="1"/>
  <c r="M127" i="14"/>
  <c r="M164" i="14" s="1"/>
  <c r="M118" i="14"/>
  <c r="M155" i="14" s="1"/>
  <c r="M109" i="14"/>
  <c r="M146" i="14" s="1"/>
  <c r="N137" i="14"/>
  <c r="N174" i="14" s="1"/>
  <c r="N128" i="14"/>
  <c r="N165" i="14" s="1"/>
  <c r="N119" i="14"/>
  <c r="N156" i="14" s="1"/>
  <c r="N110" i="14"/>
  <c r="N147" i="14" s="1"/>
  <c r="O138" i="14"/>
  <c r="O175" i="14" s="1"/>
  <c r="O129" i="14"/>
  <c r="O120" i="14"/>
  <c r="O157" i="14" s="1"/>
  <c r="O111" i="14"/>
  <c r="O148" i="14" s="1"/>
  <c r="O139" i="14"/>
  <c r="O176" i="14" s="1"/>
  <c r="O130" i="14"/>
  <c r="O167" i="14" s="1"/>
  <c r="O121" i="14"/>
  <c r="O158" i="14" s="1"/>
  <c r="O112" i="14"/>
  <c r="O149" i="14" s="1"/>
  <c r="P140" i="14"/>
  <c r="P177" i="14" s="1"/>
  <c r="P131" i="14"/>
  <c r="P168" i="14" s="1"/>
  <c r="P122" i="14"/>
  <c r="P159" i="14" s="1"/>
  <c r="P113" i="14"/>
  <c r="P150" i="14" s="1"/>
  <c r="P141" i="14"/>
  <c r="P178" i="14" s="1"/>
  <c r="P132" i="14"/>
  <c r="P169" i="14" s="1"/>
  <c r="P123" i="14"/>
  <c r="P160" i="14" s="1"/>
  <c r="P114" i="14"/>
  <c r="P151" i="14" s="1"/>
  <c r="P142" i="14"/>
  <c r="P179" i="14" s="1"/>
  <c r="P133" i="14"/>
  <c r="P170" i="14" s="1"/>
  <c r="P124" i="14"/>
  <c r="P161" i="14" s="1"/>
  <c r="P115" i="14"/>
  <c r="P152" i="14" s="1"/>
  <c r="P143" i="14"/>
  <c r="P180" i="14" s="1"/>
  <c r="P134" i="14"/>
  <c r="P171" i="14" s="1"/>
  <c r="P125" i="14"/>
  <c r="P162" i="14" s="1"/>
  <c r="P116" i="14"/>
  <c r="P153" i="14" s="1"/>
  <c r="P138" i="14"/>
  <c r="P175" i="14" s="1"/>
  <c r="P129" i="14"/>
  <c r="P166" i="14" s="1"/>
  <c r="P120" i="14"/>
  <c r="P157" i="14" s="1"/>
  <c r="P111" i="14"/>
  <c r="P148" i="14" s="1"/>
  <c r="P139" i="14"/>
  <c r="P176" i="14" s="1"/>
  <c r="P130" i="14"/>
  <c r="P167" i="14" s="1"/>
  <c r="P121" i="14"/>
  <c r="P158" i="14" s="1"/>
  <c r="P112" i="14"/>
  <c r="P149" i="14" s="1"/>
  <c r="Q140" i="14"/>
  <c r="Q177" i="14" s="1"/>
  <c r="Q131" i="14"/>
  <c r="Q122" i="14"/>
  <c r="Q159" i="14" s="1"/>
  <c r="Q113" i="14"/>
  <c r="Q150" i="14" s="1"/>
  <c r="Q141" i="14"/>
  <c r="Q178" i="14" s="1"/>
  <c r="Q132" i="14"/>
  <c r="Q169" i="14" s="1"/>
  <c r="Q123" i="14"/>
  <c r="Q114" i="14"/>
  <c r="Q151" i="14" s="1"/>
  <c r="Q142" i="14"/>
  <c r="Q179" i="14" s="1"/>
  <c r="Q133" i="14"/>
  <c r="Q170" i="14" s="1"/>
  <c r="Q124" i="14"/>
  <c r="Q161" i="14" s="1"/>
  <c r="Q115" i="14"/>
  <c r="Q152" i="14" s="1"/>
  <c r="Q143" i="14"/>
  <c r="Q180" i="14" s="1"/>
  <c r="Q116" i="14"/>
  <c r="Q153" i="14" s="1"/>
  <c r="Q134" i="14"/>
  <c r="Q171" i="14" s="1"/>
  <c r="Q125" i="14"/>
  <c r="Q162" i="14" s="1"/>
  <c r="C123" i="14"/>
  <c r="C132" i="14"/>
  <c r="C114" i="14"/>
  <c r="C141" i="14"/>
  <c r="D141" i="14"/>
  <c r="D178" i="14" s="1"/>
  <c r="D132" i="14"/>
  <c r="D169" i="14" s="1"/>
  <c r="D123" i="14"/>
  <c r="D160" i="14" s="1"/>
  <c r="D114" i="14"/>
  <c r="D151" i="14" s="1"/>
  <c r="Q112" i="14"/>
  <c r="Q149" i="14" s="1"/>
  <c r="Q139" i="14"/>
  <c r="Q176" i="14" s="1"/>
  <c r="Q130" i="14"/>
  <c r="Q167" i="14" s="1"/>
  <c r="Q121" i="14"/>
  <c r="Q158" i="14" s="1"/>
  <c r="C130" i="14"/>
  <c r="C167" i="14" s="1"/>
  <c r="C121" i="14"/>
  <c r="C112" i="14"/>
  <c r="C149" i="14" s="1"/>
  <c r="C139" i="14"/>
  <c r="C176" i="14" s="1"/>
  <c r="E142" i="14"/>
  <c r="E179" i="14" s="1"/>
  <c r="E133" i="14"/>
  <c r="E170" i="14" s="1"/>
  <c r="E124" i="14"/>
  <c r="E161" i="14" s="1"/>
  <c r="E115" i="14"/>
  <c r="E152" i="14" s="1"/>
  <c r="O136" i="14"/>
  <c r="O173" i="14" s="1"/>
  <c r="O127" i="14"/>
  <c r="O118" i="14"/>
  <c r="O155" i="14" s="1"/>
  <c r="O109" i="14"/>
  <c r="O146" i="14" s="1"/>
  <c r="C143" i="14"/>
  <c r="C134" i="14"/>
  <c r="C125" i="14"/>
  <c r="C116" i="14"/>
  <c r="P127" i="14"/>
  <c r="P164" i="14" s="1"/>
  <c r="P118" i="14"/>
  <c r="P155" i="14" s="1"/>
  <c r="P109" i="14"/>
  <c r="P146" i="14" s="1"/>
  <c r="P136" i="14"/>
  <c r="P173" i="14" s="1"/>
  <c r="D142" i="14"/>
  <c r="D179" i="14" s="1"/>
  <c r="D133" i="14"/>
  <c r="D170" i="14" s="1"/>
  <c r="D124" i="14"/>
  <c r="D161" i="14" s="1"/>
  <c r="D115" i="14"/>
  <c r="D152" i="14" s="1"/>
  <c r="D138" i="14"/>
  <c r="D175" i="14" s="1"/>
  <c r="D129" i="14"/>
  <c r="D166" i="14" s="1"/>
  <c r="D120" i="14"/>
  <c r="D157" i="14" s="1"/>
  <c r="D111" i="14"/>
  <c r="D148" i="14" s="1"/>
  <c r="I16" i="14"/>
  <c r="D112" i="14"/>
  <c r="D149" i="14" s="1"/>
  <c r="D139" i="14"/>
  <c r="D176" i="14" s="1"/>
  <c r="I176" i="14" s="1"/>
  <c r="D130" i="14"/>
  <c r="D121" i="14"/>
  <c r="D158" i="14" s="1"/>
  <c r="I17" i="14"/>
  <c r="D122" i="14"/>
  <c r="D159" i="14" s="1"/>
  <c r="D113" i="14"/>
  <c r="D150" i="14" s="1"/>
  <c r="D140" i="14"/>
  <c r="D131" i="14"/>
  <c r="I131" i="14" s="1"/>
  <c r="E141" i="14"/>
  <c r="E178" i="14" s="1"/>
  <c r="E132" i="14"/>
  <c r="E169" i="14" s="1"/>
  <c r="E123" i="14"/>
  <c r="E160" i="14" s="1"/>
  <c r="E114" i="14"/>
  <c r="E151" i="14" s="1"/>
  <c r="E143" i="14"/>
  <c r="E180" i="14" s="1"/>
  <c r="E134" i="14"/>
  <c r="E171" i="14" s="1"/>
  <c r="E125" i="14"/>
  <c r="E162" i="14" s="1"/>
  <c r="E116" i="14"/>
  <c r="E153" i="14" s="1"/>
  <c r="C128" i="14"/>
  <c r="C165" i="14" s="1"/>
  <c r="C137" i="14"/>
  <c r="C174" i="14" s="1"/>
  <c r="C110" i="14"/>
  <c r="C147" i="14" s="1"/>
  <c r="C119" i="14"/>
  <c r="C156" i="14" s="1"/>
  <c r="E129" i="14"/>
  <c r="E166" i="14" s="1"/>
  <c r="E120" i="14"/>
  <c r="E157" i="14" s="1"/>
  <c r="E138" i="14"/>
  <c r="E175" i="14" s="1"/>
  <c r="E111" i="14"/>
  <c r="E148" i="14" s="1"/>
  <c r="E121" i="14"/>
  <c r="E158" i="14" s="1"/>
  <c r="E112" i="14"/>
  <c r="E149" i="14" s="1"/>
  <c r="E130" i="14"/>
  <c r="E167" i="14" s="1"/>
  <c r="E139" i="14"/>
  <c r="E176" i="14" s="1"/>
  <c r="E140" i="14"/>
  <c r="E177" i="14" s="1"/>
  <c r="E131" i="14"/>
  <c r="E168" i="14" s="1"/>
  <c r="E122" i="14"/>
  <c r="E159" i="14" s="1"/>
  <c r="E113" i="14"/>
  <c r="E150" i="14" s="1"/>
  <c r="F132" i="14"/>
  <c r="F169" i="14" s="1"/>
  <c r="F141" i="14"/>
  <c r="F178" i="14" s="1"/>
  <c r="F123" i="14"/>
  <c r="F160" i="14" s="1"/>
  <c r="F114" i="14"/>
  <c r="F151" i="14" s="1"/>
  <c r="F142" i="14"/>
  <c r="F179" i="14" s="1"/>
  <c r="F133" i="14"/>
  <c r="F170" i="14" s="1"/>
  <c r="F115" i="14"/>
  <c r="F152" i="14" s="1"/>
  <c r="F124" i="14"/>
  <c r="F161" i="14" s="1"/>
  <c r="F143" i="14"/>
  <c r="F180" i="14" s="1"/>
  <c r="F134" i="14"/>
  <c r="F171" i="14" s="1"/>
  <c r="F125" i="14"/>
  <c r="F162" i="14" s="1"/>
  <c r="F116" i="14"/>
  <c r="F153" i="14" s="1"/>
  <c r="R13" i="14"/>
  <c r="O78" i="3"/>
  <c r="O81" i="3"/>
  <c r="C77" i="3"/>
  <c r="I77" i="3" s="1"/>
  <c r="I78" i="3"/>
  <c r="I18" i="14"/>
  <c r="G55" i="13"/>
  <c r="L55" i="13" s="1"/>
  <c r="I19" i="14"/>
  <c r="L6" i="2"/>
  <c r="AE5" i="2"/>
  <c r="J10" i="2"/>
  <c r="H11" i="2"/>
  <c r="H12" i="2" s="1"/>
  <c r="J12" i="2"/>
  <c r="J7" i="2"/>
  <c r="J13" i="2" s="1"/>
  <c r="J11" i="2"/>
  <c r="F11" i="2"/>
  <c r="I13" i="2"/>
  <c r="AE4" i="2"/>
  <c r="E13" i="2"/>
  <c r="Q6" i="2"/>
  <c r="F3" i="2"/>
  <c r="H14" i="3"/>
  <c r="H15" i="3"/>
  <c r="E16" i="3"/>
  <c r="J16" i="3"/>
  <c r="O11" i="13"/>
  <c r="G58" i="13"/>
  <c r="L58" i="13" s="1"/>
  <c r="M37" i="3"/>
  <c r="C39" i="3"/>
  <c r="E44" i="4"/>
  <c r="F44" i="4" s="1"/>
  <c r="M13" i="13"/>
  <c r="I71" i="3"/>
  <c r="E11" i="6"/>
  <c r="F11" i="6" s="1"/>
  <c r="O9" i="13"/>
  <c r="I39" i="3"/>
  <c r="M42" i="3"/>
  <c r="C44" i="3"/>
  <c r="N13" i="13"/>
  <c r="H9" i="3"/>
  <c r="M9" i="3" s="1"/>
  <c r="J39" i="3"/>
  <c r="D44" i="3"/>
  <c r="O73" i="3"/>
  <c r="O80" i="3"/>
  <c r="E64" i="3"/>
  <c r="I11" i="3"/>
  <c r="G15" i="3"/>
  <c r="E44" i="3"/>
  <c r="I73" i="3"/>
  <c r="I80" i="3"/>
  <c r="J11" i="3"/>
  <c r="F44" i="3"/>
  <c r="M38" i="3"/>
  <c r="E44" i="6"/>
  <c r="F44" i="6" s="1"/>
  <c r="C16" i="3"/>
  <c r="I44" i="3"/>
  <c r="H10" i="3"/>
  <c r="M21" i="13"/>
  <c r="E11" i="4"/>
  <c r="F11" i="4" s="1"/>
  <c r="E11" i="8"/>
  <c r="F11" i="8" s="1"/>
  <c r="O8" i="13"/>
  <c r="N21" i="13"/>
  <c r="H14" i="14"/>
  <c r="F29" i="14"/>
  <c r="F32" i="14" s="1"/>
  <c r="N180" i="14"/>
  <c r="G66" i="13"/>
  <c r="L66" i="13" s="1"/>
  <c r="I5" i="14"/>
  <c r="R17" i="14"/>
  <c r="L168" i="14"/>
  <c r="P156" i="14"/>
  <c r="O166" i="14"/>
  <c r="N39" i="16"/>
  <c r="N36" i="16"/>
  <c r="N33" i="16"/>
  <c r="N30" i="16"/>
  <c r="N27" i="16"/>
  <c r="N40" i="16"/>
  <c r="N37" i="16"/>
  <c r="N34" i="16"/>
  <c r="N31" i="16"/>
  <c r="N28" i="16"/>
  <c r="N38" i="16"/>
  <c r="N35" i="16"/>
  <c r="N32" i="16"/>
  <c r="N29" i="16"/>
  <c r="O8" i="16"/>
  <c r="R5" i="14"/>
  <c r="R18" i="14"/>
  <c r="L29" i="14"/>
  <c r="N11" i="13"/>
  <c r="L59" i="13"/>
  <c r="M29" i="14"/>
  <c r="M32" i="14" s="1"/>
  <c r="Q160" i="14"/>
  <c r="C41" i="16"/>
  <c r="E61" i="3"/>
  <c r="E65" i="3"/>
  <c r="R19" i="14"/>
  <c r="N29" i="14"/>
  <c r="N32" i="14" s="1"/>
  <c r="I81" i="3"/>
  <c r="O29" i="14"/>
  <c r="O32" i="14" s="1"/>
  <c r="N146" i="14"/>
  <c r="Q168" i="14"/>
  <c r="L10" i="13"/>
  <c r="O10" i="13" s="1"/>
  <c r="I4" i="14"/>
  <c r="R14" i="14"/>
  <c r="N158" i="14"/>
  <c r="R20" i="14"/>
  <c r="P29" i="14"/>
  <c r="P32" i="14" s="1"/>
  <c r="O164" i="14"/>
  <c r="D167" i="14"/>
  <c r="C29" i="14"/>
  <c r="Q29" i="14"/>
  <c r="Q32" i="14" s="1"/>
  <c r="O174" i="14"/>
  <c r="G10" i="3"/>
  <c r="L20" i="13"/>
  <c r="O20" i="13" s="1"/>
  <c r="R4" i="14"/>
  <c r="H13" i="14"/>
  <c r="V19" i="14" s="1"/>
  <c r="R15" i="14"/>
  <c r="Q146" i="14"/>
  <c r="D30" i="16"/>
  <c r="D33" i="16"/>
  <c r="D36" i="16"/>
  <c r="D39" i="16"/>
  <c r="E8" i="16"/>
  <c r="D29" i="16"/>
  <c r="D32" i="16"/>
  <c r="D35" i="16"/>
  <c r="D38" i="16"/>
  <c r="D28" i="16"/>
  <c r="D31" i="16"/>
  <c r="D34" i="16"/>
  <c r="D37" i="16"/>
  <c r="M10" i="3" l="1"/>
  <c r="G16" i="3"/>
  <c r="Q164" i="14"/>
  <c r="R127" i="14"/>
  <c r="Q147" i="14"/>
  <c r="Q183" i="14" s="1"/>
  <c r="Q165" i="14"/>
  <c r="R128" i="14"/>
  <c r="Q156" i="14"/>
  <c r="Q174" i="14"/>
  <c r="R137" i="14"/>
  <c r="Q155" i="14"/>
  <c r="Q173" i="14"/>
  <c r="R136" i="14"/>
  <c r="R116" i="14"/>
  <c r="R125" i="14"/>
  <c r="R143" i="14"/>
  <c r="R115" i="14"/>
  <c r="R113" i="14"/>
  <c r="R124" i="14"/>
  <c r="R133" i="14"/>
  <c r="L179" i="14"/>
  <c r="R179" i="14" s="1"/>
  <c r="R142" i="14"/>
  <c r="R123" i="14"/>
  <c r="W9" i="14" s="1"/>
  <c r="R141" i="14"/>
  <c r="L151" i="14"/>
  <c r="R114" i="14"/>
  <c r="L169" i="14"/>
  <c r="R132" i="14"/>
  <c r="M177" i="14"/>
  <c r="R140" i="14"/>
  <c r="R134" i="14"/>
  <c r="R122" i="14"/>
  <c r="C153" i="14"/>
  <c r="I153" i="14" s="1"/>
  <c r="I116" i="14"/>
  <c r="C178" i="14"/>
  <c r="I141" i="14"/>
  <c r="C151" i="14"/>
  <c r="I114" i="14"/>
  <c r="C171" i="14"/>
  <c r="I134" i="14"/>
  <c r="C169" i="14"/>
  <c r="I169" i="14" s="1"/>
  <c r="I132" i="14"/>
  <c r="C152" i="14"/>
  <c r="I115" i="14"/>
  <c r="C162" i="14"/>
  <c r="I162" i="14" s="1"/>
  <c r="I125" i="14"/>
  <c r="C179" i="14"/>
  <c r="I142" i="14"/>
  <c r="D177" i="14"/>
  <c r="I140" i="14"/>
  <c r="C180" i="14"/>
  <c r="I143" i="14"/>
  <c r="I123" i="14"/>
  <c r="I124" i="14"/>
  <c r="I122" i="14"/>
  <c r="C170" i="14"/>
  <c r="I170" i="14" s="1"/>
  <c r="I133" i="14"/>
  <c r="I113" i="14"/>
  <c r="I177" i="14"/>
  <c r="I150" i="14"/>
  <c r="I179" i="14"/>
  <c r="I151" i="14"/>
  <c r="I171" i="14"/>
  <c r="I159" i="14"/>
  <c r="I180" i="14"/>
  <c r="I167" i="14"/>
  <c r="I152" i="14"/>
  <c r="I178" i="14"/>
  <c r="G183" i="14"/>
  <c r="I149" i="14"/>
  <c r="I166" i="14"/>
  <c r="I148" i="14"/>
  <c r="F183" i="14"/>
  <c r="R157" i="14"/>
  <c r="R173" i="14"/>
  <c r="I14" i="14"/>
  <c r="H137" i="14"/>
  <c r="I137" i="14" s="1"/>
  <c r="H128" i="14"/>
  <c r="H119" i="14"/>
  <c r="H110" i="14"/>
  <c r="C157" i="14"/>
  <c r="I157" i="14" s="1"/>
  <c r="D168" i="14"/>
  <c r="I168" i="14" s="1"/>
  <c r="E183" i="14"/>
  <c r="C158" i="14"/>
  <c r="I158" i="14" s="1"/>
  <c r="O77" i="3"/>
  <c r="C160" i="14"/>
  <c r="I160" i="14" s="1"/>
  <c r="C161" i="14"/>
  <c r="I161" i="14" s="1"/>
  <c r="R167" i="14"/>
  <c r="H29" i="14"/>
  <c r="H32" i="14" s="1"/>
  <c r="H127" i="14"/>
  <c r="H136" i="14"/>
  <c r="H118" i="14"/>
  <c r="H109" i="14"/>
  <c r="C175" i="14"/>
  <c r="I175" i="14" s="1"/>
  <c r="R174" i="14"/>
  <c r="R158" i="14"/>
  <c r="R151" i="14"/>
  <c r="R150" i="14"/>
  <c r="L156" i="14"/>
  <c r="R156" i="14" s="1"/>
  <c r="N183" i="14"/>
  <c r="C22" i="3"/>
  <c r="D27" i="3"/>
  <c r="C27" i="3"/>
  <c r="D23" i="3"/>
  <c r="C23" i="3"/>
  <c r="D28" i="3"/>
  <c r="C28" i="3"/>
  <c r="D22" i="3"/>
  <c r="D24" i="3" s="1"/>
  <c r="R29" i="14"/>
  <c r="L32" i="14"/>
  <c r="R32" i="14" s="1"/>
  <c r="R169" i="14"/>
  <c r="I13" i="14"/>
  <c r="L155" i="14"/>
  <c r="R155" i="14" s="1"/>
  <c r="L177" i="14"/>
  <c r="R177" i="14" s="1"/>
  <c r="L175" i="14"/>
  <c r="R175" i="14" s="1"/>
  <c r="L159" i="14"/>
  <c r="R159" i="14" s="1"/>
  <c r="L152" i="14"/>
  <c r="R152" i="14" s="1"/>
  <c r="N41" i="16"/>
  <c r="L161" i="14"/>
  <c r="R161" i="14" s="1"/>
  <c r="M44" i="3"/>
  <c r="L149" i="14"/>
  <c r="R149" i="14" s="1"/>
  <c r="G64" i="13"/>
  <c r="L64" i="13" s="1"/>
  <c r="L68" i="13" s="1"/>
  <c r="C79" i="3"/>
  <c r="D41" i="16"/>
  <c r="L165" i="14"/>
  <c r="O39" i="16"/>
  <c r="O36" i="16"/>
  <c r="O33" i="16"/>
  <c r="O30" i="16"/>
  <c r="O27" i="16"/>
  <c r="O41" i="16" s="1"/>
  <c r="O40" i="16"/>
  <c r="O37" i="16"/>
  <c r="O34" i="16"/>
  <c r="O31" i="16"/>
  <c r="O28" i="16"/>
  <c r="O38" i="16"/>
  <c r="O35" i="16"/>
  <c r="O32" i="16"/>
  <c r="O29" i="16"/>
  <c r="P8" i="16"/>
  <c r="R166" i="14"/>
  <c r="M15" i="3"/>
  <c r="H16" i="3"/>
  <c r="M16" i="3" s="1"/>
  <c r="E40" i="16"/>
  <c r="E37" i="16"/>
  <c r="E34" i="16"/>
  <c r="E31" i="16"/>
  <c r="E28" i="16"/>
  <c r="E38" i="16"/>
  <c r="E35" i="16"/>
  <c r="E32" i="16"/>
  <c r="E29" i="16"/>
  <c r="F8" i="16"/>
  <c r="E39" i="16"/>
  <c r="E36" i="16"/>
  <c r="E33" i="16"/>
  <c r="E30" i="16"/>
  <c r="E27" i="16"/>
  <c r="L148" i="14"/>
  <c r="R148" i="14" s="1"/>
  <c r="L21" i="13"/>
  <c r="O21" i="13" s="1"/>
  <c r="I27" i="3"/>
  <c r="I23" i="3"/>
  <c r="I28" i="3"/>
  <c r="I22" i="3"/>
  <c r="I24" i="3" s="1"/>
  <c r="G11" i="3"/>
  <c r="F13" i="2"/>
  <c r="G56" i="13"/>
  <c r="L56" i="13" s="1"/>
  <c r="L60" i="13" s="1"/>
  <c r="C72" i="3"/>
  <c r="M183" i="14"/>
  <c r="L162" i="14"/>
  <c r="R162" i="14" s="1"/>
  <c r="L13" i="13"/>
  <c r="O13" i="13" s="1"/>
  <c r="AH6" i="2"/>
  <c r="Q7" i="2"/>
  <c r="L178" i="14"/>
  <c r="R178" i="14" s="1"/>
  <c r="P183" i="14"/>
  <c r="L153" i="14"/>
  <c r="R153" i="14" s="1"/>
  <c r="M39" i="3"/>
  <c r="L160" i="14"/>
  <c r="R160" i="14" s="1"/>
  <c r="L176" i="14"/>
  <c r="R176" i="14" s="1"/>
  <c r="C32" i="14"/>
  <c r="L164" i="14"/>
  <c r="L171" i="14"/>
  <c r="R171" i="14" s="1"/>
  <c r="O183" i="14"/>
  <c r="R168" i="14"/>
  <c r="L180" i="14"/>
  <c r="R180" i="14" s="1"/>
  <c r="H11" i="3"/>
  <c r="M14" i="3"/>
  <c r="L147" i="14"/>
  <c r="J27" i="3"/>
  <c r="J23" i="3"/>
  <c r="J28" i="3"/>
  <c r="J22" i="3"/>
  <c r="J24" i="3" s="1"/>
  <c r="L170" i="14"/>
  <c r="R170" i="14" s="1"/>
  <c r="AE6" i="2"/>
  <c r="L7" i="2"/>
  <c r="W10" i="14" l="1"/>
  <c r="R165" i="14"/>
  <c r="R164" i="14"/>
  <c r="R147" i="14"/>
  <c r="H146" i="14"/>
  <c r="I146" i="14" s="1"/>
  <c r="I109" i="14"/>
  <c r="V8" i="14" s="1"/>
  <c r="V10" i="14"/>
  <c r="H164" i="14"/>
  <c r="I164" i="14" s="1"/>
  <c r="I127" i="14"/>
  <c r="H165" i="14"/>
  <c r="I165" i="14" s="1"/>
  <c r="I128" i="14"/>
  <c r="H155" i="14"/>
  <c r="I155" i="14" s="1"/>
  <c r="I118" i="14"/>
  <c r="V9" i="14" s="1"/>
  <c r="H147" i="14"/>
  <c r="I147" i="14" s="1"/>
  <c r="I110" i="14"/>
  <c r="H173" i="14"/>
  <c r="I173" i="14" s="1"/>
  <c r="I136" i="14"/>
  <c r="V11" i="14" s="1"/>
  <c r="H156" i="14"/>
  <c r="I156" i="14" s="1"/>
  <c r="I119" i="14"/>
  <c r="W11" i="14"/>
  <c r="W8" i="14"/>
  <c r="I29" i="14"/>
  <c r="I32" i="14"/>
  <c r="D183" i="14"/>
  <c r="H174" i="14"/>
  <c r="I174" i="14" s="1"/>
  <c r="C183" i="14"/>
  <c r="O79" i="3"/>
  <c r="O82" i="3" s="1"/>
  <c r="I79" i="3"/>
  <c r="I82" i="3" s="1"/>
  <c r="C12" i="15" s="1"/>
  <c r="C14" i="15" s="1"/>
  <c r="O72" i="3"/>
  <c r="O75" i="3" s="1"/>
  <c r="I72" i="3"/>
  <c r="I75" i="3" s="1"/>
  <c r="C7" i="15" s="1"/>
  <c r="C9" i="15" s="1"/>
  <c r="P40" i="16"/>
  <c r="P37" i="16"/>
  <c r="P34" i="16"/>
  <c r="P31" i="16"/>
  <c r="P28" i="16"/>
  <c r="P38" i="16"/>
  <c r="P35" i="16"/>
  <c r="P32" i="16"/>
  <c r="P29" i="16"/>
  <c r="Q8" i="16"/>
  <c r="P39" i="16"/>
  <c r="P36" i="16"/>
  <c r="P33" i="16"/>
  <c r="P30" i="16"/>
  <c r="P27" i="16"/>
  <c r="M28" i="3"/>
  <c r="F40" i="16"/>
  <c r="F37" i="16"/>
  <c r="F34" i="16"/>
  <c r="F31" i="16"/>
  <c r="F28" i="16"/>
  <c r="F38" i="16"/>
  <c r="F35" i="16"/>
  <c r="F32" i="16"/>
  <c r="F29" i="16"/>
  <c r="G8" i="16"/>
  <c r="F39" i="16"/>
  <c r="F36" i="16"/>
  <c r="F33" i="16"/>
  <c r="F30" i="16"/>
  <c r="F27" i="16"/>
  <c r="M11" i="3"/>
  <c r="B16" i="2" s="1"/>
  <c r="M23" i="3"/>
  <c r="E41" i="16"/>
  <c r="AH7" i="2"/>
  <c r="Q8" i="2"/>
  <c r="M27" i="3"/>
  <c r="C29" i="3"/>
  <c r="J29" i="3"/>
  <c r="D29" i="3"/>
  <c r="AE7" i="2"/>
  <c r="L8" i="2"/>
  <c r="R146" i="14"/>
  <c r="L183" i="14"/>
  <c r="R183" i="14" s="1"/>
  <c r="I29" i="3"/>
  <c r="C24" i="3"/>
  <c r="M24" i="3" s="1"/>
  <c r="M22" i="3"/>
  <c r="H183" i="14" l="1"/>
  <c r="I183" i="14" s="1"/>
  <c r="B17" i="2"/>
  <c r="F41" i="16"/>
  <c r="P41" i="16"/>
  <c r="AH8" i="2"/>
  <c r="Q9" i="2"/>
  <c r="G38" i="16"/>
  <c r="G35" i="16"/>
  <c r="G32" i="16"/>
  <c r="G29" i="16"/>
  <c r="H8" i="16"/>
  <c r="G39" i="16"/>
  <c r="G36" i="16"/>
  <c r="G33" i="16"/>
  <c r="G30" i="16"/>
  <c r="G27" i="16"/>
  <c r="G40" i="16"/>
  <c r="G37" i="16"/>
  <c r="G34" i="16"/>
  <c r="G31" i="16"/>
  <c r="G28" i="16"/>
  <c r="Q40" i="16"/>
  <c r="Q37" i="16"/>
  <c r="Q34" i="16"/>
  <c r="Q31" i="16"/>
  <c r="Q28" i="16"/>
  <c r="Q38" i="16"/>
  <c r="Q35" i="16"/>
  <c r="Q32" i="16"/>
  <c r="Q29" i="16"/>
  <c r="R8" i="16"/>
  <c r="Q39" i="16"/>
  <c r="Q36" i="16"/>
  <c r="Q33" i="16"/>
  <c r="Q30" i="16"/>
  <c r="Q27" i="16"/>
  <c r="AE8" i="2"/>
  <c r="L9" i="2"/>
  <c r="M29" i="3"/>
  <c r="B23" i="2" s="1"/>
  <c r="B24" i="2" s="1"/>
  <c r="R40" i="16" l="1"/>
  <c r="R37" i="16"/>
  <c r="R34" i="16"/>
  <c r="R31" i="16"/>
  <c r="R28" i="16"/>
  <c r="R38" i="16"/>
  <c r="R35" i="16"/>
  <c r="R32" i="16"/>
  <c r="R29" i="16"/>
  <c r="S8" i="16"/>
  <c r="R39" i="16"/>
  <c r="R36" i="16"/>
  <c r="R33" i="16"/>
  <c r="R30" i="16"/>
  <c r="R27" i="16"/>
  <c r="R9" i="2"/>
  <c r="S9" i="2" s="1"/>
  <c r="T9" i="2" s="1"/>
  <c r="R8" i="2"/>
  <c r="S8" i="2" s="1"/>
  <c r="T8" i="2" s="1"/>
  <c r="R7" i="2"/>
  <c r="S7" i="2" s="1"/>
  <c r="T7" i="2" s="1"/>
  <c r="R6" i="2"/>
  <c r="S6" i="2" s="1"/>
  <c r="T6" i="2" s="1"/>
  <c r="R5" i="2"/>
  <c r="S5" i="2" s="1"/>
  <c r="T5" i="2" s="1"/>
  <c r="R4" i="2"/>
  <c r="S4" i="2" s="1"/>
  <c r="T4" i="2" s="1"/>
  <c r="R3" i="2"/>
  <c r="S3" i="2" s="1"/>
  <c r="T3" i="2" s="1"/>
  <c r="M5" i="2"/>
  <c r="N5" i="2" s="1"/>
  <c r="O5" i="2" s="1"/>
  <c r="M8" i="2"/>
  <c r="N8" i="2" s="1"/>
  <c r="O8" i="2" s="1"/>
  <c r="M6" i="2"/>
  <c r="N6" i="2" s="1"/>
  <c r="O6" i="2" s="1"/>
  <c r="M7" i="2"/>
  <c r="N7" i="2" s="1"/>
  <c r="O7" i="2" s="1"/>
  <c r="M3" i="2"/>
  <c r="N3" i="2" s="1"/>
  <c r="O3" i="2" s="1"/>
  <c r="M9" i="2"/>
  <c r="N9" i="2" s="1"/>
  <c r="O9" i="2" s="1"/>
  <c r="M10" i="2"/>
  <c r="N10" i="2" s="1"/>
  <c r="O10" i="2" s="1"/>
  <c r="M4" i="2"/>
  <c r="N4" i="2" s="1"/>
  <c r="O4" i="2" s="1"/>
  <c r="AH9" i="2"/>
  <c r="Q10" i="2"/>
  <c r="G41" i="16"/>
  <c r="AE9" i="2"/>
  <c r="L10" i="2"/>
  <c r="H38" i="16"/>
  <c r="H35" i="16"/>
  <c r="H32" i="16"/>
  <c r="H29" i="16"/>
  <c r="I8" i="16"/>
  <c r="H39" i="16"/>
  <c r="H36" i="16"/>
  <c r="H33" i="16"/>
  <c r="H30" i="16"/>
  <c r="H27" i="16"/>
  <c r="H41" i="16" s="1"/>
  <c r="H40" i="16"/>
  <c r="H37" i="16"/>
  <c r="H34" i="16"/>
  <c r="H31" i="16"/>
  <c r="H28" i="16"/>
  <c r="AA4" i="2"/>
  <c r="AB4" i="2" s="1"/>
  <c r="W3" i="2"/>
  <c r="X3" i="2" s="1"/>
  <c r="W4" i="2"/>
  <c r="X4" i="2" s="1"/>
  <c r="W7" i="2"/>
  <c r="X7" i="2" s="1"/>
  <c r="AA7" i="2"/>
  <c r="AB7" i="2" s="1"/>
  <c r="AA9" i="2"/>
  <c r="AB9" i="2" s="1"/>
  <c r="W9" i="2"/>
  <c r="X9" i="2" s="1"/>
  <c r="AA6" i="2"/>
  <c r="AB6" i="2" s="1"/>
  <c r="AA5" i="2"/>
  <c r="AB5" i="2" s="1"/>
  <c r="W10" i="2"/>
  <c r="X10" i="2" s="1"/>
  <c r="AA3" i="2"/>
  <c r="AB3" i="2" s="1"/>
  <c r="W5" i="2"/>
  <c r="X5" i="2" s="1"/>
  <c r="AA8" i="2"/>
  <c r="AB8" i="2" s="1"/>
  <c r="W8" i="2"/>
  <c r="X8" i="2" s="1"/>
  <c r="W6" i="2"/>
  <c r="X6" i="2" s="1"/>
  <c r="Q41" i="16"/>
  <c r="AH10" i="2" l="1"/>
  <c r="Q11" i="2"/>
  <c r="R41" i="16"/>
  <c r="R10" i="2"/>
  <c r="S10" i="2" s="1"/>
  <c r="T10" i="2" s="1"/>
  <c r="S40" i="16"/>
  <c r="S37" i="16"/>
  <c r="S34" i="16"/>
  <c r="S31" i="16"/>
  <c r="S28" i="16"/>
  <c r="S38" i="16"/>
  <c r="S35" i="16"/>
  <c r="S32" i="16"/>
  <c r="S29" i="16"/>
  <c r="T8" i="16"/>
  <c r="S39" i="16"/>
  <c r="S36" i="16"/>
  <c r="S33" i="16"/>
  <c r="S30" i="16"/>
  <c r="S27" i="16"/>
  <c r="I38" i="16"/>
  <c r="I35" i="16"/>
  <c r="I32" i="16"/>
  <c r="I29" i="16"/>
  <c r="J8" i="16"/>
  <c r="I39" i="16"/>
  <c r="I36" i="16"/>
  <c r="I33" i="16"/>
  <c r="I30" i="16"/>
  <c r="I27" i="16"/>
  <c r="I40" i="16"/>
  <c r="I37" i="16"/>
  <c r="I34" i="16"/>
  <c r="I31" i="16"/>
  <c r="I28" i="16"/>
  <c r="AA10" i="2"/>
  <c r="AB10" i="2" s="1"/>
  <c r="AE10" i="2"/>
  <c r="L11" i="2"/>
  <c r="AH11" i="2" l="1"/>
  <c r="Q12" i="2"/>
  <c r="AA11" i="2"/>
  <c r="AB11" i="2" s="1"/>
  <c r="R11" i="2"/>
  <c r="S11" i="2" s="1"/>
  <c r="T11" i="2" s="1"/>
  <c r="T38" i="16"/>
  <c r="T35" i="16"/>
  <c r="T32" i="16"/>
  <c r="T29" i="16"/>
  <c r="U8" i="16"/>
  <c r="T39" i="16"/>
  <c r="T36" i="16"/>
  <c r="T33" i="16"/>
  <c r="T30" i="16"/>
  <c r="T27" i="16"/>
  <c r="T40" i="16"/>
  <c r="T37" i="16"/>
  <c r="T34" i="16"/>
  <c r="T31" i="16"/>
  <c r="T28" i="16"/>
  <c r="S41" i="16"/>
  <c r="J38" i="16"/>
  <c r="J35" i="16"/>
  <c r="J32" i="16"/>
  <c r="J29" i="16"/>
  <c r="K8" i="16"/>
  <c r="J39" i="16"/>
  <c r="J36" i="16"/>
  <c r="J33" i="16"/>
  <c r="J30" i="16"/>
  <c r="J27" i="16"/>
  <c r="J40" i="16"/>
  <c r="J37" i="16"/>
  <c r="J34" i="16"/>
  <c r="J31" i="16"/>
  <c r="J28" i="16"/>
  <c r="AE11" i="2"/>
  <c r="L12" i="2"/>
  <c r="W11" i="2"/>
  <c r="X11" i="2" s="1"/>
  <c r="M11" i="2"/>
  <c r="N11" i="2" s="1"/>
  <c r="O11" i="2" s="1"/>
  <c r="I41" i="16"/>
  <c r="T41" i="16" l="1"/>
  <c r="AH12" i="2"/>
  <c r="Q13" i="2"/>
  <c r="AA12" i="2"/>
  <c r="AB12" i="2" s="1"/>
  <c r="R12" i="2"/>
  <c r="S12" i="2" s="1"/>
  <c r="T12" i="2" s="1"/>
  <c r="AE12" i="2"/>
  <c r="B29" i="2" s="1"/>
  <c r="L13" i="2"/>
  <c r="W12" i="2"/>
  <c r="X12" i="2" s="1"/>
  <c r="M12" i="2"/>
  <c r="N12" i="2" s="1"/>
  <c r="O12" i="2" s="1"/>
  <c r="K39" i="16"/>
  <c r="K36" i="16"/>
  <c r="K33" i="16"/>
  <c r="K30" i="16"/>
  <c r="K27" i="16"/>
  <c r="K40" i="16"/>
  <c r="K37" i="16"/>
  <c r="K34" i="16"/>
  <c r="K31" i="16"/>
  <c r="K28" i="16"/>
  <c r="K38" i="16"/>
  <c r="K35" i="16"/>
  <c r="K32" i="16"/>
  <c r="L8" i="16"/>
  <c r="K29" i="16"/>
  <c r="U38" i="16"/>
  <c r="U35" i="16"/>
  <c r="U32" i="16"/>
  <c r="U29" i="16"/>
  <c r="V8" i="16"/>
  <c r="U39" i="16"/>
  <c r="U36" i="16"/>
  <c r="U33" i="16"/>
  <c r="U30" i="16"/>
  <c r="U27" i="16"/>
  <c r="U40" i="16"/>
  <c r="U37" i="16"/>
  <c r="U34" i="16"/>
  <c r="U31" i="16"/>
  <c r="U28" i="16"/>
  <c r="J41" i="16"/>
  <c r="L14" i="2" l="1"/>
  <c r="AE13" i="2"/>
  <c r="W13" i="2"/>
  <c r="X13" i="2" s="1"/>
  <c r="M13" i="2"/>
  <c r="N13" i="2" s="1"/>
  <c r="O13" i="2" s="1"/>
  <c r="K41" i="16"/>
  <c r="AH13" i="2"/>
  <c r="Q14" i="2"/>
  <c r="R13" i="2"/>
  <c r="S13" i="2" s="1"/>
  <c r="T13" i="2" s="1"/>
  <c r="AA13" i="2"/>
  <c r="AB13" i="2" s="1"/>
  <c r="V38" i="16"/>
  <c r="V35" i="16"/>
  <c r="V32" i="16"/>
  <c r="V29" i="16"/>
  <c r="W8" i="16"/>
  <c r="V39" i="16"/>
  <c r="V36" i="16"/>
  <c r="V33" i="16"/>
  <c r="V30" i="16"/>
  <c r="V27" i="16"/>
  <c r="V40" i="16"/>
  <c r="V37" i="16"/>
  <c r="V34" i="16"/>
  <c r="V31" i="16"/>
  <c r="V28" i="16"/>
  <c r="L39" i="16"/>
  <c r="L36" i="16"/>
  <c r="L33" i="16"/>
  <c r="L30" i="16"/>
  <c r="L27" i="16"/>
  <c r="L40" i="16"/>
  <c r="L37" i="16"/>
  <c r="L34" i="16"/>
  <c r="L31" i="16"/>
  <c r="L28" i="16"/>
  <c r="L38" i="16"/>
  <c r="L35" i="16"/>
  <c r="L32" i="16"/>
  <c r="L29" i="16"/>
  <c r="U41" i="16"/>
  <c r="L41" i="16" l="1"/>
  <c r="H16" i="1"/>
  <c r="H17" i="1" s="1"/>
  <c r="V41" i="16"/>
  <c r="W38" i="16"/>
  <c r="X20" i="16" s="1"/>
  <c r="AA20" i="16" s="1"/>
  <c r="W35" i="16"/>
  <c r="X17" i="16" s="1"/>
  <c r="AA17" i="16" s="1"/>
  <c r="W32" i="16"/>
  <c r="X14" i="16" s="1"/>
  <c r="AA14" i="16" s="1"/>
  <c r="W29" i="16"/>
  <c r="X11" i="16" s="1"/>
  <c r="AA11" i="16" s="1"/>
  <c r="W39" i="16"/>
  <c r="X21" i="16" s="1"/>
  <c r="AA21" i="16" s="1"/>
  <c r="W36" i="16"/>
  <c r="X18" i="16" s="1"/>
  <c r="AA18" i="16" s="1"/>
  <c r="W33" i="16"/>
  <c r="X15" i="16" s="1"/>
  <c r="AA15" i="16" s="1"/>
  <c r="W30" i="16"/>
  <c r="X12" i="16" s="1"/>
  <c r="AA12" i="16" s="1"/>
  <c r="W27" i="16"/>
  <c r="W40" i="16"/>
  <c r="X22" i="16" s="1"/>
  <c r="AA22" i="16" s="1"/>
  <c r="W37" i="16"/>
  <c r="X19" i="16" s="1"/>
  <c r="AA19" i="16" s="1"/>
  <c r="W34" i="16"/>
  <c r="X16" i="16" s="1"/>
  <c r="AA16" i="16" s="1"/>
  <c r="W31" i="16"/>
  <c r="X13" i="16" s="1"/>
  <c r="AA13" i="16" s="1"/>
  <c r="W28" i="16"/>
  <c r="X10" i="16" s="1"/>
  <c r="AA10" i="16" s="1"/>
  <c r="Q15" i="2"/>
  <c r="AH14" i="2"/>
  <c r="R14" i="2"/>
  <c r="S14" i="2" s="1"/>
  <c r="T14" i="2" s="1"/>
  <c r="AA14" i="2"/>
  <c r="AB14" i="2" s="1"/>
  <c r="L15" i="2"/>
  <c r="AE14" i="2"/>
  <c r="M14" i="2"/>
  <c r="N14" i="2" s="1"/>
  <c r="O14" i="2" s="1"/>
  <c r="W14" i="2"/>
  <c r="X14" i="2" s="1"/>
  <c r="L16" i="2" l="1"/>
  <c r="AE15" i="2"/>
  <c r="W15" i="2"/>
  <c r="X15" i="2" s="1"/>
  <c r="M15" i="2"/>
  <c r="N15" i="2" s="1"/>
  <c r="O15" i="2" s="1"/>
  <c r="AH15" i="2"/>
  <c r="Q16" i="2"/>
  <c r="AA15" i="2"/>
  <c r="AB15" i="2" s="1"/>
  <c r="R15" i="2"/>
  <c r="S15" i="2" s="1"/>
  <c r="T15" i="2" s="1"/>
  <c r="W41" i="16"/>
  <c r="D6" i="16" s="1"/>
  <c r="X9" i="16"/>
  <c r="AA9" i="16" s="1"/>
  <c r="AA23" i="16" s="1"/>
  <c r="E28" i="1" s="1"/>
  <c r="Q17" i="2" l="1"/>
  <c r="AH16" i="2"/>
  <c r="R16" i="2"/>
  <c r="S16" i="2" s="1"/>
  <c r="T16" i="2" s="1"/>
  <c r="AA16" i="2"/>
  <c r="AB16" i="2" s="1"/>
  <c r="AE16" i="2"/>
  <c r="L17" i="2"/>
  <c r="M16" i="2"/>
  <c r="N16" i="2" s="1"/>
  <c r="O16" i="2" s="1"/>
  <c r="W16" i="2"/>
  <c r="X16" i="2" s="1"/>
  <c r="L18" i="2" l="1"/>
  <c r="AE17" i="2"/>
  <c r="M17" i="2"/>
  <c r="N17" i="2" s="1"/>
  <c r="O17" i="2" s="1"/>
  <c r="W17" i="2"/>
  <c r="X17" i="2" s="1"/>
  <c r="AH17" i="2"/>
  <c r="Q18" i="2"/>
  <c r="R17" i="2"/>
  <c r="S17" i="2" s="1"/>
  <c r="T17" i="2" s="1"/>
  <c r="AA17" i="2"/>
  <c r="AB17" i="2" s="1"/>
  <c r="Q19" i="2" l="1"/>
  <c r="AH18" i="2"/>
  <c r="R18" i="2"/>
  <c r="S18" i="2" s="1"/>
  <c r="T18" i="2" s="1"/>
  <c r="AA18" i="2"/>
  <c r="AB18" i="2" s="1"/>
  <c r="AE18" i="2"/>
  <c r="L19" i="2"/>
  <c r="W18" i="2"/>
  <c r="X18" i="2" s="1"/>
  <c r="M18" i="2"/>
  <c r="N18" i="2" s="1"/>
  <c r="O18" i="2" s="1"/>
  <c r="AE19" i="2" l="1"/>
  <c r="L20" i="2"/>
  <c r="W19" i="2"/>
  <c r="X19" i="2" s="1"/>
  <c r="M19" i="2"/>
  <c r="N19" i="2" s="1"/>
  <c r="O19" i="2" s="1"/>
  <c r="AH19" i="2"/>
  <c r="Q20" i="2"/>
  <c r="AA19" i="2"/>
  <c r="AB19" i="2" s="1"/>
  <c r="R19" i="2"/>
  <c r="S19" i="2" s="1"/>
  <c r="T19" i="2" s="1"/>
  <c r="Q21" i="2" l="1"/>
  <c r="AH20" i="2"/>
  <c r="AA20" i="2"/>
  <c r="AB20" i="2" s="1"/>
  <c r="R20" i="2"/>
  <c r="S20" i="2" s="1"/>
  <c r="T20" i="2" s="1"/>
  <c r="L21" i="2"/>
  <c r="AE20" i="2"/>
  <c r="M20" i="2"/>
  <c r="N20" i="2" s="1"/>
  <c r="O20" i="2" s="1"/>
  <c r="W20" i="2"/>
  <c r="X20" i="2" s="1"/>
  <c r="AE21" i="2" l="1"/>
  <c r="L22" i="2"/>
  <c r="M21" i="2"/>
  <c r="N21" i="2" s="1"/>
  <c r="O21" i="2" s="1"/>
  <c r="W21" i="2"/>
  <c r="X21" i="2" s="1"/>
  <c r="Q22" i="2"/>
  <c r="AH21" i="2"/>
  <c r="AA21" i="2"/>
  <c r="AB21" i="2" s="1"/>
  <c r="R21" i="2"/>
  <c r="S21" i="2" s="1"/>
  <c r="T21" i="2" s="1"/>
  <c r="AH22" i="2" l="1"/>
  <c r="B30" i="2" s="1"/>
  <c r="Q23" i="2"/>
  <c r="AA22" i="2"/>
  <c r="AB22" i="2" s="1"/>
  <c r="B27" i="2" s="1"/>
  <c r="R22" i="2"/>
  <c r="S22" i="2" s="1"/>
  <c r="T22" i="2" s="1"/>
  <c r="B20" i="2" s="1"/>
  <c r="L23" i="2"/>
  <c r="AE22" i="2"/>
  <c r="M22" i="2"/>
  <c r="N22" i="2" s="1"/>
  <c r="O22" i="2" s="1"/>
  <c r="W22" i="2"/>
  <c r="X22" i="2" s="1"/>
  <c r="O23" i="13" l="1"/>
  <c r="E20" i="1" s="1"/>
  <c r="Q24" i="2"/>
  <c r="AH23" i="2"/>
  <c r="R23" i="2"/>
  <c r="S23" i="2" s="1"/>
  <c r="T23" i="2" s="1"/>
  <c r="AA23" i="2"/>
  <c r="AB23" i="2" s="1"/>
  <c r="AE23" i="2"/>
  <c r="L24" i="2"/>
  <c r="M23" i="2"/>
  <c r="N23" i="2" s="1"/>
  <c r="O23" i="2" s="1"/>
  <c r="W23" i="2"/>
  <c r="X23" i="2" s="1"/>
  <c r="AH24" i="2" l="1"/>
  <c r="Q25" i="2"/>
  <c r="R24" i="2"/>
  <c r="S24" i="2" s="1"/>
  <c r="T24" i="2" s="1"/>
  <c r="AA24" i="2"/>
  <c r="AB24" i="2" s="1"/>
  <c r="L25" i="2"/>
  <c r="AE24" i="2"/>
  <c r="M24" i="2"/>
  <c r="N24" i="2" s="1"/>
  <c r="O24" i="2" s="1"/>
  <c r="W24" i="2"/>
  <c r="X24" i="2" s="1"/>
  <c r="L26" i="2" l="1"/>
  <c r="AE25" i="2"/>
  <c r="W25" i="2"/>
  <c r="X25" i="2" s="1"/>
  <c r="M25" i="2"/>
  <c r="N25" i="2" s="1"/>
  <c r="O25" i="2" s="1"/>
  <c r="Q26" i="2"/>
  <c r="AH25" i="2"/>
  <c r="AA25" i="2"/>
  <c r="AB25" i="2" s="1"/>
  <c r="R25" i="2"/>
  <c r="S25" i="2" s="1"/>
  <c r="T25" i="2" s="1"/>
  <c r="AH26" i="2" l="1"/>
  <c r="Q27" i="2"/>
  <c r="R26" i="2"/>
  <c r="S26" i="2" s="1"/>
  <c r="T26" i="2" s="1"/>
  <c r="AA26" i="2"/>
  <c r="AB26" i="2" s="1"/>
  <c r="L27" i="2"/>
  <c r="AE26" i="2"/>
  <c r="W26" i="2"/>
  <c r="X26" i="2" s="1"/>
  <c r="M26" i="2"/>
  <c r="N26" i="2" s="1"/>
  <c r="O26" i="2" s="1"/>
  <c r="Q28" i="2" l="1"/>
  <c r="AH27" i="2"/>
  <c r="R27" i="2"/>
  <c r="S27" i="2" s="1"/>
  <c r="T27" i="2" s="1"/>
  <c r="AA27" i="2"/>
  <c r="AB27" i="2" s="1"/>
  <c r="L28" i="2"/>
  <c r="AE27" i="2"/>
  <c r="M27" i="2"/>
  <c r="N27" i="2" s="1"/>
  <c r="O27" i="2" s="1"/>
  <c r="W27" i="2"/>
  <c r="X27" i="2" s="1"/>
  <c r="AE28" i="2" l="1"/>
  <c r="L29" i="2"/>
  <c r="M28" i="2"/>
  <c r="N28" i="2" s="1"/>
  <c r="O28" i="2" s="1"/>
  <c r="W28" i="2"/>
  <c r="X28" i="2" s="1"/>
  <c r="AH28" i="2"/>
  <c r="Q29" i="2"/>
  <c r="AA28" i="2"/>
  <c r="AB28" i="2" s="1"/>
  <c r="R28" i="2"/>
  <c r="S28" i="2" s="1"/>
  <c r="T28" i="2" s="1"/>
  <c r="Q30" i="2" l="1"/>
  <c r="AH29" i="2"/>
  <c r="R29" i="2"/>
  <c r="S29" i="2" s="1"/>
  <c r="T29" i="2" s="1"/>
  <c r="AA29" i="2"/>
  <c r="AB29" i="2" s="1"/>
  <c r="L30" i="2"/>
  <c r="AE29" i="2"/>
  <c r="W29" i="2"/>
  <c r="X29" i="2" s="1"/>
  <c r="M29" i="2"/>
  <c r="N29" i="2" s="1"/>
  <c r="O29" i="2" s="1"/>
  <c r="AE30" i="2" l="1"/>
  <c r="L31" i="2"/>
  <c r="W30" i="2"/>
  <c r="X30" i="2" s="1"/>
  <c r="M30" i="2"/>
  <c r="N30" i="2" s="1"/>
  <c r="O30" i="2" s="1"/>
  <c r="Q31" i="2"/>
  <c r="AH30" i="2"/>
  <c r="R30" i="2"/>
  <c r="S30" i="2" s="1"/>
  <c r="T30" i="2" s="1"/>
  <c r="AA30" i="2"/>
  <c r="AB30" i="2" s="1"/>
  <c r="Q32" i="2" l="1"/>
  <c r="AH31" i="2"/>
  <c r="R31" i="2"/>
  <c r="S31" i="2" s="1"/>
  <c r="T31" i="2" s="1"/>
  <c r="AA31" i="2"/>
  <c r="AB31" i="2" s="1"/>
  <c r="L32" i="2"/>
  <c r="AE31" i="2"/>
  <c r="M31" i="2"/>
  <c r="N31" i="2" s="1"/>
  <c r="O31" i="2" s="1"/>
  <c r="W31" i="2"/>
  <c r="X31" i="2" s="1"/>
  <c r="AE32" i="2" l="1"/>
  <c r="L33" i="2"/>
  <c r="M32" i="2"/>
  <c r="N32" i="2" s="1"/>
  <c r="O32" i="2" s="1"/>
  <c r="B19" i="2" s="1"/>
  <c r="W32" i="2"/>
  <c r="X32" i="2" s="1"/>
  <c r="B26" i="2" s="1"/>
  <c r="Q33" i="2"/>
  <c r="AH32" i="2"/>
  <c r="R32" i="2"/>
  <c r="S32" i="2" s="1"/>
  <c r="T32" i="2" s="1"/>
  <c r="AA32" i="2"/>
  <c r="AB32" i="2" s="1"/>
  <c r="C16" i="15" l="1"/>
  <c r="E26" i="1" s="1"/>
  <c r="M31" i="3"/>
  <c r="L70" i="13"/>
  <c r="E16" i="1" s="1"/>
  <c r="F48" i="13"/>
  <c r="E22" i="1" s="1"/>
  <c r="M46" i="3"/>
  <c r="E19" i="1" s="1"/>
  <c r="C38" i="13"/>
  <c r="E21" i="1" s="1"/>
  <c r="W4" i="14"/>
  <c r="E24" i="1" s="1"/>
  <c r="V4" i="14"/>
  <c r="M18" i="3"/>
  <c r="E17" i="1" s="1"/>
  <c r="Q34" i="2"/>
  <c r="AH33" i="2"/>
  <c r="AA33" i="2"/>
  <c r="AB33" i="2" s="1"/>
  <c r="R33" i="2"/>
  <c r="S33" i="2" s="1"/>
  <c r="T33" i="2" s="1"/>
  <c r="L34" i="2"/>
  <c r="AE33" i="2"/>
  <c r="W33" i="2"/>
  <c r="X33" i="2" s="1"/>
  <c r="M33" i="2"/>
  <c r="N33" i="2" s="1"/>
  <c r="O33" i="2" s="1"/>
  <c r="Y4" i="14" l="1"/>
  <c r="E23" i="1"/>
  <c r="E29" i="1" s="1"/>
  <c r="AE34" i="2"/>
  <c r="L35" i="2"/>
  <c r="W34" i="2"/>
  <c r="X34" i="2" s="1"/>
  <c r="M34" i="2"/>
  <c r="N34" i="2" s="1"/>
  <c r="O34" i="2" s="1"/>
  <c r="Q35" i="2"/>
  <c r="AH34" i="2"/>
  <c r="R34" i="2"/>
  <c r="S34" i="2" s="1"/>
  <c r="T34" i="2" s="1"/>
  <c r="AA34" i="2"/>
  <c r="AB34" i="2" s="1"/>
  <c r="E6" i="1" l="1"/>
  <c r="E9" i="1"/>
  <c r="E12" i="1"/>
  <c r="Q36" i="2"/>
  <c r="AH35" i="2"/>
  <c r="AA35" i="2"/>
  <c r="AB35" i="2" s="1"/>
  <c r="R35" i="2"/>
  <c r="S35" i="2" s="1"/>
  <c r="T35" i="2" s="1"/>
  <c r="L36" i="2"/>
  <c r="AE35" i="2"/>
  <c r="M35" i="2"/>
  <c r="N35" i="2" s="1"/>
  <c r="O35" i="2" s="1"/>
  <c r="W35" i="2"/>
  <c r="X35" i="2" s="1"/>
  <c r="AE36" i="2" l="1"/>
  <c r="L37" i="2"/>
  <c r="M36" i="2"/>
  <c r="N36" i="2" s="1"/>
  <c r="O36" i="2" s="1"/>
  <c r="W36" i="2"/>
  <c r="X36" i="2" s="1"/>
  <c r="Q37" i="2"/>
  <c r="AH36" i="2"/>
  <c r="R36" i="2"/>
  <c r="S36" i="2" s="1"/>
  <c r="T36" i="2" s="1"/>
  <c r="AA36" i="2"/>
  <c r="AB36" i="2" s="1"/>
  <c r="L38" i="2" l="1"/>
  <c r="AE37" i="2"/>
  <c r="W37" i="2"/>
  <c r="X37" i="2" s="1"/>
  <c r="M37" i="2"/>
  <c r="N37" i="2" s="1"/>
  <c r="O37" i="2" s="1"/>
  <c r="Q38" i="2"/>
  <c r="AH37" i="2"/>
  <c r="R37" i="2"/>
  <c r="S37" i="2" s="1"/>
  <c r="T37" i="2" s="1"/>
  <c r="AA37" i="2"/>
  <c r="AB37" i="2" s="1"/>
  <c r="Q39" i="2" l="1"/>
  <c r="AH38" i="2"/>
  <c r="R38" i="2"/>
  <c r="S38" i="2" s="1"/>
  <c r="T38" i="2" s="1"/>
  <c r="AA38" i="2"/>
  <c r="AB38" i="2" s="1"/>
  <c r="AE38" i="2"/>
  <c r="L39" i="2"/>
  <c r="M38" i="2"/>
  <c r="N38" i="2" s="1"/>
  <c r="O38" i="2" s="1"/>
  <c r="W38" i="2"/>
  <c r="X38" i="2" s="1"/>
  <c r="L40" i="2" l="1"/>
  <c r="AE39" i="2"/>
  <c r="M39" i="2"/>
  <c r="N39" i="2" s="1"/>
  <c r="O39" i="2" s="1"/>
  <c r="W39" i="2"/>
  <c r="X39" i="2" s="1"/>
  <c r="Q40" i="2"/>
  <c r="AH39" i="2"/>
  <c r="AA39" i="2"/>
  <c r="AB39" i="2" s="1"/>
  <c r="R39" i="2"/>
  <c r="S39" i="2" s="1"/>
  <c r="T39" i="2" s="1"/>
  <c r="Q41" i="2" l="1"/>
  <c r="AH40" i="2"/>
  <c r="R40" i="2"/>
  <c r="S40" i="2" s="1"/>
  <c r="T40" i="2" s="1"/>
  <c r="AA40" i="2"/>
  <c r="AB40" i="2" s="1"/>
  <c r="AE40" i="2"/>
  <c r="L41" i="2"/>
  <c r="M40" i="2"/>
  <c r="N40" i="2" s="1"/>
  <c r="O40" i="2" s="1"/>
  <c r="W40" i="2"/>
  <c r="X40" i="2" s="1"/>
  <c r="L42" i="2" l="1"/>
  <c r="AE41" i="2"/>
  <c r="W41" i="2"/>
  <c r="X41" i="2" s="1"/>
  <c r="M41" i="2"/>
  <c r="N41" i="2" s="1"/>
  <c r="O41" i="2" s="1"/>
  <c r="Q42" i="2"/>
  <c r="AH41" i="2"/>
  <c r="R41" i="2"/>
  <c r="S41" i="2" s="1"/>
  <c r="T41" i="2" s="1"/>
  <c r="AA41" i="2"/>
  <c r="AB41" i="2" s="1"/>
  <c r="Q43" i="2" l="1"/>
  <c r="AH42" i="2"/>
  <c r="R42" i="2"/>
  <c r="S42" i="2" s="1"/>
  <c r="T42" i="2" s="1"/>
  <c r="AA42" i="2"/>
  <c r="AB42" i="2" s="1"/>
  <c r="AE42" i="2"/>
  <c r="L43" i="2"/>
  <c r="W42" i="2"/>
  <c r="X42" i="2" s="1"/>
  <c r="M42" i="2"/>
  <c r="N42" i="2" s="1"/>
  <c r="O42" i="2" s="1"/>
  <c r="L44" i="2" l="1"/>
  <c r="AE43" i="2"/>
  <c r="W43" i="2"/>
  <c r="X43" i="2" s="1"/>
  <c r="M43" i="2"/>
  <c r="N43" i="2" s="1"/>
  <c r="O43" i="2" s="1"/>
  <c r="Q44" i="2"/>
  <c r="AH43" i="2"/>
  <c r="R43" i="2"/>
  <c r="S43" i="2" s="1"/>
  <c r="T43" i="2" s="1"/>
  <c r="AA43" i="2"/>
  <c r="AB43" i="2" s="1"/>
  <c r="Q45" i="2" l="1"/>
  <c r="AH44" i="2"/>
  <c r="AA44" i="2"/>
  <c r="AB44" i="2" s="1"/>
  <c r="R44" i="2"/>
  <c r="S44" i="2" s="1"/>
  <c r="T44" i="2" s="1"/>
  <c r="AE44" i="2"/>
  <c r="L45" i="2"/>
  <c r="M44" i="2"/>
  <c r="N44" i="2" s="1"/>
  <c r="O44" i="2" s="1"/>
  <c r="W44" i="2"/>
  <c r="X44" i="2" s="1"/>
  <c r="L46" i="2" l="1"/>
  <c r="AE45" i="2"/>
  <c r="W45" i="2"/>
  <c r="X45" i="2" s="1"/>
  <c r="M45" i="2"/>
  <c r="N45" i="2" s="1"/>
  <c r="O45" i="2" s="1"/>
  <c r="Q46" i="2"/>
  <c r="AH45" i="2"/>
  <c r="R45" i="2"/>
  <c r="S45" i="2" s="1"/>
  <c r="T45" i="2" s="1"/>
  <c r="AA45" i="2"/>
  <c r="AB45" i="2" s="1"/>
  <c r="AH46" i="2" l="1"/>
  <c r="Q47" i="2"/>
  <c r="AA46" i="2"/>
  <c r="AB46" i="2" s="1"/>
  <c r="R46" i="2"/>
  <c r="S46" i="2" s="1"/>
  <c r="T46" i="2" s="1"/>
  <c r="AE46" i="2"/>
  <c r="L47" i="2"/>
  <c r="M46" i="2"/>
  <c r="N46" i="2" s="1"/>
  <c r="O46" i="2" s="1"/>
  <c r="W46" i="2"/>
  <c r="X46" i="2" s="1"/>
  <c r="L48" i="2" l="1"/>
  <c r="AE47" i="2"/>
  <c r="M47" i="2"/>
  <c r="N47" i="2" s="1"/>
  <c r="O47" i="2" s="1"/>
  <c r="W47" i="2"/>
  <c r="X47" i="2" s="1"/>
  <c r="Q48" i="2"/>
  <c r="AH47" i="2"/>
  <c r="AA47" i="2"/>
  <c r="AB47" i="2" s="1"/>
  <c r="R47" i="2"/>
  <c r="S47" i="2" s="1"/>
  <c r="T47" i="2" s="1"/>
  <c r="Q49" i="2" l="1"/>
  <c r="AH48" i="2"/>
  <c r="AA48" i="2"/>
  <c r="AB48" i="2" s="1"/>
  <c r="R48" i="2"/>
  <c r="S48" i="2" s="1"/>
  <c r="T48" i="2" s="1"/>
  <c r="L49" i="2"/>
  <c r="AE48" i="2"/>
  <c r="W48" i="2"/>
  <c r="X48" i="2" s="1"/>
  <c r="M48" i="2"/>
  <c r="N48" i="2" s="1"/>
  <c r="O48" i="2" s="1"/>
  <c r="L50" i="2" l="1"/>
  <c r="AE49" i="2"/>
  <c r="W49" i="2"/>
  <c r="X49" i="2" s="1"/>
  <c r="M49" i="2"/>
  <c r="N49" i="2" s="1"/>
  <c r="O49" i="2" s="1"/>
  <c r="Q50" i="2"/>
  <c r="AH49" i="2"/>
  <c r="AA49" i="2"/>
  <c r="AB49" i="2" s="1"/>
  <c r="R49" i="2"/>
  <c r="S49" i="2" s="1"/>
  <c r="T49" i="2" s="1"/>
  <c r="Q51" i="2" l="1"/>
  <c r="AH50" i="2"/>
  <c r="R50" i="2"/>
  <c r="S50" i="2" s="1"/>
  <c r="T50" i="2" s="1"/>
  <c r="AA50" i="2"/>
  <c r="AB50" i="2" s="1"/>
  <c r="L51" i="2"/>
  <c r="AE50" i="2"/>
  <c r="M50" i="2"/>
  <c r="N50" i="2" s="1"/>
  <c r="O50" i="2" s="1"/>
  <c r="W50" i="2"/>
  <c r="X50" i="2" s="1"/>
  <c r="L52" i="2" l="1"/>
  <c r="AE51" i="2"/>
  <c r="W51" i="2"/>
  <c r="X51" i="2" s="1"/>
  <c r="M51" i="2"/>
  <c r="N51" i="2" s="1"/>
  <c r="O51" i="2" s="1"/>
  <c r="AH51" i="2"/>
  <c r="Q52" i="2"/>
  <c r="AA51" i="2"/>
  <c r="AB51" i="2" s="1"/>
  <c r="R51" i="2"/>
  <c r="S51" i="2" s="1"/>
  <c r="T51" i="2" s="1"/>
  <c r="Q53" i="2" l="1"/>
  <c r="AH52" i="2"/>
  <c r="AA52" i="2"/>
  <c r="AB52" i="2" s="1"/>
  <c r="R52" i="2"/>
  <c r="S52" i="2" s="1"/>
  <c r="T52" i="2" s="1"/>
  <c r="AE52" i="2"/>
  <c r="L53" i="2"/>
  <c r="M52" i="2"/>
  <c r="N52" i="2" s="1"/>
  <c r="O52" i="2" s="1"/>
  <c r="W52" i="2"/>
  <c r="X52" i="2" s="1"/>
  <c r="L54" i="2" l="1"/>
  <c r="AE53" i="2"/>
  <c r="W53" i="2"/>
  <c r="X53" i="2" s="1"/>
  <c r="M53" i="2"/>
  <c r="N53" i="2" s="1"/>
  <c r="O53" i="2" s="1"/>
  <c r="AH53" i="2"/>
  <c r="Q54" i="2"/>
  <c r="AA53" i="2"/>
  <c r="AB53" i="2" s="1"/>
  <c r="R53" i="2"/>
  <c r="S53" i="2" s="1"/>
  <c r="T53" i="2" s="1"/>
  <c r="Q55" i="2" l="1"/>
  <c r="AH54" i="2"/>
  <c r="R54" i="2"/>
  <c r="S54" i="2" s="1"/>
  <c r="T54" i="2" s="1"/>
  <c r="AA54" i="2"/>
  <c r="AB54" i="2" s="1"/>
  <c r="L55" i="2"/>
  <c r="AE54" i="2"/>
  <c r="W54" i="2"/>
  <c r="X54" i="2" s="1"/>
  <c r="M54" i="2"/>
  <c r="N54" i="2" s="1"/>
  <c r="O54" i="2" s="1"/>
  <c r="L56" i="2" l="1"/>
  <c r="AE55" i="2"/>
  <c r="W55" i="2"/>
  <c r="X55" i="2" s="1"/>
  <c r="M55" i="2"/>
  <c r="N55" i="2" s="1"/>
  <c r="O55" i="2" s="1"/>
  <c r="AH55" i="2"/>
  <c r="Q56" i="2"/>
  <c r="R55" i="2"/>
  <c r="S55" i="2" s="1"/>
  <c r="T55" i="2" s="1"/>
  <c r="AA55" i="2"/>
  <c r="AB55" i="2" s="1"/>
  <c r="Q57" i="2" l="1"/>
  <c r="AH56" i="2"/>
  <c r="R56" i="2"/>
  <c r="S56" i="2" s="1"/>
  <c r="T56" i="2" s="1"/>
  <c r="AA56" i="2"/>
  <c r="AB56" i="2" s="1"/>
  <c r="L57" i="2"/>
  <c r="AE56" i="2"/>
  <c r="W56" i="2"/>
  <c r="X56" i="2" s="1"/>
  <c r="M56" i="2"/>
  <c r="N56" i="2" s="1"/>
  <c r="O56" i="2" s="1"/>
  <c r="L58" i="2" l="1"/>
  <c r="AE57" i="2"/>
  <c r="M57" i="2"/>
  <c r="N57" i="2" s="1"/>
  <c r="O57" i="2" s="1"/>
  <c r="W57" i="2"/>
  <c r="X57" i="2" s="1"/>
  <c r="AH57" i="2"/>
  <c r="Q58" i="2"/>
  <c r="AA57" i="2"/>
  <c r="AB57" i="2" s="1"/>
  <c r="R57" i="2"/>
  <c r="S57" i="2" s="1"/>
  <c r="T57" i="2" s="1"/>
  <c r="Q59" i="2" l="1"/>
  <c r="AH58" i="2"/>
  <c r="AA58" i="2"/>
  <c r="AB58" i="2" s="1"/>
  <c r="R58" i="2"/>
  <c r="S58" i="2" s="1"/>
  <c r="T58" i="2" s="1"/>
  <c r="L59" i="2"/>
  <c r="AE58" i="2"/>
  <c r="W58" i="2"/>
  <c r="X58" i="2" s="1"/>
  <c r="M58" i="2"/>
  <c r="N58" i="2" s="1"/>
  <c r="O58" i="2" s="1"/>
  <c r="L60" i="2" l="1"/>
  <c r="AE59" i="2"/>
  <c r="W59" i="2"/>
  <c r="X59" i="2" s="1"/>
  <c r="M59" i="2"/>
  <c r="N59" i="2" s="1"/>
  <c r="O59" i="2" s="1"/>
  <c r="AH59" i="2"/>
  <c r="Q60" i="2"/>
  <c r="AA59" i="2"/>
  <c r="AB59" i="2" s="1"/>
  <c r="R59" i="2"/>
  <c r="S59" i="2" s="1"/>
  <c r="T59" i="2" s="1"/>
  <c r="Q61" i="2" l="1"/>
  <c r="AH60" i="2"/>
  <c r="AA60" i="2"/>
  <c r="AB60" i="2" s="1"/>
  <c r="R60" i="2"/>
  <c r="S60" i="2" s="1"/>
  <c r="T60" i="2" s="1"/>
  <c r="AE60" i="2"/>
  <c r="L61" i="2"/>
  <c r="W60" i="2"/>
  <c r="X60" i="2" s="1"/>
  <c r="M60" i="2"/>
  <c r="N60" i="2" s="1"/>
  <c r="O60" i="2" s="1"/>
  <c r="L62" i="2" l="1"/>
  <c r="AE61" i="2"/>
  <c r="M61" i="2"/>
  <c r="N61" i="2" s="1"/>
  <c r="O61" i="2" s="1"/>
  <c r="W61" i="2"/>
  <c r="X61" i="2" s="1"/>
  <c r="AH61" i="2"/>
  <c r="Q62" i="2"/>
  <c r="AA61" i="2"/>
  <c r="AB61" i="2" s="1"/>
  <c r="R61" i="2"/>
  <c r="S61" i="2" s="1"/>
  <c r="T61" i="2" s="1"/>
  <c r="AH62" i="2" l="1"/>
  <c r="R62" i="2"/>
  <c r="S62" i="2" s="1"/>
  <c r="T62" i="2" s="1"/>
  <c r="AA62" i="2"/>
  <c r="AB62" i="2" s="1"/>
  <c r="AE62" i="2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<sst xmlns="http://schemas.openxmlformats.org/spreadsheetml/2006/main" count="1587" uniqueCount="203">
  <si>
    <t>Nettohyöty</t>
  </si>
  <si>
    <t>Infrahankkeille</t>
  </si>
  <si>
    <t>H/Ki</t>
  </si>
  <si>
    <t>Liikennöintimuutoksille</t>
  </si>
  <si>
    <t>H/Kioy</t>
  </si>
  <si>
    <t>Hyodyt</t>
  </si>
  <si>
    <t>Kustannukset</t>
  </si>
  <si>
    <t>M€</t>
  </si>
  <si>
    <t>Vaikutukset vaylanpidon kustannuksiin</t>
  </si>
  <si>
    <t>Investointikustannukset</t>
  </si>
  <si>
    <t>Kayttajahyodyt (ajoneuvo- ja aikakustannukset)</t>
  </si>
  <si>
    <t>Summa</t>
  </si>
  <si>
    <t>Kayttajahyodyt (lippumenot)</t>
  </si>
  <si>
    <t>Käyttäjähyödyt (verot ja maksut)</t>
  </si>
  <si>
    <t>Tuottajan ylijäämän muutos (liikennöintikustannus)</t>
  </si>
  <si>
    <t>Tuottajan ylijäämän muutos (verot ja maksut)</t>
  </si>
  <si>
    <t>Tuottajan ylijäämän muutos (tulot liikennepalveluista)</t>
  </si>
  <si>
    <t>Turvallisuusvaikutukset</t>
  </si>
  <si>
    <t>Ympäristövaikutukset (päästökustannukset)</t>
  </si>
  <si>
    <t>Ympäristövaikutukset (melukustannukset)</t>
  </si>
  <si>
    <t>Vaikutukset julkistalouteen (vero-, maksu- ja muut tulot)</t>
  </si>
  <si>
    <t>Vaikutukset julkistalouteen (tuet, ostot ja muut menot)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</si>
  <si>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</si>
  <si>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</si>
  <si>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</si>
  <si>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</si>
  <si>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</si>
  <si>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</si>
  <si>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</si>
  <si>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</si>
  <si>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</si>
  <si>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</si>
  <si>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</si>
  <si>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</si>
  <si>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</si>
  <si>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</si>
  <si>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</si>
  <si>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</si>
  <si>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</si>
  <si>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</si>
  <si>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</si>
  <si>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</si>
  <si>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</si>
  <si>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Verokerroin</t>
  </si>
  <si>
    <t>Vuosilaajennus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</si>
  <si>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</si>
  <si>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</si>
  <si>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</si>
  <si>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</si>
  <si>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</si>
  <si>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</si>
  <si>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</si>
  <si>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</si>
  <si>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</si>
  <si>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</si>
  <si>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</si>
  <si>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</si>
  <si>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</si>
  <si>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Lähde: Väylävirasto yksikköarvot</t>
  </si>
  <si>
    <t>Henkilöauton keskikuormitus</t>
  </si>
  <si>
    <t>Työssäkäyntimatka</t>
  </si>
  <si>
    <t>Vapaa-ajan matka</t>
  </si>
  <si>
    <t>Työasiamatka</t>
  </si>
  <si>
    <t>Kuorma-auto</t>
  </si>
  <si>
    <t>Yhdistelmä</t>
  </si>
  <si>
    <t>Auto</t>
  </si>
  <si>
    <t>Joukkoliikenne (juna)</t>
  </si>
  <si>
    <t>Polkupyörä</t>
  </si>
  <si>
    <t>Aikasäästöt</t>
  </si>
  <si>
    <t>Henkilöauto työ</t>
  </si>
  <si>
    <t>Henkilöauto vapaa-aika</t>
  </si>
  <si>
    <t>Joukkoliikenne työ</t>
  </si>
  <si>
    <t>Joukkoliikenne vapaa-aika</t>
  </si>
  <si>
    <t>Pyöräliikenne työ</t>
  </si>
  <si>
    <t>Pyöräliikenne vapaa-aika</t>
  </si>
  <si>
    <t>Pakettiauto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</si>
  <si>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</si>
  <si>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</si>
  <si>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</si>
  <si>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</si>
  <si>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</si>
  <si>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</si>
  <si>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</si>
  <si>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</si>
  <si>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</si>
  <si>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</si>
  <si>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</si>
  <si>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Henkilöauto</t>
  </si>
  <si>
    <t>Linja-auto</t>
  </si>
  <si>
    <t>Ajoneuvoyhdistelmä</t>
  </si>
  <si>
    <t>Suoritemuutos</t>
  </si>
  <si>
    <t>Kustannus vero</t>
  </si>
  <si>
    <t>Kustannus veroton</t>
  </si>
  <si>
    <t>Joukkoliikenne: Taustataulukot / verot</t>
  </si>
  <si>
    <t>työmatkat</t>
  </si>
  <si>
    <t>Jakson (6-9, 9-15, 15-18) tuntiosuudet</t>
  </si>
  <si>
    <t>AHT</t>
  </si>
  <si>
    <t>päivä</t>
  </si>
  <si>
    <t>IHT</t>
  </si>
  <si>
    <t>Matka-aika [min]</t>
  </si>
  <si>
    <t>Yht</t>
  </si>
  <si>
    <t>Vuositasolla</t>
  </si>
  <si>
    <t>Etäisyys [km]</t>
  </si>
  <si>
    <t>Maksut [eur]</t>
  </si>
  <si>
    <t>vapaa-aika</t>
  </si>
  <si>
    <t>Joukkoliikenne</t>
  </si>
  <si>
    <t>Kuorma-autot</t>
  </si>
  <si>
    <t>Pakettiautot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</si>
  <si>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</si>
  <si>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</si>
  <si>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</si>
  <si>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</si>
  <si>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</si>
  <si>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</si>
  <si>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</si>
  <si>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</si>
  <si>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</si>
  <si>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</si>
  <si>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</si>
  <si>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</si>
  <si>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</si>
  <si>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</si>
  <si>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</si>
  <si>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</si>
  <si>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</si>
  <si>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</si>
  <si>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</si>
  <si>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</si>
  <si>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</si>
  <si>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</si>
  <si>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</si>
  <si>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</si>
  <si>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Tie, kevyet ajoneuvot</t>
  </si>
  <si>
    <t>Tie, raskaat ajoneuvot</t>
  </si>
  <si>
    <t>Ylläpitokustannukset</t>
  </si>
  <si>
    <t>Ratikka 2015</t>
  </si>
  <si>
    <t>Metro 2015</t>
  </si>
  <si>
    <t>Infrakulut</t>
  </si>
  <si>
    <t>suorite</t>
  </si>
  <si>
    <t xml:space="preserve">Kilometrikustannus </t>
  </si>
  <si>
    <t>Metroaseman ylläpitokustannus M€</t>
  </si>
  <si>
    <t>v. 2013</t>
  </si>
  <si>
    <t>Päästöt</t>
  </si>
  <si>
    <t>Lähde: Onnettomuustilastoista / Tavoite ja mittarit excelistä</t>
  </si>
  <si>
    <t>Onnettomuudet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</si>
  <si>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</si>
  <si>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</si>
  <si>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</si>
  <si>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</si>
  <si>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</si>
  <si>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</si>
  <si>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g/km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</si>
  <si>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</si>
  <si>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</si>
  <si>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</si>
  <si>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</si>
  <si>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</si>
  <si>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</si>
  <si>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</si>
  <si>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1</t>
  </si>
  <si>
    <t>Hanke 2</t>
  </si>
  <si>
    <t>Hanke 3</t>
  </si>
  <si>
    <t>Hanke 4</t>
  </si>
  <si>
    <t>Hanke 5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</si>
  <si>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</si>
  <si>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</si>
  <si>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</si>
  <si>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</si>
  <si>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</si>
  <si>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</si>
  <si>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</si>
  <si>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</si>
  <si>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</si>
  <si>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</si>
  <si>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Lähde: LIPASTO VTT</t>
  </si>
  <si>
    <t>Yksikköpäästöt CO2 (g/km)</t>
  </si>
  <si>
    <t>Yksikköpäästöt PM (g/km)</t>
  </si>
  <si>
    <t>Yksikköpäästöt Nox (g/km)*</t>
  </si>
  <si>
    <t>Yksikköpäästöt HC (g/km)**</t>
  </si>
  <si>
    <t xml:space="preserve">Haja-asutus 15 t, taajama 6 t </t>
  </si>
  <si>
    <t>Haja-asutus 60t, taajama 40 t</t>
  </si>
  <si>
    <t>eur/t PM (g/km)</t>
  </si>
  <si>
    <t>eur/t CO2</t>
  </si>
  <si>
    <t>eur/t Nox (g/km)*</t>
  </si>
  <si>
    <t>eur/t HC (g/km)**</t>
  </si>
  <si>
    <t>CO2 (t)</t>
  </si>
  <si>
    <t>PM (t)</t>
  </si>
  <si>
    <t>NOX (t)</t>
  </si>
  <si>
    <t>HC (t)</t>
  </si>
  <si>
    <t>Suorite (km/vrk)</t>
  </si>
  <si>
    <t>Suorite (km/vuosi)</t>
  </si>
  <si>
    <t>Henkilövahingot (onn / milj. km)</t>
  </si>
  <si>
    <t>Kaikki</t>
  </si>
  <si>
    <t>Onnettomuudet (onn /v)</t>
  </si>
  <si>
    <t>Onnettomuudet (eur / v)</t>
  </si>
  <si>
    <t>CO2 (eur / v)</t>
  </si>
  <si>
    <t>PM (eur / v)</t>
  </si>
  <si>
    <t>NOX (eur / v)</t>
  </si>
  <si>
    <t>HC (eur / v)</t>
  </si>
  <si>
    <t>Kaikki päästöt yhteensä (eur /v)</t>
  </si>
  <si>
    <t>Melu (ei laskentamenetelmää)</t>
  </si>
  <si>
    <t>Päästöt vuositasolla</t>
  </si>
  <si>
    <t>Suoritteet tieluokittain (km/v)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</si>
</sst>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\ 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27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0" fillId="0" borderId="10" xfId="0" applyBorder="1"/>
    <xf numFmtId="1" fontId="0" fillId="0" borderId="1" xfId="0" applyNumberFormat="1" applyBorder="1"/>
    <xf numFmtId="0" fontId="3" fillId="0" borderId="0" xfId="0" applyFon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0" borderId="2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" fontId="0" fillId="0" borderId="7" xfId="0" applyNumberFormat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48" xfId="0" applyBorder="1"/>
    <xf numFmtId="1" fontId="0" fillId="0" borderId="50" xfId="0" applyNumberFormat="1" applyBorder="1"/>
    <xf numFmtId="0" fontId="1" fillId="0" borderId="43" xfId="0" applyFont="1" applyBorder="1"/>
    <xf numFmtId="0" fontId="1" fillId="0" borderId="21" xfId="0" applyFont="1" applyBorder="1"/>
    <xf numFmtId="0" fontId="0" fillId="0" borderId="49" xfId="0" applyBorder="1"/>
    <xf numFmtId="2" fontId="0" fillId="0" borderId="7" xfId="0" applyNumberForma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50" xfId="0" applyBorder="1"/>
    <xf numFmtId="0" fontId="0" fillId="0" borderId="60" xfId="0" applyBorder="1"/>
    <xf numFmtId="0" fontId="0" fillId="0" borderId="62" xfId="0" applyBorder="1"/>
    <xf numFmtId="3" fontId="0" fillId="0" borderId="6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55" xfId="0" applyBorder="1" applyAlignment="1">
      <alignment horizontal="center"/>
    </xf>
    <xf numFmtId="1" fontId="0" fillId="0" borderId="61" xfId="0" applyNumberFormat="1" applyBorder="1"/>
    <xf numFmtId="0" fontId="0" fillId="0" borderId="11" xfId="0" applyBorder="1"/>
    <xf numFmtId="0" fontId="0" fillId="0" borderId="64" xfId="0" applyBorder="1"/>
    <xf numFmtId="0" fontId="0" fillId="0" borderId="65" xfId="0" applyBorder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0" fontId="0" fillId="2" borderId="0" xfId="0" applyFill="1"/>
    <xf numFmtId="0" fontId="9" fillId="2" borderId="0" xfId="0" applyFont="1" applyFill="1"/>
    <xf numFmtId="3" fontId="0" fillId="5" borderId="7" xfId="0" applyNumberFormat="1" applyFill="1" applyBorder="1"/>
    <xf numFmtId="3" fontId="0" fillId="5" borderId="52" xfId="0" applyNumberFormat="1" applyFill="1" applyBorder="1"/>
    <xf numFmtId="3" fontId="1" fillId="5" borderId="19" xfId="0" applyNumberFormat="1" applyFont="1" applyFill="1" applyBorder="1"/>
    <xf numFmtId="3" fontId="1" fillId="5" borderId="55" xfId="0" applyNumberFormat="1" applyFont="1" applyFill="1" applyBorder="1"/>
    <xf numFmtId="0" fontId="0" fillId="5" borderId="52" xfId="0" applyFill="1" applyBorder="1"/>
    <xf numFmtId="0" fontId="0" fillId="0" borderId="63" xfId="0" applyBorder="1"/>
    <xf numFmtId="1" fontId="0" fillId="4" borderId="11" xfId="0" applyNumberFormat="1" applyFill="1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6" borderId="7" xfId="0" applyNumberFormat="1" applyFill="1" applyBorder="1"/>
    <xf numFmtId="1" fontId="0" fillId="6" borderId="7" xfId="0" applyNumberFormat="1" applyFill="1" applyBorder="1"/>
    <xf numFmtId="1" fontId="0" fillId="0" borderId="18" xfId="0" applyNumberFormat="1" applyBorder="1"/>
    <xf numFmtId="2" fontId="0" fillId="7" borderId="7" xfId="0" applyNumberFormat="1" applyFill="1" applyBorder="1"/>
    <xf numFmtId="2" fontId="0" fillId="7" borderId="58" xfId="0" applyNumberFormat="1" applyFill="1" applyBorder="1"/>
    <xf numFmtId="1" fontId="16" fillId="6" borderId="7" xfId="0" applyNumberFormat="1" applyFont="1" applyFill="1" applyBorder="1"/>
    <xf numFmtId="0" fontId="0" fillId="7" borderId="7" xfId="0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2" fontId="0" fillId="0" borderId="19" xfId="0" applyNumberFormat="1" applyBorder="1"/>
    <xf numFmtId="1" fontId="13" fillId="8" borderId="11" xfId="0" applyNumberFormat="1" applyFont="1" applyFill="1" applyBorder="1" applyAlignment="1">
      <alignment horizontal="center"/>
    </xf>
    <xf numFmtId="1" fontId="0" fillId="8" borderId="11" xfId="0" applyNumberFormat="1" applyFill="1" applyBorder="1"/>
    <xf numFmtId="0" fontId="0" fillId="0" borderId="12" xfId="0" applyBorder="1"/>
    <xf numFmtId="0" fontId="0" fillId="0" borderId="9" xfId="0" applyBorder="1"/>
    <xf numFmtId="2" fontId="0" fillId="0" borderId="29" xfId="0" applyNumberFormat="1" applyBorder="1"/>
    <xf numFmtId="2" fontId="0" fillId="0" borderId="21" xfId="0" applyNumberFormat="1" applyBorder="1"/>
    <xf numFmtId="1" fontId="0" fillId="6" borderId="17" xfId="0" applyNumberFormat="1" applyFill="1" applyBorder="1"/>
    <xf numFmtId="1" fontId="0" fillId="6" borderId="18" xfId="0" applyNumberFormat="1" applyFill="1" applyBorder="1"/>
    <xf numFmtId="0" fontId="0" fillId="0" borderId="40" xfId="0" applyBorder="1"/>
    <xf numFmtId="3" fontId="1" fillId="9" borderId="19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1" fontId="0" fillId="9" borderId="3" xfId="0" applyNumberFormat="1" applyFill="1" applyBorder="1"/>
    <xf numFmtId="1" fontId="0" fillId="9" borderId="58" xfId="0" applyNumberFormat="1" applyFill="1" applyBorder="1"/>
    <xf numFmtId="1" fontId="7" fillId="0" borderId="11" xfId="0" applyNumberFormat="1" applyFont="1" applyBorder="1" applyAlignment="1">
      <alignment horizontal="center"/>
    </xf>
    <xf numFmtId="3" fontId="0" fillId="0" borderId="19" xfId="0" applyNumberFormat="1" applyBorder="1"/>
    <xf numFmtId="3" fontId="0" fillId="0" borderId="38" xfId="0" applyNumberFormat="1" applyBorder="1"/>
    <xf numFmtId="3" fontId="0" fillId="0" borderId="34" xfId="0" applyNumberFormat="1" applyBorder="1"/>
    <xf numFmtId="9" fontId="0" fillId="0" borderId="0" xfId="2" applyNumberFormat="1" applyFont="1"/>
    <xf numFmtId="9" fontId="0" fillId="0" borderId="0" xfId="0" applyNumberFormat="1"/>
    <xf numFmtId="1" fontId="0" fillId="0" borderId="0" xfId="0" applyNumberFormat="1"/>
    <xf numFmtId="0" fontId="9" fillId="0" borderId="0" xfId="0" applyFont="1"/>
    <xf numFmtId="3" fontId="0" fillId="0" borderId="57" xfId="0" applyNumberFormat="1" applyBorder="1"/>
    <xf numFmtId="0" fontId="0" fillId="0" borderId="0" xfId="0"/>
    <xf numFmtId="3" fontId="0" fillId="0" borderId="0" xfId="0" applyNumberFormat="1"/>
    <xf numFmtId="0" fontId="1" fillId="0" borderId="0" xfId="0" applyFont="1"/>
    <xf numFmtId="10" fontId="0" fillId="7" borderId="5" xfId="0" applyNumberFormat="1" applyFill="1" applyBorder="1"/>
    <xf numFmtId="0" fontId="0" fillId="7" borderId="49" xfId="0" applyFill="1" applyBorder="1"/>
    <xf numFmtId="2" fontId="0" fillId="7" borderId="49" xfId="0" applyNumberFormat="1" applyFill="1" applyBorder="1"/>
    <xf numFmtId="0" fontId="0" fillId="7" borderId="50" xfId="0" applyFill="1" applyBorder="1"/>
    <xf numFmtId="0" fontId="0" fillId="7" borderId="0" xfId="0" applyFill="1"/>
    <xf numFmtId="0" fontId="0" fillId="7" borderId="48" xfId="0" applyFill="1" applyBorder="1"/>
    <xf numFmtId="0" fontId="0" fillId="0" borderId="55" xfId="0" applyBorder="1"/>
    <xf numFmtId="2" fontId="0" fillId="7" borderId="0" xfId="0" applyNumberFormat="1" applyFill="1"/>
    <xf numFmtId="0" fontId="0" fillId="0" borderId="67" xfId="0" applyBorder="1"/>
    <xf numFmtId="0" fontId="0" fillId="7" borderId="53" xfId="0" applyFill="1" applyBorder="1"/>
    <xf numFmtId="0" fontId="0" fillId="7" borderId="55" xfId="0" applyFill="1" applyBorder="1"/>
    <xf numFmtId="0" fontId="0" fillId="7" borderId="6" xfId="0" applyFill="1" applyBorder="1"/>
    <xf numFmtId="0" fontId="0" fillId="7" borderId="47" xfId="0" applyFill="1" applyBorder="1"/>
    <xf numFmtId="2" fontId="0" fillId="7" borderId="44" xfId="0" applyNumberFormat="1" applyFill="1" applyBorder="1"/>
    <xf numFmtId="2" fontId="0" fillId="7" borderId="45" xfId="0" applyNumberFormat="1" applyFill="1" applyBorder="1"/>
    <xf numFmtId="0" fontId="0" fillId="7" borderId="45" xfId="0" applyFill="1" applyBorder="1"/>
    <xf numFmtId="0" fontId="0" fillId="7" borderId="46" xfId="0" applyFill="1" applyBorder="1"/>
    <xf numFmtId="2" fontId="0" fillId="7" borderId="23" xfId="0" applyNumberFormat="1" applyFill="1" applyBorder="1"/>
    <xf numFmtId="9" fontId="0" fillId="7" borderId="54" xfId="0" applyNumberFormat="1" applyFill="1" applyBorder="1"/>
    <xf numFmtId="9" fontId="0" fillId="7" borderId="66" xfId="0" applyNumberFormat="1" applyFill="1" applyBorder="1"/>
    <xf numFmtId="0" fontId="0" fillId="7" borderId="66" xfId="0" applyFill="1" applyBorder="1"/>
    <xf numFmtId="0" fontId="0" fillId="7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5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7" xfId="0" applyBorder="1"/>
    <xf numFmtId="0" fontId="0" fillId="0" borderId="66" xfId="0" applyBorder="1"/>
    <xf numFmtId="0" fontId="0" fillId="0" borderId="30" xfId="0" applyBorder="1"/>
    <xf numFmtId="3" fontId="0" fillId="6" borderId="4" xfId="0" applyNumberFormat="1" applyFill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1" fontId="0" fillId="6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6" fontId="0" fillId="0" borderId="0" xfId="0" applyNumberFormat="1"/>
    <xf numFmtId="166" fontId="0" fillId="0" borderId="0" xfId="2" applyNumberFormat="1" applyFont="1"/>
    <xf numFmtId="166" fontId="0" fillId="7" borderId="36" xfId="2" applyNumberFormat="1" applyFont="1" applyFill="1" applyBorder="1"/>
    <xf numFmtId="166" fontId="0" fillId="7" borderId="37" xfId="2" applyNumberFormat="1" applyFont="1" applyFill="1" applyBorder="1"/>
    <xf numFmtId="166" fontId="0" fillId="7" borderId="21" xfId="2" applyNumberFormat="1" applyFont="1" applyFill="1" applyBorder="1"/>
    <xf numFmtId="166" fontId="0" fillId="7" borderId="56" xfId="0" applyNumberFormat="1" applyFill="1" applyBorder="1"/>
    <xf numFmtId="166" fontId="0" fillId="7" borderId="6" xfId="0" applyNumberFormat="1" applyFill="1" applyBorder="1"/>
    <xf numFmtId="164" fontId="0" fillId="0" borderId="0" xfId="0" applyNumberFormat="1"/>
    <xf numFmtId="166" fontId="0" fillId="7" borderId="12" xfId="0" applyNumberFormat="1" applyFill="1" applyBorder="1"/>
    <xf numFmtId="166" fontId="0" fillId="7" borderId="13" xfId="0" applyNumberFormat="1" applyFill="1" applyBorder="1"/>
    <xf numFmtId="165" fontId="0" fillId="0" borderId="0" xfId="0" applyNumberFormat="1"/>
    <xf numFmtId="1" fontId="0" fillId="9" borderId="6" xfId="0" applyNumberFormat="1" applyFill="1" applyBorder="1"/>
    <xf numFmtId="0" fontId="0" fillId="0" borderId="48" xfId="0" applyFill="1" applyBorder="1"/>
    <xf numFmtId="1" fontId="0" fillId="9" borderId="7" xfId="0" applyNumberFormat="1" applyFill="1" applyBorder="1"/>
    <xf numFmtId="1" fontId="0" fillId="10" borderId="7" xfId="0" applyNumberFormat="1" applyFill="1" applyBorder="1"/>
    <xf numFmtId="0" fontId="0" fillId="10" borderId="7" xfId="0" applyFill="1" applyBorder="1"/>
    <xf numFmtId="164" fontId="0" fillId="10" borderId="7" xfId="0" applyNumberFormat="1" applyFill="1" applyBorder="1"/>
    <xf numFmtId="0" fontId="1" fillId="10" borderId="7" xfId="0" applyFont="1" applyFill="1" applyBorder="1"/>
    <xf numFmtId="1" fontId="1" fillId="10" borderId="7" xfId="0" applyNumberFormat="1" applyFont="1" applyFill="1" applyBorder="1"/>
    <xf numFmtId="1" fontId="0" fillId="9" borderId="10" xfId="0" applyNumberFormat="1" applyFill="1" applyBorder="1"/>
    <xf numFmtId="1" fontId="0" fillId="0" borderId="42" xfId="0" applyNumberFormat="1" applyBorder="1"/>
    <xf numFmtId="1" fontId="0" fillId="9" borderId="33" xfId="0" applyNumberFormat="1" applyFill="1" applyBorder="1"/>
    <xf numFmtId="1" fontId="0" fillId="0" borderId="30" xfId="0" applyNumberFormat="1" applyBorder="1"/>
    <xf numFmtId="1" fontId="0" fillId="6" borderId="33" xfId="0" applyNumberFormat="1" applyFill="1" applyBorder="1"/>
    <xf numFmtId="1" fontId="0" fillId="6" borderId="58" xfId="0" applyNumberFormat="1" applyFill="1" applyBorder="1"/>
    <xf numFmtId="1" fontId="0" fillId="6" borderId="9" xfId="0" applyNumberFormat="1" applyFill="1" applyBorder="1"/>
    <xf numFmtId="1" fontId="0" fillId="6" borderId="1" xfId="0" applyNumberFormat="1" applyFill="1" applyBorder="1"/>
    <xf numFmtId="1" fontId="0" fillId="6" borderId="41" xfId="0" applyNumberFormat="1" applyFill="1" applyBorder="1"/>
    <xf numFmtId="1" fontId="0" fillId="6" borderId="59" xfId="0" applyNumberFormat="1" applyFill="1" applyBorder="1"/>
    <xf numFmtId="1" fontId="0" fillId="0" borderId="43" xfId="0" applyNumberFormat="1" applyBorder="1"/>
    <xf numFmtId="0" fontId="1" fillId="11" borderId="7" xfId="0" applyFont="1" applyFill="1" applyBorder="1"/>
    <xf numFmtId="0" fontId="0" fillId="11" borderId="7" xfId="0" applyFill="1" applyBorder="1"/>
    <xf numFmtId="3" fontId="0" fillId="11" borderId="7" xfId="0" applyNumberFormat="1" applyFill="1" applyBorder="1"/>
    <xf numFmtId="3" fontId="1" fillId="11" borderId="7" xfId="0" applyNumberFormat="1" applyFont="1" applyFill="1" applyBorder="1"/>
    <xf numFmtId="2" fontId="0" fillId="10" borderId="7" xfId="0" applyNumberFormat="1" applyFill="1" applyBorder="1"/>
    <xf numFmtId="0" fontId="0" fillId="10" borderId="0" xfId="0" applyFill="1" applyBorder="1"/>
    <xf numFmtId="4" fontId="0" fillId="11" borderId="7" xfId="0" applyNumberFormat="1" applyFill="1" applyBorder="1"/>
    <xf numFmtId="1" fontId="0" fillId="10" borderId="0" xfId="0" applyNumberFormat="1" applyFill="1" applyBorder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" fontId="0" fillId="9" borderId="9" xfId="0" applyNumberFormat="1" applyFill="1" applyBorder="1"/>
    <xf numFmtId="1" fontId="0" fillId="9" borderId="4" xfId="0" applyNumberFormat="1" applyFill="1" applyBorder="1"/>
    <xf numFmtId="1" fontId="0" fillId="9" borderId="1" xfId="0" applyNumberFormat="1" applyFill="1" applyBorder="1"/>
    <xf numFmtId="1" fontId="0" fillId="9" borderId="41" xfId="0" applyNumberFormat="1" applyFill="1" applyBorder="1"/>
    <xf numFmtId="1" fontId="0" fillId="9" borderId="18" xfId="0" applyNumberFormat="1" applyFill="1" applyBorder="1"/>
    <xf numFmtId="1" fontId="0" fillId="9" borderId="59" xfId="0" applyNumberFormat="1" applyFill="1" applyBorder="1"/>
    <xf numFmtId="3" fontId="0" fillId="9" borderId="15" xfId="0" applyNumberFormat="1" applyFill="1" applyBorder="1"/>
    <xf numFmtId="3" fontId="0" fillId="9" borderId="7" xfId="0" applyNumberFormat="1" applyFill="1" applyBorder="1"/>
    <xf numFmtId="3" fontId="0" fillId="9" borderId="68" xfId="0" applyNumberFormat="1" applyFill="1" applyBorder="1"/>
    <xf numFmtId="3" fontId="0" fillId="9" borderId="4" xfId="0" applyNumberFormat="1" applyFill="1" applyBorder="1"/>
    <xf numFmtId="1" fontId="0" fillId="9" borderId="36" xfId="0" applyNumberFormat="1" applyFill="1" applyBorder="1"/>
    <xf numFmtId="1" fontId="0" fillId="9" borderId="37" xfId="0" applyNumberFormat="1" applyFill="1" applyBorder="1"/>
    <xf numFmtId="0" fontId="0" fillId="9" borderId="0" xfId="0" applyFill="1"/>
    <xf numFmtId="0" fontId="0" fillId="9" borderId="40" xfId="0" applyFill="1" applyBorder="1"/>
    <xf numFmtId="0" fontId="0" fillId="9" borderId="26" xfId="0" applyFill="1" applyBorder="1"/>
    <xf numFmtId="1" fontId="0" fillId="9" borderId="15" xfId="0" applyNumberFormat="1" applyFill="1" applyBorder="1"/>
    <xf numFmtId="1" fontId="0" fillId="9" borderId="68" xfId="0" applyNumberFormat="1" applyFill="1" applyBorder="1"/>
    <xf numFmtId="0" fontId="9" fillId="9" borderId="0" xfId="0" applyFont="1" applyFill="1"/>
    <xf numFmtId="0" fontId="0" fillId="9" borderId="36" xfId="0" applyFill="1" applyBorder="1"/>
    <xf numFmtId="0" fontId="0" fillId="9" borderId="37" xfId="0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9"/>
  <sheetViews>
    <sheetView workbookViewId="0">
      <selection activeCell="E25" sqref="E25"/>
    </sheetView>
  </sheetViews>
  <sheetFormatPr defaultRowHeight="14.4" x14ac:dyDescent="0.3"/>
  <cols>
    <col min="4" max="4" width="52.6640625" style="166" bestFit="1" customWidth="1"/>
    <col min="5" max="5" width="10.5546875" style="166" customWidth="1"/>
    <col min="6" max="6" width="17.6640625" style="166" bestFit="1" customWidth="1"/>
    <col min="7" max="7" width="22.88671875" style="166" bestFit="1" customWidth="1"/>
    <col min="9" max="9" width="22.88671875" style="166" bestFit="1" customWidth="1"/>
    <col min="11" max="11" width="17.6640625" style="166" bestFit="1" customWidth="1"/>
  </cols>
  <sheetData>
    <row r="5" spans="4:13" ht="15.75" customHeight="1" thickBot="1" x14ac:dyDescent="0.35"/>
    <row r="6" spans="4:13" ht="29.25" customHeight="1" thickBot="1" x14ac:dyDescent="0.6">
      <c r="D6" s="81" t="s">
        <v>0</v>
      </c>
      <c r="E6" s="157">
        <f ca="1">E29-H17</f>
        <v>6.1890366607267646</v>
      </c>
    </row>
    <row r="8" spans="4:13" ht="15" customHeight="1" thickBot="1" x14ac:dyDescent="0.35">
      <c r="D8" t="s">
        <v>1</v>
      </c>
    </row>
    <row r="9" spans="4:13" ht="29.4" customHeight="1" thickBot="1" x14ac:dyDescent="0.6">
      <c r="D9" s="81" t="s">
        <v>2</v>
      </c>
      <c r="E9" s="80" t="e">
        <f ca="1">E29/H17</f>
        <v>#DIV/0!</v>
      </c>
    </row>
    <row r="11" spans="4:13" ht="15.75" customHeight="1" thickBot="1" x14ac:dyDescent="0.35">
      <c r="D11" t="s">
        <v>3</v>
      </c>
    </row>
    <row r="12" spans="4:13" ht="32.25" customHeight="1" thickBot="1" x14ac:dyDescent="0.6">
      <c r="D12" s="81" t="s">
        <v>4</v>
      </c>
      <c r="E12" s="80">
        <f ca="1">(SUM(E17:E19)+SUM(E23:E25)+E28)/(H17-SUM(E20:E22)-E26)</f>
        <v>0</v>
      </c>
    </row>
    <row r="13" spans="4:13" x14ac:dyDescent="0.3">
      <c r="D13" s="37"/>
    </row>
    <row r="14" spans="4:13" ht="15" customHeight="1" thickBot="1" x14ac:dyDescent="0.35"/>
    <row r="15" spans="4:13" ht="15" customHeight="1" thickBot="1" x14ac:dyDescent="0.35">
      <c r="D15" s="27" t="s">
        <v>5</v>
      </c>
      <c r="E15" s="175"/>
      <c r="F15" s="168"/>
      <c r="G15" s="27" t="s">
        <v>6</v>
      </c>
      <c r="H15" s="82" t="s">
        <v>7</v>
      </c>
      <c r="K15" s="168"/>
      <c r="L15" s="168"/>
      <c r="M15" s="168"/>
    </row>
    <row r="16" spans="4:13" ht="15" customHeight="1" thickBot="1" x14ac:dyDescent="0.35">
      <c r="D16" s="48" t="s">
        <v>8</v>
      </c>
      <c r="E16" s="83">
        <f ca="1">-Tuottajahyodyt!L70/1000000</f>
        <v>0</v>
      </c>
      <c r="G16" s="29" t="s">
        <v>9</v>
      </c>
      <c r="H16" s="66">
        <f>SUM(Investointikustannus!C41:L41)</f>
        <v>0</v>
      </c>
    </row>
    <row r="17" spans="4:8" ht="15" customHeight="1" thickBot="1" x14ac:dyDescent="0.35">
      <c r="D17" s="202" t="s">
        <v>10</v>
      </c>
      <c r="E17" s="111">
        <f ca="1">(Kayttajahyodyt!M18+Kayttajahyodyt!M31)/1000000</f>
        <v>0</v>
      </c>
      <c r="G17" s="84" t="s">
        <v>11</v>
      </c>
      <c r="H17" s="140">
        <f>H16</f>
        <v>0</v>
      </c>
    </row>
    <row r="18" spans="4:8" x14ac:dyDescent="0.3">
      <c r="D18" s="202" t="s">
        <v>12</v>
      </c>
      <c r="E18" s="59"/>
    </row>
    <row r="19" spans="4:8" x14ac:dyDescent="0.3">
      <c r="D19" s="202" t="s">
        <v>13</v>
      </c>
      <c r="E19" s="78">
        <f ca="1">Kayttajahyodyt!M46/1000000</f>
        <v>0</v>
      </c>
    </row>
    <row r="20" spans="4:8" x14ac:dyDescent="0.3">
      <c r="D20" s="202" t="s">
        <v>14</v>
      </c>
      <c r="E20" s="78">
        <f ca="1">-Tuottajahyodyt!O23/1000000</f>
        <v>0</v>
      </c>
    </row>
    <row r="21" spans="4:8" x14ac:dyDescent="0.3">
      <c r="D21" s="202" t="s">
        <v>15</v>
      </c>
      <c r="E21" s="78">
        <f ca="1">Tuottajahyodyt!C38/1000000</f>
        <v>0</v>
      </c>
    </row>
    <row r="22" spans="4:8" x14ac:dyDescent="0.3">
      <c r="D22" s="202" t="s">
        <v>16</v>
      </c>
      <c r="E22" s="78">
        <f ca="1">Tuottajahyodyt!F48/1000000</f>
        <v>6.7163282793380441</v>
      </c>
    </row>
    <row r="23" spans="4:8" x14ac:dyDescent="0.3">
      <c r="D23" s="202" t="s">
        <v>17</v>
      </c>
      <c r="E23" s="111">
        <f ca="1">-Ulkoisvaikutukset!V4/1000000</f>
        <v>0</v>
      </c>
    </row>
    <row r="24" spans="4:8" x14ac:dyDescent="0.3">
      <c r="D24" s="202" t="s">
        <v>18</v>
      </c>
      <c r="E24" s="78">
        <f ca="1">-Ulkoisvaikutukset!W4/1000000</f>
        <v>0</v>
      </c>
    </row>
    <row r="25" spans="4:8" x14ac:dyDescent="0.3">
      <c r="D25" s="202" t="s">
        <v>19</v>
      </c>
      <c r="E25" s="111">
        <f>-Ulkoisvaikutukset!X4/1000000</f>
        <v>0</v>
      </c>
    </row>
    <row r="26" spans="4:8" x14ac:dyDescent="0.3">
      <c r="D26" s="202" t="s">
        <v>20</v>
      </c>
      <c r="E26" s="78">
        <f ca="1">Julkistaloudelliset!C16/1000000</f>
        <v>-0.52729161861127971</v>
      </c>
    </row>
    <row r="27" spans="4:8" x14ac:dyDescent="0.3">
      <c r="D27" s="202" t="s">
        <v>21</v>
      </c>
      <c r="E27" s="59"/>
    </row>
    <row r="28" spans="4:8" ht="15" customHeight="1" thickBot="1" x14ac:dyDescent="0.35">
      <c r="D28" s="49" t="s">
        <v>22</v>
      </c>
      <c r="E28" s="79">
        <f>Investointikustannus!AA23</f>
        <v>0</v>
      </c>
    </row>
    <row r="29" spans="4:8" ht="15" customHeight="1" thickBot="1" x14ac:dyDescent="0.35">
      <c r="D29" s="60" t="s">
        <v>11</v>
      </c>
      <c r="E29" s="109">
        <f ca="1">SUM(E16:E28)</f>
        <v>6.1890366607267646</v>
      </c>
    </row>
  </sheetData>
  <conditionalFormatting sqref="E9">
    <cfRule type="colorScale" priority="3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E12">
    <cfRule type="colorScale" priority="2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K26" sqref="K26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106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0.3</v>
      </c>
      <c r="C4" s="222">
        <v>0.1</v>
      </c>
      <c r="D4" s="223">
        <v>0.3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106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0.3</v>
      </c>
      <c r="C4" s="222">
        <v>0.1</v>
      </c>
      <c r="D4" s="223">
        <v>0.3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107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0.3</v>
      </c>
      <c r="C4" s="222">
        <v>0.1</v>
      </c>
      <c r="D4" s="223">
        <v>0.3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V105"/>
  <sheetViews>
    <sheetView tabSelected="1" zoomScale="78" zoomScaleNormal="78" workbookViewId="0">
      <selection activeCell="G33" sqref="G33"/>
    </sheetView>
  </sheetViews>
  <sheetFormatPr defaultRowHeight="14.4" x14ac:dyDescent="0.3"/>
  <cols>
    <col min="1" max="1" width="27" style="166" customWidth="1"/>
    <col min="2" max="2" width="21" style="166" customWidth="1"/>
    <col min="3" max="3" width="20.6640625" style="166" customWidth="1"/>
    <col min="4" max="4" width="10.5546875" style="166" bestFit="1" customWidth="1"/>
    <col min="6" max="6" width="20" style="166" customWidth="1"/>
    <col min="7" max="7" width="10.5546875" style="166" bestFit="1" customWidth="1"/>
    <col min="8" max="8" width="10" style="166" bestFit="1" customWidth="1"/>
    <col min="11" max="11" width="22.109375" style="166" customWidth="1"/>
    <col min="12" max="12" width="14.88671875" style="166" bestFit="1" customWidth="1"/>
    <col min="13" max="13" width="13.33203125" style="166" bestFit="1" customWidth="1"/>
    <col min="14" max="14" width="9.33203125" style="166" bestFit="1" customWidth="1"/>
    <col min="15" max="15" width="17.5546875" style="166" bestFit="1" customWidth="1"/>
    <col min="18" max="18" width="21.88671875" style="166" customWidth="1"/>
    <col min="20" max="20" width="10" style="166" bestFit="1" customWidth="1"/>
    <col min="21" max="21" width="14.44140625" style="166" bestFit="1" customWidth="1"/>
    <col min="22" max="22" width="10.5546875" style="166" customWidth="1"/>
  </cols>
  <sheetData>
    <row r="5" spans="1:20" x14ac:dyDescent="0.3">
      <c r="A5" s="168" t="s">
        <v>108</v>
      </c>
    </row>
    <row r="6" spans="1:20" ht="15" customHeight="1" thickBot="1" x14ac:dyDescent="0.35">
      <c r="K6" s="9" t="s">
        <v>109</v>
      </c>
    </row>
    <row r="7" spans="1:20" ht="15" customHeight="1" thickBot="1" x14ac:dyDescent="0.35">
      <c r="A7" s="200" t="s">
        <v>110</v>
      </c>
      <c r="B7" s="200" t="s">
        <v>111</v>
      </c>
      <c r="C7" s="200" t="s">
        <v>112</v>
      </c>
      <c r="D7" s="200" t="s">
        <v>113</v>
      </c>
      <c r="E7" s="10"/>
      <c r="F7" s="200" t="s">
        <v>110</v>
      </c>
      <c r="G7" s="200" t="s">
        <v>114</v>
      </c>
      <c r="H7" s="200" t="s">
        <v>115</v>
      </c>
      <c r="I7" s="200" t="s">
        <v>116</v>
      </c>
      <c r="K7" s="84">
        <f>Diskonttaus!B4</f>
        <v>2030</v>
      </c>
      <c r="L7" s="28" t="s">
        <v>117</v>
      </c>
      <c r="M7" s="44" t="s">
        <v>117</v>
      </c>
      <c r="N7" s="44" t="s">
        <v>117</v>
      </c>
      <c r="O7" s="68" t="s">
        <v>11</v>
      </c>
      <c r="R7" s="200" t="s">
        <v>110</v>
      </c>
      <c r="S7" s="200" t="s">
        <v>114</v>
      </c>
      <c r="T7" s="200" t="s">
        <v>115</v>
      </c>
    </row>
    <row r="8" spans="1:20" x14ac:dyDescent="0.3">
      <c r="A8" s="200" t="s">
        <v>118</v>
      </c>
      <c r="B8" s="127">
        <v>0.74</v>
      </c>
      <c r="C8" s="127">
        <v>50.79</v>
      </c>
      <c r="D8" s="128"/>
      <c r="E8" s="10"/>
      <c r="F8" s="47" t="s">
        <v>118</v>
      </c>
      <c r="G8" s="50">
        <f>300*S8</f>
        <v>0</v>
      </c>
      <c r="H8" s="50">
        <f>300*T8/60</f>
        <v>0</v>
      </c>
      <c r="I8" s="70"/>
      <c r="K8" s="48" t="s">
        <v>118</v>
      </c>
      <c r="L8" s="99">
        <f t="shared" ref="L8:N12" si="0">B8*G8</f>
        <v>0</v>
      </c>
      <c r="M8" s="112">
        <f t="shared" si="0"/>
        <v>0</v>
      </c>
      <c r="N8" s="112">
        <f t="shared" si="0"/>
        <v>0</v>
      </c>
      <c r="O8" s="112">
        <f t="shared" ref="O8:O13" si="1">SUM(L8:N8)</f>
        <v>0</v>
      </c>
      <c r="R8" s="200" t="s">
        <v>118</v>
      </c>
      <c r="S8" s="129"/>
      <c r="T8" s="129"/>
    </row>
    <row r="9" spans="1:20" x14ac:dyDescent="0.3">
      <c r="A9" s="200" t="s">
        <v>119</v>
      </c>
      <c r="B9" s="127">
        <v>0.78</v>
      </c>
      <c r="C9" s="127">
        <v>52.96</v>
      </c>
      <c r="D9" s="128"/>
      <c r="E9" s="11"/>
      <c r="F9" s="47" t="s">
        <v>119</v>
      </c>
      <c r="G9" s="50">
        <f>300*S9</f>
        <v>0</v>
      </c>
      <c r="H9" s="50">
        <f>300*T9/60</f>
        <v>0</v>
      </c>
      <c r="I9" s="70"/>
      <c r="K9" s="202" t="s">
        <v>119</v>
      </c>
      <c r="L9" s="100">
        <f t="shared" si="0"/>
        <v>0</v>
      </c>
      <c r="M9" s="113">
        <f t="shared" si="0"/>
        <v>0</v>
      </c>
      <c r="N9" s="113">
        <f t="shared" si="0"/>
        <v>0</v>
      </c>
      <c r="O9" s="113">
        <f t="shared" si="1"/>
        <v>0</v>
      </c>
      <c r="R9" s="200" t="s">
        <v>119</v>
      </c>
      <c r="S9" s="129"/>
      <c r="T9" s="129"/>
    </row>
    <row r="10" spans="1:20" x14ac:dyDescent="0.3">
      <c r="A10" s="200" t="s">
        <v>120</v>
      </c>
      <c r="B10" s="127">
        <v>2.2999999999999998</v>
      </c>
      <c r="C10" s="127">
        <v>83</v>
      </c>
      <c r="D10" s="128"/>
      <c r="E10" s="11"/>
      <c r="F10" s="47" t="s">
        <v>120</v>
      </c>
      <c r="G10" s="50">
        <f>300*S10</f>
        <v>0</v>
      </c>
      <c r="H10" s="50">
        <f>300*T10/60</f>
        <v>0</v>
      </c>
      <c r="I10" s="70"/>
      <c r="K10" s="202" t="s">
        <v>120</v>
      </c>
      <c r="L10" s="100">
        <f t="shared" si="0"/>
        <v>0</v>
      </c>
      <c r="M10" s="113">
        <f t="shared" si="0"/>
        <v>0</v>
      </c>
      <c r="N10" s="113">
        <f t="shared" si="0"/>
        <v>0</v>
      </c>
      <c r="O10" s="113">
        <f t="shared" si="1"/>
        <v>0</v>
      </c>
      <c r="R10" s="200" t="s">
        <v>120</v>
      </c>
      <c r="S10" s="129"/>
      <c r="T10" s="129"/>
    </row>
    <row r="11" spans="1:20" x14ac:dyDescent="0.3">
      <c r="A11" s="200" t="s">
        <v>121</v>
      </c>
      <c r="B11" s="127">
        <v>0.46</v>
      </c>
      <c r="C11" s="127">
        <v>201.14</v>
      </c>
      <c r="D11" s="128">
        <f>B78*1000000</f>
        <v>683287.165281625</v>
      </c>
      <c r="E11" s="11"/>
      <c r="F11" s="47" t="s">
        <v>121</v>
      </c>
      <c r="G11" s="50">
        <f>300*S11</f>
        <v>0</v>
      </c>
      <c r="H11" s="50">
        <f>300*T11/60</f>
        <v>0</v>
      </c>
      <c r="I11" s="70"/>
      <c r="K11" s="202" t="s">
        <v>121</v>
      </c>
      <c r="L11" s="100">
        <f t="shared" si="0"/>
        <v>0</v>
      </c>
      <c r="M11" s="113">
        <f t="shared" si="0"/>
        <v>0</v>
      </c>
      <c r="N11" s="113">
        <f t="shared" si="0"/>
        <v>0</v>
      </c>
      <c r="O11" s="113">
        <f t="shared" si="1"/>
        <v>0</v>
      </c>
      <c r="R11" s="200" t="s">
        <v>121</v>
      </c>
      <c r="S11" s="129"/>
      <c r="T11" s="129"/>
    </row>
    <row r="12" spans="1:20" x14ac:dyDescent="0.3">
      <c r="A12" s="200" t="s">
        <v>122</v>
      </c>
      <c r="B12" s="127">
        <f>2.8+2.8</f>
        <v>5.6</v>
      </c>
      <c r="C12" s="127">
        <f>340+244</f>
        <v>584</v>
      </c>
      <c r="D12" s="128"/>
      <c r="E12" s="42"/>
      <c r="F12" s="47" t="s">
        <v>122</v>
      </c>
      <c r="G12" s="50">
        <f>300*S12</f>
        <v>0</v>
      </c>
      <c r="H12" s="50">
        <f>300*T12/60</f>
        <v>0</v>
      </c>
      <c r="I12" s="70"/>
      <c r="K12" s="202" t="s">
        <v>122</v>
      </c>
      <c r="L12" s="100">
        <f t="shared" si="0"/>
        <v>0</v>
      </c>
      <c r="M12" s="113">
        <f t="shared" si="0"/>
        <v>0</v>
      </c>
      <c r="N12" s="113">
        <f t="shared" si="0"/>
        <v>0</v>
      </c>
      <c r="O12" s="113">
        <f t="shared" si="1"/>
        <v>0</v>
      </c>
      <c r="R12" s="200" t="s">
        <v>122</v>
      </c>
      <c r="S12" s="129"/>
      <c r="T12" s="129"/>
    </row>
    <row r="13" spans="1:20" ht="15" customHeight="1" thickBot="1" x14ac:dyDescent="0.35">
      <c r="K13" s="67" t="s">
        <v>11</v>
      </c>
      <c r="L13" s="100">
        <f>SUM(L8:L12)</f>
        <v>0</v>
      </c>
      <c r="M13" s="113">
        <f>SUM(M8:M12)</f>
        <v>0</v>
      </c>
      <c r="N13" s="113">
        <f>SUM(N8:N12)</f>
        <v>0</v>
      </c>
      <c r="O13" s="103">
        <f t="shared" si="1"/>
        <v>0</v>
      </c>
    </row>
    <row r="14" spans="1:20" ht="15" customHeight="1" thickBot="1" x14ac:dyDescent="0.35">
      <c r="L14" s="167"/>
      <c r="M14" s="167"/>
      <c r="N14" s="167"/>
      <c r="O14" s="167"/>
      <c r="T14" s="163"/>
    </row>
    <row r="15" spans="1:20" ht="15" customHeight="1" thickBot="1" x14ac:dyDescent="0.35">
      <c r="F15" s="200" t="s">
        <v>110</v>
      </c>
      <c r="G15" s="200" t="s">
        <v>114</v>
      </c>
      <c r="H15" s="200" t="s">
        <v>115</v>
      </c>
      <c r="I15" s="200" t="s">
        <v>116</v>
      </c>
      <c r="K15" s="84">
        <f>Diskonttaus!B6</f>
        <v>2050</v>
      </c>
      <c r="L15" s="28" t="s">
        <v>117</v>
      </c>
      <c r="M15" s="44" t="s">
        <v>117</v>
      </c>
      <c r="N15" s="44" t="s">
        <v>117</v>
      </c>
      <c r="O15" s="68" t="s">
        <v>11</v>
      </c>
      <c r="R15" s="200" t="s">
        <v>110</v>
      </c>
      <c r="S15" s="200" t="s">
        <v>114</v>
      </c>
      <c r="T15" s="200" t="s">
        <v>115</v>
      </c>
    </row>
    <row r="16" spans="1:20" x14ac:dyDescent="0.3">
      <c r="F16" s="200" t="s">
        <v>118</v>
      </c>
      <c r="G16" s="50">
        <f>300*S16</f>
        <v>0</v>
      </c>
      <c r="H16" s="50">
        <f>300*T16/60</f>
        <v>0</v>
      </c>
      <c r="I16" s="70"/>
      <c r="K16" s="48" t="s">
        <v>118</v>
      </c>
      <c r="L16" s="99">
        <f t="shared" ref="L16:N20" si="2">B8*G16</f>
        <v>0</v>
      </c>
      <c r="M16" s="112">
        <f t="shared" si="2"/>
        <v>0</v>
      </c>
      <c r="N16" s="112">
        <f t="shared" si="2"/>
        <v>0</v>
      </c>
      <c r="O16" s="112">
        <f t="shared" ref="O16:O21" si="3">SUM(L16:N16)</f>
        <v>0</v>
      </c>
      <c r="R16" s="200" t="s">
        <v>118</v>
      </c>
      <c r="S16" s="125"/>
      <c r="T16" s="125"/>
    </row>
    <row r="17" spans="1:20" x14ac:dyDescent="0.3">
      <c r="F17" s="200" t="s">
        <v>119</v>
      </c>
      <c r="G17" s="50">
        <f>300*S17</f>
        <v>0</v>
      </c>
      <c r="H17" s="50">
        <f>300*T17/60</f>
        <v>0</v>
      </c>
      <c r="I17" s="70"/>
      <c r="K17" s="202" t="s">
        <v>119</v>
      </c>
      <c r="L17" s="100">
        <f t="shared" si="2"/>
        <v>0</v>
      </c>
      <c r="M17" s="113">
        <f t="shared" si="2"/>
        <v>0</v>
      </c>
      <c r="N17" s="113">
        <f t="shared" si="2"/>
        <v>0</v>
      </c>
      <c r="O17" s="113">
        <f t="shared" si="3"/>
        <v>0</v>
      </c>
      <c r="R17" s="200" t="s">
        <v>119</v>
      </c>
      <c r="S17" s="125"/>
      <c r="T17" s="125"/>
    </row>
    <row r="18" spans="1:20" x14ac:dyDescent="0.3">
      <c r="F18" s="200" t="s">
        <v>120</v>
      </c>
      <c r="G18" s="50">
        <f>300*S18</f>
        <v>0</v>
      </c>
      <c r="H18" s="50">
        <f>300*T18/60</f>
        <v>0</v>
      </c>
      <c r="I18" s="70"/>
      <c r="K18" s="202" t="s">
        <v>120</v>
      </c>
      <c r="L18" s="100">
        <f t="shared" si="2"/>
        <v>0</v>
      </c>
      <c r="M18" s="113">
        <f t="shared" si="2"/>
        <v>0</v>
      </c>
      <c r="N18" s="113">
        <f t="shared" si="2"/>
        <v>0</v>
      </c>
      <c r="O18" s="113">
        <f t="shared" si="3"/>
        <v>0</v>
      </c>
      <c r="R18" s="200" t="s">
        <v>120</v>
      </c>
      <c r="S18" s="125"/>
      <c r="T18" s="125"/>
    </row>
    <row r="19" spans="1:20" x14ac:dyDescent="0.3">
      <c r="F19" s="200" t="s">
        <v>121</v>
      </c>
      <c r="G19" s="50">
        <f>300*S19</f>
        <v>0</v>
      </c>
      <c r="H19" s="50">
        <f>300*T19/60</f>
        <v>0</v>
      </c>
      <c r="I19" s="70"/>
      <c r="K19" s="202" t="s">
        <v>121</v>
      </c>
      <c r="L19" s="100">
        <f t="shared" si="2"/>
        <v>0</v>
      </c>
      <c r="M19" s="113">
        <f t="shared" si="2"/>
        <v>0</v>
      </c>
      <c r="N19" s="113">
        <f t="shared" si="2"/>
        <v>0</v>
      </c>
      <c r="O19" s="113">
        <f t="shared" si="3"/>
        <v>0</v>
      </c>
      <c r="R19" s="200" t="s">
        <v>121</v>
      </c>
      <c r="S19" s="125"/>
      <c r="T19" s="125"/>
    </row>
    <row r="20" spans="1:20" x14ac:dyDescent="0.3">
      <c r="F20" s="200" t="s">
        <v>122</v>
      </c>
      <c r="G20" s="50">
        <f>300*S20</f>
        <v>0</v>
      </c>
      <c r="H20" s="50">
        <f>300*T20/60</f>
        <v>0</v>
      </c>
      <c r="I20" s="70"/>
      <c r="K20" s="202" t="s">
        <v>122</v>
      </c>
      <c r="L20" s="100">
        <f t="shared" si="2"/>
        <v>0</v>
      </c>
      <c r="M20" s="113">
        <f t="shared" si="2"/>
        <v>0</v>
      </c>
      <c r="N20" s="113">
        <f t="shared" si="2"/>
        <v>0</v>
      </c>
      <c r="O20" s="113">
        <f t="shared" si="3"/>
        <v>0</v>
      </c>
      <c r="R20" s="200" t="s">
        <v>122</v>
      </c>
      <c r="S20" s="125"/>
      <c r="T20" s="125"/>
    </row>
    <row r="21" spans="1:20" ht="15" customHeight="1" thickBot="1" x14ac:dyDescent="0.35">
      <c r="K21" s="67" t="s">
        <v>11</v>
      </c>
      <c r="L21" s="100">
        <f>SUM(L16:L20)</f>
        <v>0</v>
      </c>
      <c r="M21" s="113">
        <f>SUM(M16:M20)</f>
        <v>0</v>
      </c>
      <c r="N21" s="113">
        <f>SUM(N16:N20)</f>
        <v>0</v>
      </c>
      <c r="O21" s="103">
        <f t="shared" si="3"/>
        <v>0</v>
      </c>
      <c r="T21" s="163"/>
    </row>
    <row r="22" spans="1:20" ht="15" customHeight="1" thickBot="1" x14ac:dyDescent="0.35">
      <c r="L22" s="167"/>
      <c r="M22" s="167"/>
      <c r="N22" s="167"/>
      <c r="O22" s="167"/>
      <c r="T22" s="163"/>
    </row>
    <row r="23" spans="1:20" ht="18.600000000000001" customHeight="1" thickBot="1" x14ac:dyDescent="0.4">
      <c r="A23" s="168"/>
      <c r="B23" s="14"/>
      <c r="K23" s="114" t="s">
        <v>78</v>
      </c>
      <c r="L23" s="167"/>
      <c r="M23" s="167"/>
      <c r="N23" s="167"/>
      <c r="O23" s="115">
        <f ca="1">IF(ISNUMBER(Diskonttaus!B20),Diskonttaus!B29*O13+Diskonttaus!B30*O21,Diskonttaus!B29*O13)*Diskonttaus!$B$10</f>
        <v>0</v>
      </c>
      <c r="T23" s="163"/>
    </row>
    <row r="24" spans="1:20" x14ac:dyDescent="0.3">
      <c r="T24" s="163"/>
    </row>
    <row r="25" spans="1:20" x14ac:dyDescent="0.3">
      <c r="T25" s="163"/>
    </row>
    <row r="26" spans="1:20" ht="12.75" customHeight="1" x14ac:dyDescent="0.3">
      <c r="T26" s="163"/>
    </row>
    <row r="27" spans="1:20" s="101" customFormat="1" x14ac:dyDescent="0.3"/>
    <row r="29" spans="1:20" ht="15" customHeight="1" thickBot="1" x14ac:dyDescent="0.35">
      <c r="B29" s="9" t="s">
        <v>86</v>
      </c>
    </row>
    <row r="30" spans="1:20" x14ac:dyDescent="0.3">
      <c r="A30" s="168" t="s">
        <v>123</v>
      </c>
      <c r="B30" s="73">
        <f>Diskonttaus!B4</f>
        <v>2030</v>
      </c>
      <c r="C30" s="71"/>
    </row>
    <row r="31" spans="1:20" x14ac:dyDescent="0.3">
      <c r="B31" s="202" t="s">
        <v>124</v>
      </c>
      <c r="C31" s="111"/>
    </row>
    <row r="32" spans="1:20" ht="15" customHeight="1" thickBot="1" x14ac:dyDescent="0.35">
      <c r="B32" s="49" t="s">
        <v>11</v>
      </c>
      <c r="C32" s="104">
        <f>SUM(C31:C31)</f>
        <v>0</v>
      </c>
    </row>
    <row r="33" spans="1:6" ht="15" customHeight="1" thickBot="1" x14ac:dyDescent="0.35"/>
    <row r="34" spans="1:6" x14ac:dyDescent="0.3">
      <c r="B34" s="73">
        <f>Diskonttaus!B6</f>
        <v>2050</v>
      </c>
      <c r="C34" s="71"/>
    </row>
    <row r="35" spans="1:6" x14ac:dyDescent="0.3">
      <c r="B35" s="202" t="s">
        <v>124</v>
      </c>
      <c r="C35" s="59"/>
    </row>
    <row r="36" spans="1:6" ht="15" customHeight="1" thickBot="1" x14ac:dyDescent="0.35">
      <c r="B36" s="49" t="s">
        <v>11</v>
      </c>
      <c r="C36" s="107">
        <f>SUM(C35:C35)</f>
        <v>0</v>
      </c>
    </row>
    <row r="37" spans="1:6" ht="15" customHeight="1" thickBot="1" x14ac:dyDescent="0.35"/>
    <row r="38" spans="1:6" ht="18.600000000000001" customHeight="1" thickBot="1" x14ac:dyDescent="0.4">
      <c r="B38" s="116" t="s">
        <v>78</v>
      </c>
      <c r="C38" s="115">
        <f ca="1">Diskonttaus!B19*C32*Diskonttaus!$B$10</f>
        <v>0</v>
      </c>
    </row>
    <row r="40" spans="1:6" ht="15" customHeight="1" thickBot="1" x14ac:dyDescent="0.35">
      <c r="A40" s="168" t="s">
        <v>125</v>
      </c>
      <c r="B40" s="14"/>
    </row>
    <row r="41" spans="1:6" ht="15" customHeight="1" thickBot="1" x14ac:dyDescent="0.35">
      <c r="B41" s="55" t="s">
        <v>96</v>
      </c>
      <c r="C41" s="44" t="s">
        <v>126</v>
      </c>
      <c r="D41" s="44" t="s">
        <v>98</v>
      </c>
      <c r="E41" s="44" t="s">
        <v>100</v>
      </c>
      <c r="F41" s="16" t="s">
        <v>101</v>
      </c>
    </row>
    <row r="42" spans="1:6" x14ac:dyDescent="0.3">
      <c r="A42" s="214">
        <f>Diskonttaus!B4</f>
        <v>2030</v>
      </c>
      <c r="B42" s="224">
        <v>0.47799999999999998</v>
      </c>
      <c r="C42" s="225">
        <v>0.109</v>
      </c>
      <c r="D42" s="225">
        <v>0.40500000000000003</v>
      </c>
      <c r="E42" s="42"/>
      <c r="F42" s="43"/>
    </row>
    <row r="43" spans="1:6" ht="15" customHeight="1" thickBot="1" x14ac:dyDescent="0.35">
      <c r="A43" t="s">
        <v>127</v>
      </c>
      <c r="B43" s="145"/>
      <c r="C43" s="146"/>
      <c r="D43" s="146"/>
      <c r="E43" s="126">
        <v>980.0743748261001</v>
      </c>
      <c r="F43" s="105">
        <f>E43*300</f>
        <v>294022.31244783005</v>
      </c>
    </row>
    <row r="44" spans="1:6" ht="15" customHeight="1" thickBot="1" x14ac:dyDescent="0.35">
      <c r="B44" s="55" t="s">
        <v>96</v>
      </c>
      <c r="C44" s="44" t="s">
        <v>126</v>
      </c>
      <c r="D44" s="44" t="s">
        <v>98</v>
      </c>
      <c r="E44" s="44" t="s">
        <v>100</v>
      </c>
      <c r="F44" s="16" t="s">
        <v>101</v>
      </c>
    </row>
    <row r="45" spans="1:6" x14ac:dyDescent="0.3">
      <c r="A45" s="214">
        <f>Diskonttaus!B6</f>
        <v>2050</v>
      </c>
      <c r="B45" s="224">
        <v>0.47799999999999998</v>
      </c>
      <c r="C45" s="225">
        <v>0.109</v>
      </c>
      <c r="D45" s="225">
        <v>0.40500000000000003</v>
      </c>
      <c r="E45" s="42"/>
      <c r="F45" s="43"/>
    </row>
    <row r="46" spans="1:6" ht="15" customHeight="1" thickBot="1" x14ac:dyDescent="0.35">
      <c r="A46" t="s">
        <v>127</v>
      </c>
      <c r="B46" s="145"/>
      <c r="C46" s="146"/>
      <c r="D46" s="146"/>
      <c r="E46" s="126">
        <v>1513.993838300602</v>
      </c>
      <c r="F46" s="105">
        <f>E46*300</f>
        <v>454198.15149018058</v>
      </c>
    </row>
    <row r="47" spans="1:6" ht="15" customHeight="1" thickBot="1" x14ac:dyDescent="0.35"/>
    <row r="48" spans="1:6" ht="18.600000000000001" customHeight="1" thickBot="1" x14ac:dyDescent="0.4">
      <c r="A48" s="117" t="s">
        <v>78</v>
      </c>
      <c r="F48" s="115">
        <f ca="1">IF(ISNUMBER(Diskonttaus!B20),Diskonttaus!B26*F43+Diskonttaus!B27*F46,Diskonttaus!B26*F43)*Diskonttaus!$B$10</f>
        <v>6716328.2793380441</v>
      </c>
    </row>
    <row r="50" spans="1:12" s="101" customFormat="1" x14ac:dyDescent="0.3"/>
    <row r="52" spans="1:12" x14ac:dyDescent="0.3">
      <c r="A52" s="168" t="s">
        <v>128</v>
      </c>
    </row>
    <row r="53" spans="1:12" ht="15" customHeight="1" thickBot="1" x14ac:dyDescent="0.35">
      <c r="K53" s="9" t="s">
        <v>109</v>
      </c>
    </row>
    <row r="54" spans="1:12" ht="15" customHeight="1" thickBot="1" x14ac:dyDescent="0.35">
      <c r="A54" s="200" t="s">
        <v>129</v>
      </c>
      <c r="B54" s="200" t="s">
        <v>130</v>
      </c>
      <c r="F54" s="200">
        <f>Diskonttaus!B4</f>
        <v>2030</v>
      </c>
      <c r="G54" s="200" t="s">
        <v>131</v>
      </c>
      <c r="K54" s="84" t="s">
        <v>129</v>
      </c>
      <c r="L54" s="175" t="s">
        <v>117</v>
      </c>
    </row>
    <row r="55" spans="1:12" x14ac:dyDescent="0.3">
      <c r="A55" s="200" t="s">
        <v>132</v>
      </c>
      <c r="B55" s="130">
        <v>4.3E-3</v>
      </c>
      <c r="F55" s="200" t="s">
        <v>132</v>
      </c>
      <c r="G55" s="200">
        <f>300*(Ulkoisvaikutukset!I8+Ulkoisvaikutukset!I9)</f>
        <v>0</v>
      </c>
      <c r="K55" s="17" t="s">
        <v>132</v>
      </c>
      <c r="L55" s="77">
        <f>B55*G55</f>
        <v>0</v>
      </c>
    </row>
    <row r="56" spans="1:12" x14ac:dyDescent="0.3">
      <c r="A56" s="200" t="s">
        <v>133</v>
      </c>
      <c r="B56" s="130">
        <v>4.6600000000000003E-2</v>
      </c>
      <c r="F56" s="200" t="s">
        <v>133</v>
      </c>
      <c r="G56" s="200">
        <f>300*(Ulkoisvaikutukset!I4+Ulkoisvaikutukset!I10+Ulkoisvaikutukset!I11)</f>
        <v>0</v>
      </c>
      <c r="K56" s="202" t="s">
        <v>133</v>
      </c>
      <c r="L56" s="100">
        <f>B56*G56</f>
        <v>0</v>
      </c>
    </row>
    <row r="57" spans="1:12" x14ac:dyDescent="0.3">
      <c r="A57" s="200" t="s">
        <v>120</v>
      </c>
      <c r="B57" s="127">
        <v>0.1</v>
      </c>
      <c r="F57" s="200" t="s">
        <v>120</v>
      </c>
      <c r="G57" s="50">
        <f>Tuottajahyodyt!G10</f>
        <v>0</v>
      </c>
      <c r="K57" s="202" t="s">
        <v>120</v>
      </c>
      <c r="L57" s="111">
        <f>B57*G57</f>
        <v>0</v>
      </c>
    </row>
    <row r="58" spans="1:12" ht="15" customHeight="1" x14ac:dyDescent="0.3">
      <c r="A58" s="200" t="s">
        <v>121</v>
      </c>
      <c r="B58" s="127">
        <f>C73</f>
        <v>4.9835192903259135E-2</v>
      </c>
      <c r="F58" s="200" t="s">
        <v>121</v>
      </c>
      <c r="G58" s="50">
        <f>G11</f>
        <v>0</v>
      </c>
      <c r="K58" s="202" t="s">
        <v>121</v>
      </c>
      <c r="L58" s="111">
        <f>B58*G58</f>
        <v>0</v>
      </c>
    </row>
    <row r="59" spans="1:12" ht="15" customHeight="1" thickBot="1" x14ac:dyDescent="0.35">
      <c r="A59" s="200" t="s">
        <v>122</v>
      </c>
      <c r="B59" s="127">
        <f>132*0.0018</f>
        <v>0.23760000000000001</v>
      </c>
      <c r="F59" s="200" t="s">
        <v>122</v>
      </c>
      <c r="G59" s="50">
        <f>G12</f>
        <v>0</v>
      </c>
      <c r="K59" s="49" t="s">
        <v>122</v>
      </c>
      <c r="L59" s="97">
        <f>B59*G59</f>
        <v>0</v>
      </c>
    </row>
    <row r="60" spans="1:12" ht="15" customHeight="1" thickBot="1" x14ac:dyDescent="0.35">
      <c r="K60" s="27" t="s">
        <v>11</v>
      </c>
      <c r="L60" s="106">
        <f>SUM(L55:L59)</f>
        <v>0</v>
      </c>
    </row>
    <row r="61" spans="1:12" ht="15" customHeight="1" thickBot="1" x14ac:dyDescent="0.35"/>
    <row r="62" spans="1:12" ht="15.75" customHeight="1" thickBot="1" x14ac:dyDescent="0.35">
      <c r="F62" s="200">
        <f>Diskonttaus!B6</f>
        <v>2050</v>
      </c>
      <c r="G62" s="200" t="s">
        <v>131</v>
      </c>
      <c r="K62" s="84" t="s">
        <v>129</v>
      </c>
      <c r="L62" s="175" t="s">
        <v>117</v>
      </c>
    </row>
    <row r="63" spans="1:12" x14ac:dyDescent="0.3">
      <c r="F63" s="200" t="s">
        <v>132</v>
      </c>
      <c r="G63" s="200">
        <f>300*(Ulkoisvaikutukset!R8+Ulkoisvaikutukset!R9)</f>
        <v>0</v>
      </c>
      <c r="K63" s="17" t="s">
        <v>132</v>
      </c>
      <c r="L63" s="77">
        <f>B55*G63</f>
        <v>0</v>
      </c>
    </row>
    <row r="64" spans="1:12" x14ac:dyDescent="0.3">
      <c r="F64" s="200" t="s">
        <v>133</v>
      </c>
      <c r="G64" s="200">
        <f>300*(Ulkoisvaikutukset!R4+Ulkoisvaikutukset!R10+Ulkoisvaikutukset!R11)</f>
        <v>0</v>
      </c>
      <c r="K64" s="201" t="s">
        <v>133</v>
      </c>
      <c r="L64" s="77">
        <f>B56*G64</f>
        <v>0</v>
      </c>
    </row>
    <row r="65" spans="1:12" ht="15" customHeight="1" x14ac:dyDescent="0.3">
      <c r="F65" s="200" t="s">
        <v>120</v>
      </c>
      <c r="G65" s="50">
        <f>Tuottajahyodyt!G18</f>
        <v>0</v>
      </c>
      <c r="K65" s="202" t="s">
        <v>120</v>
      </c>
      <c r="L65" s="111">
        <f>B57*G65</f>
        <v>0</v>
      </c>
    </row>
    <row r="66" spans="1:12" ht="15" customHeight="1" x14ac:dyDescent="0.3">
      <c r="F66" s="200" t="s">
        <v>121</v>
      </c>
      <c r="G66" s="50">
        <f>G19</f>
        <v>0</v>
      </c>
      <c r="K66" s="202" t="s">
        <v>121</v>
      </c>
      <c r="L66" s="111">
        <f>B58*G66</f>
        <v>0</v>
      </c>
    </row>
    <row r="67" spans="1:12" ht="15" customHeight="1" thickBot="1" x14ac:dyDescent="0.35">
      <c r="F67" s="200" t="s">
        <v>122</v>
      </c>
      <c r="G67" s="50">
        <f>G20</f>
        <v>0</v>
      </c>
      <c r="K67" s="49" t="s">
        <v>122</v>
      </c>
      <c r="L67" s="97">
        <f>B59*G67</f>
        <v>0</v>
      </c>
    </row>
    <row r="68" spans="1:12" ht="18.600000000000001" customHeight="1" thickBot="1" x14ac:dyDescent="0.35">
      <c r="K68" s="27" t="s">
        <v>11</v>
      </c>
      <c r="L68" s="106">
        <f>SUM(L63:L67)</f>
        <v>0</v>
      </c>
    </row>
    <row r="69" spans="1:12" ht="15" customHeight="1" thickBot="1" x14ac:dyDescent="0.35"/>
    <row r="70" spans="1:12" ht="15" customHeight="1" thickBot="1" x14ac:dyDescent="0.4">
      <c r="A70" s="84" t="s">
        <v>134</v>
      </c>
      <c r="B70" s="28" t="s">
        <v>135</v>
      </c>
      <c r="C70" s="16" t="s">
        <v>136</v>
      </c>
      <c r="K70" s="117" t="s">
        <v>78</v>
      </c>
      <c r="L70" s="115">
        <f ca="1">IF(ISNUMBER(Diskonttaus!B20),Diskonttaus!B26*L60+Diskonttaus!B27*L68,Diskonttaus!B26*L60)*Diskonttaus!$B$10</f>
        <v>0</v>
      </c>
    </row>
    <row r="71" spans="1:12" x14ac:dyDescent="0.3">
      <c r="A71" s="48" t="s">
        <v>137</v>
      </c>
      <c r="B71" s="12">
        <v>13155725</v>
      </c>
      <c r="C71" s="43">
        <v>733536.36413013958</v>
      </c>
    </row>
    <row r="72" spans="1:12" ht="15" customHeight="1" thickBot="1" x14ac:dyDescent="0.35">
      <c r="A72" s="76" t="s">
        <v>138</v>
      </c>
      <c r="B72" s="142">
        <v>5484224</v>
      </c>
      <c r="C72" s="86">
        <v>14719244</v>
      </c>
    </row>
    <row r="73" spans="1:12" ht="15" customHeight="1" thickBot="1" x14ac:dyDescent="0.35">
      <c r="A73" s="84" t="s">
        <v>139</v>
      </c>
      <c r="B73" s="143">
        <f>B71/B72</f>
        <v>2.3988307188036084</v>
      </c>
      <c r="C73" s="144">
        <f>C71/C72</f>
        <v>4.9835192903259135E-2</v>
      </c>
    </row>
    <row r="76" spans="1:12" ht="15" customHeight="1" thickBot="1" x14ac:dyDescent="0.35"/>
    <row r="77" spans="1:12" x14ac:dyDescent="0.3">
      <c r="A77" s="141" t="s">
        <v>140</v>
      </c>
      <c r="B77" s="39"/>
    </row>
    <row r="78" spans="1:12" ht="15" customHeight="1" thickBot="1" x14ac:dyDescent="0.35">
      <c r="A78" s="40" t="s">
        <v>141</v>
      </c>
      <c r="B78" s="138">
        <v>0.68328716528162503</v>
      </c>
    </row>
    <row r="81" spans="2:2" x14ac:dyDescent="0.3">
      <c r="B81" s="226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4" x14ac:dyDescent="0.3">
      <c r="B97" s="1"/>
    </row>
    <row r="98" spans="2:4" x14ac:dyDescent="0.3">
      <c r="B98" s="1"/>
    </row>
    <row r="99" spans="2:4" x14ac:dyDescent="0.3">
      <c r="B99" s="1"/>
    </row>
    <row r="100" spans="2:4" x14ac:dyDescent="0.3">
      <c r="B100" s="1"/>
    </row>
    <row r="105" spans="2:4" x14ac:dyDescent="0.3">
      <c r="D105" s="15"/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A1:AK183"/>
  <sheetViews>
    <sheetView zoomScale="70" zoomScaleNormal="70" workbookViewId="0">
      <selection activeCell="L8" sqref="L8:Q11"/>
    </sheetView>
  </sheetViews>
  <sheetFormatPr defaultRowHeight="14.4" x14ac:dyDescent="0.3"/>
  <cols>
    <col min="1" max="1" width="8.44140625" style="166" customWidth="1"/>
    <col min="2" max="2" width="29.44140625" style="166" bestFit="1" customWidth="1"/>
    <col min="3" max="3" width="14.6640625" style="166" bestFit="1" customWidth="1"/>
    <col min="4" max="4" width="16.21875" style="166" customWidth="1"/>
    <col min="5" max="5" width="13.5546875" style="166" customWidth="1"/>
    <col min="6" max="6" width="13.44140625" style="166" customWidth="1"/>
    <col min="7" max="10" width="10.109375" style="166" customWidth="1"/>
    <col min="11" max="11" width="29.44140625" style="166" bestFit="1" customWidth="1"/>
    <col min="12" max="12" width="10.109375" style="166" customWidth="1"/>
    <col min="13" max="17" width="10.109375" customWidth="1"/>
    <col min="18" max="18" width="18.21875" customWidth="1"/>
    <col min="21" max="21" width="29.6640625" bestFit="1" customWidth="1"/>
    <col min="22" max="25" width="12.88671875" customWidth="1"/>
  </cols>
  <sheetData>
    <row r="1" spans="2:37" ht="15" customHeight="1" x14ac:dyDescent="0.3">
      <c r="M1" s="166"/>
      <c r="N1" s="166"/>
      <c r="O1" s="166"/>
      <c r="P1" s="166"/>
      <c r="Q1" s="166"/>
      <c r="R1" s="166"/>
      <c r="S1" s="166"/>
      <c r="T1" s="166"/>
      <c r="U1" s="166"/>
    </row>
    <row r="2" spans="2:37" ht="21.6" thickBot="1" x14ac:dyDescent="0.45">
      <c r="B2" s="257">
        <f>Diskonttaus!B4</f>
        <v>2030</v>
      </c>
      <c r="C2" s="258"/>
      <c r="D2" s="258"/>
      <c r="E2" s="258"/>
      <c r="F2" s="258"/>
      <c r="G2" s="258"/>
      <c r="H2" s="258"/>
      <c r="I2" s="258"/>
      <c r="J2" s="258"/>
      <c r="K2" s="257">
        <f>Diskonttaus!B6</f>
        <v>2050</v>
      </c>
      <c r="M2" s="166"/>
      <c r="N2" s="166"/>
      <c r="O2" s="166"/>
      <c r="P2" s="166"/>
      <c r="Q2" s="166"/>
      <c r="R2" s="166"/>
    </row>
    <row r="3" spans="2:37" ht="15" customHeight="1" thickBot="1" x14ac:dyDescent="0.35">
      <c r="B3" s="27" t="s">
        <v>189</v>
      </c>
      <c r="C3" s="28" t="s">
        <v>145</v>
      </c>
      <c r="D3" s="44" t="s">
        <v>146</v>
      </c>
      <c r="E3" s="44" t="s">
        <v>147</v>
      </c>
      <c r="F3" s="44" t="s">
        <v>148</v>
      </c>
      <c r="G3" s="44" t="s">
        <v>149</v>
      </c>
      <c r="H3" s="75" t="s">
        <v>150</v>
      </c>
      <c r="I3" s="84" t="s">
        <v>86</v>
      </c>
      <c r="K3" s="27" t="s">
        <v>189</v>
      </c>
      <c r="L3" s="28" t="s">
        <v>145</v>
      </c>
      <c r="M3" s="44" t="s">
        <v>146</v>
      </c>
      <c r="N3" s="44" t="s">
        <v>147</v>
      </c>
      <c r="O3" s="44" t="s">
        <v>148</v>
      </c>
      <c r="P3" s="44" t="s">
        <v>149</v>
      </c>
      <c r="Q3" s="75" t="s">
        <v>150</v>
      </c>
      <c r="R3" s="84" t="s">
        <v>86</v>
      </c>
      <c r="U3" s="166"/>
      <c r="V3" s="166" t="s">
        <v>144</v>
      </c>
      <c r="W3" s="166" t="s">
        <v>142</v>
      </c>
      <c r="X3" s="166" t="s">
        <v>200</v>
      </c>
      <c r="Y3" s="166" t="s">
        <v>86</v>
      </c>
    </row>
    <row r="4" spans="2:37" ht="18.600000000000001" thickBot="1" x14ac:dyDescent="0.4">
      <c r="B4" s="48" t="s">
        <v>118</v>
      </c>
      <c r="C4" s="238"/>
      <c r="D4" s="230"/>
      <c r="E4" s="230"/>
      <c r="F4" s="230"/>
      <c r="G4" s="230"/>
      <c r="H4" s="155">
        <f>SUM(Tuottajahyodyt!S8:S9)</f>
        <v>0</v>
      </c>
      <c r="I4" s="239">
        <f t="shared" ref="I4:I11" si="0">SUM(C4:H4)</f>
        <v>0</v>
      </c>
      <c r="K4" s="48" t="s">
        <v>118</v>
      </c>
      <c r="L4" s="238"/>
      <c r="M4" s="230"/>
      <c r="N4" s="230"/>
      <c r="O4" s="230"/>
      <c r="P4" s="230"/>
      <c r="Q4" s="155">
        <f>SUM(Tuottajahyodyt!S16:S17)</f>
        <v>0</v>
      </c>
      <c r="R4" s="239">
        <f t="shared" ref="R4:R11" si="1">SUM(L4:Q4)</f>
        <v>0</v>
      </c>
      <c r="U4" s="117" t="s">
        <v>78</v>
      </c>
      <c r="V4" s="118">
        <f ca="1">IF(ISNUMBER(Diskonttaus!$B$20),Diskonttaus!$B$19*Ulkoisvaikutukset!I32+Diskonttaus!$B$20*Ulkoisvaikutukset!R32,Diskonttaus!$B$19*Ulkoisvaikutukset!I32)</f>
        <v>0</v>
      </c>
      <c r="W4" s="119">
        <f ca="1">IF(ISNUMBER(Diskonttaus!$B$20),Diskonttaus!$B$19*Ulkoisvaikutukset!I183+Diskonttaus!$B$20*Ulkoisvaikutukset!R183,Diskonttaus!$B$19*Ulkoisvaikutukset!I183)</f>
        <v>0</v>
      </c>
      <c r="X4" s="119">
        <v>0</v>
      </c>
      <c r="Y4" s="120">
        <f ca="1">V4+W4+X4</f>
        <v>0</v>
      </c>
    </row>
    <row r="5" spans="2:37" x14ac:dyDescent="0.3">
      <c r="B5" s="202" t="s">
        <v>120</v>
      </c>
      <c r="C5" s="240"/>
      <c r="D5" s="232"/>
      <c r="E5" s="232"/>
      <c r="F5" s="232"/>
      <c r="G5" s="232"/>
      <c r="H5" s="156">
        <f>Tuottajahyodyt!S10</f>
        <v>0</v>
      </c>
      <c r="I5" s="241">
        <f t="shared" si="0"/>
        <v>0</v>
      </c>
      <c r="K5" s="202" t="s">
        <v>120</v>
      </c>
      <c r="L5" s="240"/>
      <c r="M5" s="232"/>
      <c r="N5" s="232"/>
      <c r="O5" s="232"/>
      <c r="P5" s="232"/>
      <c r="Q5" s="156">
        <f>Tuottajahyodyt!S18</f>
        <v>0</v>
      </c>
      <c r="R5" s="241">
        <f t="shared" si="1"/>
        <v>0</v>
      </c>
    </row>
    <row r="6" spans="2:37" x14ac:dyDescent="0.3">
      <c r="B6" s="202" t="s">
        <v>121</v>
      </c>
      <c r="C6" s="240"/>
      <c r="D6" s="232"/>
      <c r="E6" s="232"/>
      <c r="F6" s="232"/>
      <c r="G6" s="232"/>
      <c r="H6" s="156"/>
      <c r="I6" s="241">
        <f t="shared" si="0"/>
        <v>0</v>
      </c>
      <c r="K6" s="202" t="s">
        <v>121</v>
      </c>
      <c r="L6" s="240"/>
      <c r="M6" s="232"/>
      <c r="N6" s="232"/>
      <c r="O6" s="232"/>
      <c r="P6" s="232"/>
      <c r="Q6" s="156"/>
      <c r="R6" s="241">
        <f t="shared" si="1"/>
        <v>0</v>
      </c>
    </row>
    <row r="7" spans="2:37" x14ac:dyDescent="0.3">
      <c r="B7" s="202" t="s">
        <v>122</v>
      </c>
      <c r="C7" s="240"/>
      <c r="D7" s="232"/>
      <c r="E7" s="232"/>
      <c r="F7" s="232"/>
      <c r="G7" s="232"/>
      <c r="H7" s="156"/>
      <c r="I7" s="241">
        <f t="shared" si="0"/>
        <v>0</v>
      </c>
      <c r="K7" s="202" t="s">
        <v>122</v>
      </c>
      <c r="L7" s="240"/>
      <c r="M7" s="232"/>
      <c r="N7" s="232"/>
      <c r="O7" s="232"/>
      <c r="P7" s="232"/>
      <c r="Q7" s="156"/>
      <c r="R7" s="241">
        <f t="shared" si="1"/>
        <v>0</v>
      </c>
      <c r="U7" s="168" t="s">
        <v>201</v>
      </c>
      <c r="V7" s="168">
        <v>2030</v>
      </c>
      <c r="W7" s="168">
        <v>2050</v>
      </c>
      <c r="X7" s="166"/>
      <c r="Y7" s="166"/>
      <c r="Z7" s="166"/>
      <c r="AA7" s="166"/>
      <c r="AB7" s="166"/>
      <c r="AC7" s="166"/>
      <c r="AD7" s="166"/>
    </row>
    <row r="8" spans="2:37" x14ac:dyDescent="0.3">
      <c r="B8" s="202" t="s">
        <v>87</v>
      </c>
      <c r="C8" s="242"/>
      <c r="D8" s="125"/>
      <c r="E8" s="125"/>
      <c r="F8" s="125"/>
      <c r="G8" s="125"/>
      <c r="H8" s="243"/>
      <c r="I8" s="241">
        <f t="shared" si="0"/>
        <v>0</v>
      </c>
      <c r="K8" s="202" t="s">
        <v>87</v>
      </c>
      <c r="L8" s="242"/>
      <c r="M8" s="125"/>
      <c r="N8" s="125"/>
      <c r="O8" s="125"/>
      <c r="P8" s="125"/>
      <c r="Q8" s="243"/>
      <c r="R8" s="241">
        <f t="shared" si="1"/>
        <v>0</v>
      </c>
      <c r="U8" t="str">
        <f>B108</f>
        <v>CO2 (t)</v>
      </c>
      <c r="V8" s="167">
        <f>SUM(I109:I116)</f>
        <v>0</v>
      </c>
      <c r="W8" s="167">
        <f>SUM(R109:R116)</f>
        <v>0</v>
      </c>
      <c r="X8" s="167"/>
      <c r="Y8" s="167"/>
      <c r="Z8" s="167"/>
      <c r="AA8" s="167"/>
      <c r="AB8" s="167"/>
      <c r="AC8" s="167"/>
      <c r="AD8" s="167"/>
    </row>
    <row r="9" spans="2:37" x14ac:dyDescent="0.3">
      <c r="B9" s="202" t="s">
        <v>75</v>
      </c>
      <c r="C9" s="244"/>
      <c r="D9" s="212"/>
      <c r="E9" s="212"/>
      <c r="F9" s="212"/>
      <c r="G9" s="212"/>
      <c r="H9" s="245"/>
      <c r="I9" s="241">
        <f t="shared" si="0"/>
        <v>0</v>
      </c>
      <c r="K9" s="202" t="s">
        <v>75</v>
      </c>
      <c r="L9" s="244"/>
      <c r="M9" s="212"/>
      <c r="N9" s="212"/>
      <c r="O9" s="212"/>
      <c r="P9" s="212"/>
      <c r="Q9" s="245"/>
      <c r="R9" s="241">
        <f t="shared" si="1"/>
        <v>0</v>
      </c>
      <c r="U9" t="str">
        <f>B117</f>
        <v>PM (t)</v>
      </c>
      <c r="V9" s="167">
        <f>SUM(I118:I125)</f>
        <v>0</v>
      </c>
      <c r="W9" s="167">
        <f>SUM(R118:R125)</f>
        <v>0</v>
      </c>
      <c r="X9" s="167"/>
      <c r="Y9" s="167"/>
      <c r="Z9" s="167"/>
      <c r="AA9" s="167"/>
      <c r="AB9" s="167"/>
      <c r="AC9" s="167"/>
      <c r="AD9" s="167"/>
    </row>
    <row r="10" spans="2:37" x14ac:dyDescent="0.3">
      <c r="B10" s="76" t="s">
        <v>63</v>
      </c>
      <c r="C10" s="244"/>
      <c r="D10" s="212"/>
      <c r="E10" s="212"/>
      <c r="F10" s="212"/>
      <c r="G10" s="212"/>
      <c r="H10" s="245"/>
      <c r="I10" s="241">
        <f t="shared" si="0"/>
        <v>0</v>
      </c>
      <c r="K10" s="76" t="s">
        <v>63</v>
      </c>
      <c r="L10" s="244"/>
      <c r="M10" s="212"/>
      <c r="N10" s="212"/>
      <c r="O10" s="212"/>
      <c r="P10" s="212"/>
      <c r="Q10" s="245"/>
      <c r="R10" s="241">
        <f t="shared" si="1"/>
        <v>0</v>
      </c>
      <c r="U10" t="str">
        <f>B126</f>
        <v>NOX (t)</v>
      </c>
      <c r="V10" s="167">
        <f>SUM(I127:I134)</f>
        <v>0</v>
      </c>
      <c r="W10" s="167">
        <f>SUM(R127:R134)</f>
        <v>0</v>
      </c>
      <c r="X10" s="167"/>
      <c r="Y10" s="167"/>
      <c r="Z10" s="167"/>
      <c r="AA10" s="167"/>
      <c r="AB10" s="167"/>
      <c r="AC10" s="167"/>
      <c r="AD10" s="167"/>
    </row>
    <row r="11" spans="2:37" ht="15" customHeight="1" thickBot="1" x14ac:dyDescent="0.35">
      <c r="B11" s="76" t="s">
        <v>64</v>
      </c>
      <c r="C11" s="246"/>
      <c r="D11" s="146"/>
      <c r="E11" s="146"/>
      <c r="F11" s="146"/>
      <c r="G11" s="146"/>
      <c r="H11" s="247"/>
      <c r="I11" s="248">
        <f t="shared" si="0"/>
        <v>0</v>
      </c>
      <c r="K11" s="76" t="s">
        <v>64</v>
      </c>
      <c r="L11" s="246"/>
      <c r="M11" s="146"/>
      <c r="N11" s="146"/>
      <c r="O11" s="146"/>
      <c r="P11" s="146"/>
      <c r="Q11" s="247"/>
      <c r="R11" s="248">
        <f t="shared" si="1"/>
        <v>0</v>
      </c>
      <c r="U11" t="str">
        <f>B135</f>
        <v>HC (t)</v>
      </c>
      <c r="V11" s="167">
        <f>SUM(I136:I143)</f>
        <v>0</v>
      </c>
      <c r="W11" s="167">
        <f>SUM(R136:R143)</f>
        <v>0</v>
      </c>
      <c r="X11" s="167"/>
      <c r="Y11" s="167"/>
      <c r="Z11" s="167"/>
      <c r="AA11" s="167"/>
      <c r="AB11" s="167"/>
      <c r="AC11" s="167"/>
      <c r="AD11" s="167"/>
    </row>
    <row r="12" spans="2:37" s="166" customFormat="1" ht="15" customHeight="1" thickBot="1" x14ac:dyDescent="0.35">
      <c r="B12" s="27" t="s">
        <v>190</v>
      </c>
      <c r="C12" s="28" t="s">
        <v>145</v>
      </c>
      <c r="D12" s="44" t="s">
        <v>146</v>
      </c>
      <c r="E12" s="44" t="s">
        <v>147</v>
      </c>
      <c r="F12" s="44" t="s">
        <v>148</v>
      </c>
      <c r="G12" s="44" t="s">
        <v>149</v>
      </c>
      <c r="H12" s="75" t="s">
        <v>150</v>
      </c>
      <c r="I12" s="84" t="s">
        <v>86</v>
      </c>
      <c r="K12" s="27" t="s">
        <v>190</v>
      </c>
      <c r="L12" s="28" t="s">
        <v>145</v>
      </c>
      <c r="M12" s="44" t="s">
        <v>146</v>
      </c>
      <c r="N12" s="44" t="s">
        <v>147</v>
      </c>
      <c r="O12" s="44" t="s">
        <v>148</v>
      </c>
      <c r="P12" s="44" t="s">
        <v>149</v>
      </c>
      <c r="Q12" s="75" t="s">
        <v>150</v>
      </c>
      <c r="R12" s="84" t="s">
        <v>86</v>
      </c>
    </row>
    <row r="13" spans="2:37" s="166" customFormat="1" ht="15" customHeight="1" x14ac:dyDescent="0.3">
      <c r="B13" s="48" t="s">
        <v>118</v>
      </c>
      <c r="C13" s="238">
        <f>C4*300</f>
        <v>0</v>
      </c>
      <c r="D13" s="230">
        <f t="shared" ref="D13:H13" si="2">D4*300</f>
        <v>0</v>
      </c>
      <c r="E13" s="230">
        <f t="shared" si="2"/>
        <v>0</v>
      </c>
      <c r="F13" s="230">
        <f t="shared" si="2"/>
        <v>0</v>
      </c>
      <c r="G13" s="230">
        <f t="shared" si="2"/>
        <v>0</v>
      </c>
      <c r="H13" s="155">
        <f t="shared" si="2"/>
        <v>0</v>
      </c>
      <c r="I13" s="239">
        <f t="shared" ref="I13:I20" si="3">SUM(C13:H13)</f>
        <v>0</v>
      </c>
      <c r="J13" s="166" t="s">
        <v>174</v>
      </c>
      <c r="K13" s="48" t="s">
        <v>118</v>
      </c>
      <c r="L13" s="238">
        <f>L4*300</f>
        <v>0</v>
      </c>
      <c r="M13" s="230">
        <f t="shared" ref="M13:Q13" si="4">M4*300</f>
        <v>0</v>
      </c>
      <c r="N13" s="230">
        <f t="shared" si="4"/>
        <v>0</v>
      </c>
      <c r="O13" s="230">
        <f t="shared" si="4"/>
        <v>0</v>
      </c>
      <c r="P13" s="230">
        <f t="shared" si="4"/>
        <v>0</v>
      </c>
      <c r="Q13" s="155">
        <f t="shared" si="4"/>
        <v>0</v>
      </c>
      <c r="R13" s="239">
        <f>SUM(L13:Q13)</f>
        <v>0</v>
      </c>
      <c r="U13" s="168" t="s">
        <v>202</v>
      </c>
      <c r="V13" s="168">
        <v>2030</v>
      </c>
      <c r="W13" s="168">
        <v>2050</v>
      </c>
    </row>
    <row r="14" spans="2:37" s="166" customFormat="1" ht="15" customHeight="1" x14ac:dyDescent="0.3">
      <c r="B14" s="202" t="s">
        <v>120</v>
      </c>
      <c r="C14" s="240">
        <f t="shared" ref="C14:H20" si="5">C5*300</f>
        <v>0</v>
      </c>
      <c r="D14" s="232">
        <f t="shared" si="5"/>
        <v>0</v>
      </c>
      <c r="E14" s="232">
        <f t="shared" si="5"/>
        <v>0</v>
      </c>
      <c r="F14" s="232">
        <f t="shared" si="5"/>
        <v>0</v>
      </c>
      <c r="G14" s="232">
        <f t="shared" si="5"/>
        <v>0</v>
      </c>
      <c r="H14" s="156">
        <f t="shared" si="5"/>
        <v>0</v>
      </c>
      <c r="I14" s="241">
        <f t="shared" si="3"/>
        <v>0</v>
      </c>
      <c r="J14" s="166" t="s">
        <v>151</v>
      </c>
      <c r="K14" s="202" t="s">
        <v>120</v>
      </c>
      <c r="L14" s="240">
        <f t="shared" ref="L14:Q20" si="6">L5*300</f>
        <v>0</v>
      </c>
      <c r="M14" s="232">
        <f t="shared" si="6"/>
        <v>0</v>
      </c>
      <c r="N14" s="232">
        <f t="shared" si="6"/>
        <v>0</v>
      </c>
      <c r="O14" s="232">
        <f t="shared" si="6"/>
        <v>0</v>
      </c>
      <c r="P14" s="232">
        <f t="shared" si="6"/>
        <v>0</v>
      </c>
      <c r="Q14" s="156">
        <f t="shared" si="6"/>
        <v>0</v>
      </c>
      <c r="R14" s="241">
        <f t="shared" ref="R14:R20" si="7">SUM(L14:Q14)</f>
        <v>0</v>
      </c>
      <c r="U14" s="166" t="str">
        <f>C12</f>
        <v>Moottoritie</v>
      </c>
      <c r="V14" s="163">
        <f>SUM(C13:C20)</f>
        <v>0</v>
      </c>
      <c r="W14" s="163">
        <f>SUM(L13:L20)</f>
        <v>0</v>
      </c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</row>
    <row r="15" spans="2:37" s="166" customFormat="1" ht="15" customHeight="1" x14ac:dyDescent="0.3">
      <c r="B15" s="202" t="s">
        <v>121</v>
      </c>
      <c r="C15" s="240">
        <f t="shared" si="5"/>
        <v>0</v>
      </c>
      <c r="D15" s="232">
        <f t="shared" si="5"/>
        <v>0</v>
      </c>
      <c r="E15" s="232">
        <f t="shared" si="5"/>
        <v>0</v>
      </c>
      <c r="F15" s="232">
        <f t="shared" si="5"/>
        <v>0</v>
      </c>
      <c r="G15" s="232">
        <f t="shared" si="5"/>
        <v>0</v>
      </c>
      <c r="H15" s="156">
        <f t="shared" si="5"/>
        <v>0</v>
      </c>
      <c r="I15" s="241">
        <f t="shared" si="3"/>
        <v>0</v>
      </c>
      <c r="K15" s="202" t="s">
        <v>121</v>
      </c>
      <c r="L15" s="240">
        <f t="shared" si="6"/>
        <v>0</v>
      </c>
      <c r="M15" s="232">
        <f t="shared" si="6"/>
        <v>0</v>
      </c>
      <c r="N15" s="232">
        <f t="shared" si="6"/>
        <v>0</v>
      </c>
      <c r="O15" s="232">
        <f t="shared" si="6"/>
        <v>0</v>
      </c>
      <c r="P15" s="232">
        <f t="shared" si="6"/>
        <v>0</v>
      </c>
      <c r="Q15" s="156">
        <f t="shared" si="6"/>
        <v>0</v>
      </c>
      <c r="R15" s="241">
        <f t="shared" si="7"/>
        <v>0</v>
      </c>
      <c r="U15" s="166" t="str">
        <f>D12</f>
        <v>Muut pääväylät eritasoliittymin</v>
      </c>
      <c r="V15" s="163">
        <f>SUM(D13:D20)</f>
        <v>0</v>
      </c>
      <c r="W15" s="163">
        <f>SUM(M13:M20)</f>
        <v>0</v>
      </c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</row>
    <row r="16" spans="2:37" s="166" customFormat="1" ht="15" customHeight="1" x14ac:dyDescent="0.3">
      <c r="B16" s="202" t="s">
        <v>122</v>
      </c>
      <c r="C16" s="240">
        <f t="shared" si="5"/>
        <v>0</v>
      </c>
      <c r="D16" s="232">
        <f t="shared" si="5"/>
        <v>0</v>
      </c>
      <c r="E16" s="232">
        <f t="shared" si="5"/>
        <v>0</v>
      </c>
      <c r="F16" s="232">
        <f t="shared" si="5"/>
        <v>0</v>
      </c>
      <c r="G16" s="232">
        <f t="shared" si="5"/>
        <v>0</v>
      </c>
      <c r="H16" s="156">
        <f t="shared" si="5"/>
        <v>0</v>
      </c>
      <c r="I16" s="241">
        <f t="shared" si="3"/>
        <v>0</v>
      </c>
      <c r="K16" s="202" t="s">
        <v>122</v>
      </c>
      <c r="L16" s="240">
        <f t="shared" si="6"/>
        <v>0</v>
      </c>
      <c r="M16" s="232">
        <f t="shared" si="6"/>
        <v>0</v>
      </c>
      <c r="N16" s="232">
        <f t="shared" si="6"/>
        <v>0</v>
      </c>
      <c r="O16" s="232">
        <f t="shared" si="6"/>
        <v>0</v>
      </c>
      <c r="P16" s="232">
        <f t="shared" si="6"/>
        <v>0</v>
      </c>
      <c r="Q16" s="156">
        <f t="shared" si="6"/>
        <v>0</v>
      </c>
      <c r="R16" s="241">
        <f t="shared" si="7"/>
        <v>0</v>
      </c>
      <c r="U16" s="166" t="str">
        <f>E12</f>
        <v>Useampikaistaiset pääkadut</v>
      </c>
      <c r="V16" s="163">
        <f>SUM(E13:E20)</f>
        <v>0</v>
      </c>
      <c r="W16" s="163">
        <f>SUM(N13:N20)</f>
        <v>0</v>
      </c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</row>
    <row r="17" spans="2:37" s="166" customFormat="1" ht="15" customHeight="1" x14ac:dyDescent="0.3">
      <c r="B17" s="202" t="s">
        <v>87</v>
      </c>
      <c r="C17" s="240">
        <f>C8*300</f>
        <v>0</v>
      </c>
      <c r="D17" s="232">
        <f t="shared" si="5"/>
        <v>0</v>
      </c>
      <c r="E17" s="232">
        <f t="shared" si="5"/>
        <v>0</v>
      </c>
      <c r="F17" s="232">
        <f t="shared" si="5"/>
        <v>0</v>
      </c>
      <c r="G17" s="232">
        <f t="shared" si="5"/>
        <v>0</v>
      </c>
      <c r="H17" s="156">
        <f t="shared" si="5"/>
        <v>0</v>
      </c>
      <c r="I17" s="241">
        <f t="shared" si="3"/>
        <v>0</v>
      </c>
      <c r="K17" s="202" t="s">
        <v>87</v>
      </c>
      <c r="L17" s="240">
        <f>L8*300</f>
        <v>0</v>
      </c>
      <c r="M17" s="232">
        <f t="shared" si="6"/>
        <v>0</v>
      </c>
      <c r="N17" s="232">
        <f t="shared" si="6"/>
        <v>0</v>
      </c>
      <c r="O17" s="232">
        <f t="shared" si="6"/>
        <v>0</v>
      </c>
      <c r="P17" s="232">
        <f t="shared" si="6"/>
        <v>0</v>
      </c>
      <c r="Q17" s="156">
        <f t="shared" si="6"/>
        <v>0</v>
      </c>
      <c r="R17" s="241">
        <f t="shared" si="7"/>
        <v>0</v>
      </c>
      <c r="U17" s="166" t="str">
        <f>F12</f>
        <v>Muut pääkadut</v>
      </c>
      <c r="V17" s="163">
        <f>SUM(F13:F20)</f>
        <v>0</v>
      </c>
      <c r="W17" s="163">
        <f>SUM(O13:O20)</f>
        <v>0</v>
      </c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</row>
    <row r="18" spans="2:37" s="166" customFormat="1" ht="15" customHeight="1" x14ac:dyDescent="0.3">
      <c r="B18" s="202" t="s">
        <v>75</v>
      </c>
      <c r="C18" s="259">
        <f t="shared" si="5"/>
        <v>0</v>
      </c>
      <c r="D18" s="260">
        <f t="shared" si="5"/>
        <v>0</v>
      </c>
      <c r="E18" s="260">
        <f t="shared" si="5"/>
        <v>0</v>
      </c>
      <c r="F18" s="260">
        <f t="shared" si="5"/>
        <v>0</v>
      </c>
      <c r="G18" s="260">
        <f t="shared" si="5"/>
        <v>0</v>
      </c>
      <c r="H18" s="261">
        <f t="shared" si="5"/>
        <v>0</v>
      </c>
      <c r="I18" s="241">
        <f t="shared" si="3"/>
        <v>0</v>
      </c>
      <c r="K18" s="202" t="s">
        <v>75</v>
      </c>
      <c r="L18" s="259">
        <f t="shared" si="6"/>
        <v>0</v>
      </c>
      <c r="M18" s="260">
        <f t="shared" si="6"/>
        <v>0</v>
      </c>
      <c r="N18" s="260">
        <f t="shared" si="6"/>
        <v>0</v>
      </c>
      <c r="O18" s="260">
        <f t="shared" si="6"/>
        <v>0</v>
      </c>
      <c r="P18" s="260">
        <f t="shared" si="6"/>
        <v>0</v>
      </c>
      <c r="Q18" s="261">
        <f t="shared" si="6"/>
        <v>0</v>
      </c>
      <c r="R18" s="241">
        <f t="shared" si="7"/>
        <v>0</v>
      </c>
      <c r="U18" s="166" t="str">
        <f>G12</f>
        <v>Kokooja- ja tonttikadut</v>
      </c>
      <c r="V18" s="163">
        <f>SUM(G13:G20)</f>
        <v>0</v>
      </c>
      <c r="W18" s="163">
        <f>SUM(P13:P20)</f>
        <v>0</v>
      </c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</row>
    <row r="19" spans="2:37" s="166" customFormat="1" ht="15" customHeight="1" x14ac:dyDescent="0.3">
      <c r="B19" s="76" t="s">
        <v>63</v>
      </c>
      <c r="C19" s="259">
        <f t="shared" si="5"/>
        <v>0</v>
      </c>
      <c r="D19" s="260">
        <f t="shared" si="5"/>
        <v>0</v>
      </c>
      <c r="E19" s="260">
        <f t="shared" si="5"/>
        <v>0</v>
      </c>
      <c r="F19" s="260">
        <f t="shared" si="5"/>
        <v>0</v>
      </c>
      <c r="G19" s="260">
        <f t="shared" si="5"/>
        <v>0</v>
      </c>
      <c r="H19" s="261">
        <f t="shared" si="5"/>
        <v>0</v>
      </c>
      <c r="I19" s="241">
        <f t="shared" si="3"/>
        <v>0</v>
      </c>
      <c r="K19" s="76" t="s">
        <v>63</v>
      </c>
      <c r="L19" s="259">
        <f t="shared" si="6"/>
        <v>0</v>
      </c>
      <c r="M19" s="260">
        <f t="shared" si="6"/>
        <v>0</v>
      </c>
      <c r="N19" s="260">
        <f t="shared" si="6"/>
        <v>0</v>
      </c>
      <c r="O19" s="260">
        <f t="shared" si="6"/>
        <v>0</v>
      </c>
      <c r="P19" s="260">
        <f t="shared" si="6"/>
        <v>0</v>
      </c>
      <c r="Q19" s="261">
        <f t="shared" si="6"/>
        <v>0</v>
      </c>
      <c r="R19" s="241">
        <f t="shared" si="7"/>
        <v>0</v>
      </c>
      <c r="U19" s="166" t="str">
        <f>H12</f>
        <v>Muut väylät ja syötöt</v>
      </c>
      <c r="V19" s="163">
        <f>SUM(H13:H20)</f>
        <v>0</v>
      </c>
      <c r="W19" s="163">
        <f>SUM(Q13:Q20)</f>
        <v>0</v>
      </c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</row>
    <row r="20" spans="2:37" s="166" customFormat="1" ht="15" customHeight="1" thickBot="1" x14ac:dyDescent="0.35">
      <c r="B20" s="49" t="s">
        <v>64</v>
      </c>
      <c r="C20" s="262">
        <f t="shared" si="5"/>
        <v>0</v>
      </c>
      <c r="D20" s="263">
        <f t="shared" si="5"/>
        <v>0</v>
      </c>
      <c r="E20" s="263">
        <f t="shared" si="5"/>
        <v>0</v>
      </c>
      <c r="F20" s="263">
        <f t="shared" si="5"/>
        <v>0</v>
      </c>
      <c r="G20" s="263">
        <f t="shared" si="5"/>
        <v>0</v>
      </c>
      <c r="H20" s="264">
        <f t="shared" si="5"/>
        <v>0</v>
      </c>
      <c r="I20" s="248">
        <f t="shared" si="3"/>
        <v>0</v>
      </c>
      <c r="K20" s="49" t="s">
        <v>64</v>
      </c>
      <c r="L20" s="262">
        <f t="shared" si="6"/>
        <v>0</v>
      </c>
      <c r="M20" s="263">
        <f t="shared" si="6"/>
        <v>0</v>
      </c>
      <c r="N20" s="263">
        <f t="shared" si="6"/>
        <v>0</v>
      </c>
      <c r="O20" s="263">
        <f t="shared" si="6"/>
        <v>0</v>
      </c>
      <c r="P20" s="263">
        <f t="shared" si="6"/>
        <v>0</v>
      </c>
      <c r="Q20" s="264">
        <f t="shared" si="6"/>
        <v>0</v>
      </c>
      <c r="R20" s="248">
        <f t="shared" si="7"/>
        <v>0</v>
      </c>
    </row>
    <row r="21" spans="2:37" s="166" customFormat="1" ht="15" customHeight="1" x14ac:dyDescent="0.3"/>
    <row r="22" spans="2:37" s="166" customFormat="1" ht="15" customHeight="1" x14ac:dyDescent="0.3">
      <c r="B22" s="236" t="s">
        <v>191</v>
      </c>
      <c r="C22" s="236" t="s">
        <v>145</v>
      </c>
      <c r="D22" s="236" t="s">
        <v>146</v>
      </c>
      <c r="E22" s="236" t="s">
        <v>147</v>
      </c>
      <c r="F22" s="236" t="s">
        <v>148</v>
      </c>
      <c r="G22" s="236" t="s">
        <v>149</v>
      </c>
      <c r="H22" s="236" t="s">
        <v>150</v>
      </c>
      <c r="K22" s="236" t="s">
        <v>191</v>
      </c>
      <c r="L22" s="236" t="s">
        <v>145</v>
      </c>
      <c r="M22" s="236" t="s">
        <v>146</v>
      </c>
      <c r="N22" s="236" t="s">
        <v>147</v>
      </c>
      <c r="O22" s="236" t="s">
        <v>148</v>
      </c>
      <c r="P22" s="236" t="s">
        <v>149</v>
      </c>
      <c r="Q22" s="236" t="s">
        <v>150</v>
      </c>
    </row>
    <row r="23" spans="2:37" s="166" customFormat="1" ht="15" customHeight="1" x14ac:dyDescent="0.3">
      <c r="B23" s="234" t="s">
        <v>192</v>
      </c>
      <c r="C23" s="253">
        <v>7.0000000000000007E-2</v>
      </c>
      <c r="D23" s="253">
        <v>0.1</v>
      </c>
      <c r="E23" s="253">
        <v>0.3</v>
      </c>
      <c r="F23" s="253">
        <v>0.4</v>
      </c>
      <c r="G23" s="253">
        <v>0.5</v>
      </c>
      <c r="H23" s="253">
        <v>0.3</v>
      </c>
      <c r="I23" t="s">
        <v>143</v>
      </c>
      <c r="K23" s="234" t="s">
        <v>192</v>
      </c>
      <c r="L23" s="253">
        <v>7.0000000000000007E-2</v>
      </c>
      <c r="M23" s="253">
        <v>0.1</v>
      </c>
      <c r="N23" s="253">
        <v>0.3</v>
      </c>
      <c r="O23" s="253">
        <v>0.4</v>
      </c>
      <c r="P23" s="253">
        <v>0.5</v>
      </c>
      <c r="Q23" s="253">
        <v>0.3</v>
      </c>
      <c r="R23" s="166" t="s">
        <v>143</v>
      </c>
    </row>
    <row r="24" spans="2:37" s="166" customFormat="1" ht="15" customHeight="1" x14ac:dyDescent="0.3"/>
    <row r="25" spans="2:37" s="166" customFormat="1" ht="15" customHeight="1" x14ac:dyDescent="0.3">
      <c r="B25" s="236" t="s">
        <v>191</v>
      </c>
      <c r="C25" s="236" t="s">
        <v>145</v>
      </c>
      <c r="D25" s="236" t="s">
        <v>146</v>
      </c>
      <c r="E25" s="236" t="s">
        <v>147</v>
      </c>
      <c r="F25" s="236" t="s">
        <v>148</v>
      </c>
      <c r="G25" s="236" t="s">
        <v>149</v>
      </c>
      <c r="H25" s="236" t="s">
        <v>150</v>
      </c>
      <c r="K25" s="236" t="s">
        <v>191</v>
      </c>
      <c r="L25" s="236" t="s">
        <v>145</v>
      </c>
      <c r="M25" s="236" t="s">
        <v>146</v>
      </c>
      <c r="N25" s="236" t="s">
        <v>147</v>
      </c>
      <c r="O25" s="236" t="s">
        <v>148</v>
      </c>
      <c r="P25" s="236" t="s">
        <v>149</v>
      </c>
      <c r="Q25" s="236" t="s">
        <v>150</v>
      </c>
    </row>
    <row r="26" spans="2:37" s="166" customFormat="1" ht="15" customHeight="1" x14ac:dyDescent="0.3">
      <c r="B26" s="234" t="s">
        <v>192</v>
      </c>
      <c r="C26" s="233">
        <v>410600</v>
      </c>
      <c r="D26" s="233">
        <v>410600</v>
      </c>
      <c r="E26" s="233">
        <v>410600</v>
      </c>
      <c r="F26" s="233">
        <v>410600</v>
      </c>
      <c r="G26" s="233">
        <v>410600</v>
      </c>
      <c r="H26" s="233">
        <v>410600</v>
      </c>
      <c r="K26" s="234" t="s">
        <v>192</v>
      </c>
      <c r="L26" s="233">
        <v>410600</v>
      </c>
      <c r="M26" s="233">
        <v>410600</v>
      </c>
      <c r="N26" s="233">
        <v>410600</v>
      </c>
      <c r="O26" s="233">
        <v>410600</v>
      </c>
      <c r="P26" s="233">
        <v>410600</v>
      </c>
      <c r="Q26" s="233">
        <v>410600</v>
      </c>
    </row>
    <row r="27" spans="2:37" s="166" customFormat="1" ht="15" customHeight="1" x14ac:dyDescent="0.3">
      <c r="B27" s="254"/>
      <c r="C27" s="256"/>
      <c r="D27" s="256"/>
      <c r="E27" s="256"/>
      <c r="F27" s="256"/>
      <c r="G27" s="256"/>
      <c r="H27" s="256"/>
      <c r="K27" s="254"/>
      <c r="L27" s="256"/>
      <c r="M27" s="256"/>
      <c r="N27" s="256"/>
      <c r="O27" s="256"/>
      <c r="P27" s="256"/>
      <c r="Q27" s="256"/>
    </row>
    <row r="28" spans="2:37" s="166" customFormat="1" ht="15" customHeight="1" x14ac:dyDescent="0.3">
      <c r="B28" s="249" t="s">
        <v>193</v>
      </c>
      <c r="C28" s="249" t="s">
        <v>145</v>
      </c>
      <c r="D28" s="249" t="s">
        <v>146</v>
      </c>
      <c r="E28" s="249" t="s">
        <v>147</v>
      </c>
      <c r="F28" s="249" t="s">
        <v>148</v>
      </c>
      <c r="G28" s="249" t="s">
        <v>149</v>
      </c>
      <c r="H28" s="249" t="s">
        <v>150</v>
      </c>
      <c r="I28" s="249" t="s">
        <v>86</v>
      </c>
      <c r="K28" s="249" t="s">
        <v>193</v>
      </c>
      <c r="L28" s="249" t="s">
        <v>145</v>
      </c>
      <c r="M28" s="249" t="s">
        <v>146</v>
      </c>
      <c r="N28" s="249" t="s">
        <v>147</v>
      </c>
      <c r="O28" s="249" t="s">
        <v>148</v>
      </c>
      <c r="P28" s="249" t="s">
        <v>149</v>
      </c>
      <c r="Q28" s="249" t="s">
        <v>150</v>
      </c>
      <c r="R28" s="249" t="s">
        <v>86</v>
      </c>
    </row>
    <row r="29" spans="2:37" s="166" customFormat="1" ht="15" customHeight="1" x14ac:dyDescent="0.3">
      <c r="B29" s="250" t="s">
        <v>192</v>
      </c>
      <c r="C29" s="255">
        <f t="shared" ref="C29:H29" si="8">SUM(C13:C20)*C23/1000000</f>
        <v>0</v>
      </c>
      <c r="D29" s="255">
        <f t="shared" si="8"/>
        <v>0</v>
      </c>
      <c r="E29" s="255">
        <f t="shared" si="8"/>
        <v>0</v>
      </c>
      <c r="F29" s="255">
        <f t="shared" si="8"/>
        <v>0</v>
      </c>
      <c r="G29" s="255">
        <f t="shared" si="8"/>
        <v>0</v>
      </c>
      <c r="H29" s="255">
        <f t="shared" si="8"/>
        <v>0</v>
      </c>
      <c r="I29" s="255">
        <f>SUM(C29:H29)</f>
        <v>0</v>
      </c>
      <c r="K29" s="250" t="s">
        <v>192</v>
      </c>
      <c r="L29" s="255">
        <f t="shared" ref="L29:Q29" si="9">SUM(L13:L20)*L23/1000000</f>
        <v>0</v>
      </c>
      <c r="M29" s="255">
        <f t="shared" si="9"/>
        <v>0</v>
      </c>
      <c r="N29" s="255">
        <f t="shared" si="9"/>
        <v>0</v>
      </c>
      <c r="O29" s="255">
        <f t="shared" si="9"/>
        <v>0</v>
      </c>
      <c r="P29" s="255">
        <f t="shared" si="9"/>
        <v>0</v>
      </c>
      <c r="Q29" s="255">
        <f t="shared" si="9"/>
        <v>0</v>
      </c>
      <c r="R29" s="255">
        <f>SUM(L29:Q29)</f>
        <v>0</v>
      </c>
    </row>
    <row r="30" spans="2:37" s="166" customFormat="1" ht="15" customHeight="1" x14ac:dyDescent="0.3"/>
    <row r="31" spans="2:37" s="166" customFormat="1" ht="15" customHeight="1" x14ac:dyDescent="0.3">
      <c r="B31" s="249" t="s">
        <v>194</v>
      </c>
      <c r="C31" s="249" t="s">
        <v>145</v>
      </c>
      <c r="D31" s="249" t="s">
        <v>146</v>
      </c>
      <c r="E31" s="249" t="s">
        <v>147</v>
      </c>
      <c r="F31" s="249" t="s">
        <v>148</v>
      </c>
      <c r="G31" s="249" t="s">
        <v>149</v>
      </c>
      <c r="H31" s="249" t="s">
        <v>150</v>
      </c>
      <c r="I31" s="249" t="s">
        <v>86</v>
      </c>
      <c r="K31" s="249" t="s">
        <v>194</v>
      </c>
      <c r="L31" s="249" t="s">
        <v>145</v>
      </c>
      <c r="M31" s="249" t="s">
        <v>146</v>
      </c>
      <c r="N31" s="249" t="s">
        <v>147</v>
      </c>
      <c r="O31" s="249" t="s">
        <v>148</v>
      </c>
      <c r="P31" s="249" t="s">
        <v>149</v>
      </c>
      <c r="Q31" s="249" t="s">
        <v>150</v>
      </c>
      <c r="R31" s="249" t="s">
        <v>86</v>
      </c>
    </row>
    <row r="32" spans="2:37" s="166" customFormat="1" ht="15" customHeight="1" x14ac:dyDescent="0.3">
      <c r="B32" s="250" t="s">
        <v>192</v>
      </c>
      <c r="C32" s="251">
        <f t="shared" ref="C32:H32" si="10">C29*C26</f>
        <v>0</v>
      </c>
      <c r="D32" s="251">
        <f t="shared" si="10"/>
        <v>0</v>
      </c>
      <c r="E32" s="251">
        <f t="shared" si="10"/>
        <v>0</v>
      </c>
      <c r="F32" s="251">
        <f t="shared" si="10"/>
        <v>0</v>
      </c>
      <c r="G32" s="251">
        <f t="shared" si="10"/>
        <v>0</v>
      </c>
      <c r="H32" s="251">
        <f t="shared" si="10"/>
        <v>0</v>
      </c>
      <c r="I32" s="251">
        <f>SUM(C32:H32)</f>
        <v>0</v>
      </c>
      <c r="K32" s="250" t="s">
        <v>192</v>
      </c>
      <c r="L32" s="251">
        <f t="shared" ref="L32:Q32" si="11">L29*L26</f>
        <v>0</v>
      </c>
      <c r="M32" s="251">
        <f t="shared" si="11"/>
        <v>0</v>
      </c>
      <c r="N32" s="251">
        <f t="shared" si="11"/>
        <v>0</v>
      </c>
      <c r="O32" s="251">
        <f t="shared" si="11"/>
        <v>0</v>
      </c>
      <c r="P32" s="251">
        <f t="shared" si="11"/>
        <v>0</v>
      </c>
      <c r="Q32" s="251">
        <f t="shared" si="11"/>
        <v>0</v>
      </c>
      <c r="R32" s="251">
        <f>SUM(L32:Q32)</f>
        <v>0</v>
      </c>
    </row>
    <row r="33" spans="2:18" s="166" customFormat="1" ht="15" customHeight="1" x14ac:dyDescent="0.3"/>
    <row r="34" spans="2:18" s="166" customFormat="1" ht="15" customHeight="1" x14ac:dyDescent="0.3">
      <c r="B34" s="236" t="s">
        <v>175</v>
      </c>
      <c r="C34" s="236" t="s">
        <v>145</v>
      </c>
      <c r="D34" s="236" t="s">
        <v>146</v>
      </c>
      <c r="E34" s="236" t="s">
        <v>147</v>
      </c>
      <c r="F34" s="236" t="s">
        <v>148</v>
      </c>
      <c r="G34" s="236" t="s">
        <v>149</v>
      </c>
      <c r="H34" s="236" t="s">
        <v>150</v>
      </c>
      <c r="K34" s="236" t="s">
        <v>175</v>
      </c>
      <c r="L34" s="236" t="s">
        <v>145</v>
      </c>
      <c r="M34" s="236" t="s">
        <v>146</v>
      </c>
      <c r="N34" s="236" t="s">
        <v>147</v>
      </c>
      <c r="O34" s="236" t="s">
        <v>148</v>
      </c>
      <c r="P34" s="236" t="s">
        <v>149</v>
      </c>
      <c r="Q34" s="236" t="s">
        <v>150</v>
      </c>
    </row>
    <row r="35" spans="2:18" ht="15" customHeight="1" x14ac:dyDescent="0.3">
      <c r="B35" s="234" t="s">
        <v>118</v>
      </c>
      <c r="C35" s="233">
        <v>729</v>
      </c>
      <c r="D35" s="233">
        <v>729</v>
      </c>
      <c r="E35" s="233">
        <v>1202</v>
      </c>
      <c r="F35" s="233">
        <v>1202</v>
      </c>
      <c r="G35" s="233">
        <v>1202</v>
      </c>
      <c r="H35" s="233">
        <v>1202</v>
      </c>
      <c r="K35" s="234" t="s">
        <v>118</v>
      </c>
      <c r="L35" s="233">
        <v>729</v>
      </c>
      <c r="M35" s="233">
        <v>729</v>
      </c>
      <c r="N35" s="233">
        <v>1202</v>
      </c>
      <c r="O35" s="233">
        <v>1202</v>
      </c>
      <c r="P35" s="233">
        <v>1202</v>
      </c>
      <c r="Q35" s="233">
        <v>1202</v>
      </c>
      <c r="R35" s="166"/>
    </row>
    <row r="36" spans="2:18" ht="15" customHeight="1" x14ac:dyDescent="0.3">
      <c r="B36" s="234" t="s">
        <v>120</v>
      </c>
      <c r="C36" s="234">
        <v>0</v>
      </c>
      <c r="D36" s="234">
        <v>0</v>
      </c>
      <c r="E36" s="234">
        <v>0</v>
      </c>
      <c r="F36" s="234">
        <v>0</v>
      </c>
      <c r="G36" s="234">
        <v>0</v>
      </c>
      <c r="H36" s="234">
        <v>0</v>
      </c>
      <c r="K36" s="234" t="s">
        <v>120</v>
      </c>
      <c r="L36" s="234">
        <v>0</v>
      </c>
      <c r="M36" s="234">
        <v>0</v>
      </c>
      <c r="N36" s="234">
        <v>0</v>
      </c>
      <c r="O36" s="234">
        <v>0</v>
      </c>
      <c r="P36" s="234">
        <v>0</v>
      </c>
      <c r="Q36" s="234">
        <v>0</v>
      </c>
      <c r="R36" s="166"/>
    </row>
    <row r="37" spans="2:18" x14ac:dyDescent="0.3">
      <c r="B37" s="234" t="s">
        <v>121</v>
      </c>
      <c r="C37" s="234">
        <v>0</v>
      </c>
      <c r="D37" s="234">
        <v>0</v>
      </c>
      <c r="E37" s="234">
        <v>0</v>
      </c>
      <c r="F37" s="234">
        <v>0</v>
      </c>
      <c r="G37" s="234">
        <v>0</v>
      </c>
      <c r="H37" s="234">
        <v>0</v>
      </c>
      <c r="K37" s="234" t="s">
        <v>121</v>
      </c>
      <c r="L37" s="234">
        <v>0</v>
      </c>
      <c r="M37" s="234">
        <v>0</v>
      </c>
      <c r="N37" s="234">
        <v>0</v>
      </c>
      <c r="O37" s="234">
        <v>0</v>
      </c>
      <c r="P37" s="234">
        <v>0</v>
      </c>
      <c r="Q37" s="234">
        <v>0</v>
      </c>
      <c r="R37" s="166"/>
    </row>
    <row r="38" spans="2:18" ht="15" customHeight="1" x14ac:dyDescent="0.3">
      <c r="B38" s="234" t="s">
        <v>122</v>
      </c>
      <c r="C38" s="234">
        <v>0</v>
      </c>
      <c r="D38" s="234">
        <v>0</v>
      </c>
      <c r="E38" s="234">
        <v>0</v>
      </c>
      <c r="F38" s="234">
        <v>0</v>
      </c>
      <c r="G38" s="234">
        <v>0</v>
      </c>
      <c r="H38" s="234">
        <v>0</v>
      </c>
      <c r="K38" s="234" t="s">
        <v>122</v>
      </c>
      <c r="L38" s="234">
        <v>0</v>
      </c>
      <c r="M38" s="234">
        <v>0</v>
      </c>
      <c r="N38" s="234">
        <v>0</v>
      </c>
      <c r="O38" s="234">
        <v>0</v>
      </c>
      <c r="P38" s="234">
        <v>0</v>
      </c>
      <c r="Q38" s="234">
        <v>0</v>
      </c>
      <c r="R38" s="166"/>
    </row>
    <row r="39" spans="2:18" ht="15" customHeight="1" x14ac:dyDescent="0.3">
      <c r="B39" s="234" t="s">
        <v>87</v>
      </c>
      <c r="C39" s="233">
        <v>132</v>
      </c>
      <c r="D39" s="233">
        <v>132</v>
      </c>
      <c r="E39" s="233">
        <v>202</v>
      </c>
      <c r="F39" s="233">
        <v>202</v>
      </c>
      <c r="G39" s="233">
        <v>202</v>
      </c>
      <c r="H39" s="233">
        <v>202</v>
      </c>
      <c r="K39" s="234" t="s">
        <v>87</v>
      </c>
      <c r="L39" s="233">
        <v>132</v>
      </c>
      <c r="M39" s="233">
        <v>132</v>
      </c>
      <c r="N39" s="233">
        <v>202</v>
      </c>
      <c r="O39" s="233">
        <v>202</v>
      </c>
      <c r="P39" s="233">
        <v>202</v>
      </c>
      <c r="Q39" s="233">
        <v>202</v>
      </c>
      <c r="R39" s="166"/>
    </row>
    <row r="40" spans="2:18" x14ac:dyDescent="0.3">
      <c r="B40" s="234" t="s">
        <v>75</v>
      </c>
      <c r="C40" s="233">
        <v>207</v>
      </c>
      <c r="D40" s="233">
        <v>207</v>
      </c>
      <c r="E40" s="233">
        <v>276</v>
      </c>
      <c r="F40" s="233">
        <v>276</v>
      </c>
      <c r="G40" s="233">
        <v>276</v>
      </c>
      <c r="H40" s="233">
        <v>276</v>
      </c>
      <c r="K40" s="234" t="s">
        <v>75</v>
      </c>
      <c r="L40" s="233">
        <v>207</v>
      </c>
      <c r="M40" s="233">
        <v>207</v>
      </c>
      <c r="N40" s="233">
        <v>276</v>
      </c>
      <c r="O40" s="233">
        <v>276</v>
      </c>
      <c r="P40" s="233">
        <v>276</v>
      </c>
      <c r="Q40" s="233">
        <v>276</v>
      </c>
      <c r="R40" s="166"/>
    </row>
    <row r="41" spans="2:18" x14ac:dyDescent="0.3">
      <c r="B41" s="234" t="s">
        <v>63</v>
      </c>
      <c r="C41" s="233">
        <v>437</v>
      </c>
      <c r="D41" s="233">
        <v>437</v>
      </c>
      <c r="E41" s="233">
        <v>376</v>
      </c>
      <c r="F41" s="233">
        <v>376</v>
      </c>
      <c r="G41" s="233">
        <v>376</v>
      </c>
      <c r="H41" s="233">
        <v>376</v>
      </c>
      <c r="K41" s="234" t="s">
        <v>63</v>
      </c>
      <c r="L41" s="233">
        <v>437</v>
      </c>
      <c r="M41" s="233">
        <v>437</v>
      </c>
      <c r="N41" s="233">
        <v>376</v>
      </c>
      <c r="O41" s="233">
        <v>376</v>
      </c>
      <c r="P41" s="233">
        <v>376</v>
      </c>
      <c r="Q41" s="233">
        <v>376</v>
      </c>
      <c r="R41" s="166"/>
    </row>
    <row r="42" spans="2:18" x14ac:dyDescent="0.3">
      <c r="B42" s="234" t="s">
        <v>64</v>
      </c>
      <c r="C42" s="233">
        <v>1197</v>
      </c>
      <c r="D42" s="233">
        <v>1197</v>
      </c>
      <c r="E42" s="233">
        <v>1652</v>
      </c>
      <c r="F42" s="233">
        <v>1652</v>
      </c>
      <c r="G42" s="233">
        <v>1652</v>
      </c>
      <c r="H42" s="233">
        <v>1652</v>
      </c>
      <c r="K42" s="234" t="s">
        <v>64</v>
      </c>
      <c r="L42" s="233">
        <v>1197</v>
      </c>
      <c r="M42" s="233">
        <v>1197</v>
      </c>
      <c r="N42" s="233">
        <v>1652</v>
      </c>
      <c r="O42" s="233">
        <v>1652</v>
      </c>
      <c r="P42" s="233">
        <v>1652</v>
      </c>
      <c r="Q42" s="233">
        <v>1652</v>
      </c>
      <c r="R42" s="166"/>
    </row>
    <row r="43" spans="2:18" x14ac:dyDescent="0.3">
      <c r="B43" s="236" t="s">
        <v>176</v>
      </c>
      <c r="C43" s="236" t="s">
        <v>145</v>
      </c>
      <c r="D43" s="236" t="s">
        <v>146</v>
      </c>
      <c r="E43" s="236" t="s">
        <v>147</v>
      </c>
      <c r="F43" s="236" t="s">
        <v>148</v>
      </c>
      <c r="G43" s="236" t="s">
        <v>149</v>
      </c>
      <c r="H43" s="236" t="s">
        <v>150</v>
      </c>
      <c r="K43" s="236" t="s">
        <v>176</v>
      </c>
      <c r="L43" s="236" t="s">
        <v>145</v>
      </c>
      <c r="M43" s="236" t="s">
        <v>146</v>
      </c>
      <c r="N43" s="236" t="s">
        <v>147</v>
      </c>
      <c r="O43" s="236" t="s">
        <v>148</v>
      </c>
      <c r="P43" s="236" t="s">
        <v>149</v>
      </c>
      <c r="Q43" s="236" t="s">
        <v>150</v>
      </c>
      <c r="R43" s="166"/>
    </row>
    <row r="44" spans="2:18" x14ac:dyDescent="0.3">
      <c r="B44" s="234" t="s">
        <v>118</v>
      </c>
      <c r="C44" s="235">
        <v>6.4000000000000001E-2</v>
      </c>
      <c r="D44" s="235">
        <v>6.4000000000000001E-2</v>
      </c>
      <c r="E44" s="235">
        <v>0.08</v>
      </c>
      <c r="F44" s="235">
        <v>0.08</v>
      </c>
      <c r="G44" s="235">
        <v>0.08</v>
      </c>
      <c r="H44" s="235">
        <v>0.08</v>
      </c>
      <c r="K44" s="234" t="s">
        <v>118</v>
      </c>
      <c r="L44" s="235">
        <v>6.4000000000000001E-2</v>
      </c>
      <c r="M44" s="235">
        <v>6.4000000000000001E-2</v>
      </c>
      <c r="N44" s="235">
        <v>0.08</v>
      </c>
      <c r="O44" s="235">
        <v>0.08</v>
      </c>
      <c r="P44" s="235">
        <v>0.08</v>
      </c>
      <c r="Q44" s="235">
        <v>0.08</v>
      </c>
      <c r="R44" s="166"/>
    </row>
    <row r="45" spans="2:18" x14ac:dyDescent="0.3">
      <c r="B45" s="234" t="s">
        <v>120</v>
      </c>
      <c r="C45" s="234">
        <v>0</v>
      </c>
      <c r="D45" s="234">
        <v>0</v>
      </c>
      <c r="E45" s="234">
        <v>0</v>
      </c>
      <c r="F45" s="234">
        <v>0</v>
      </c>
      <c r="G45" s="234">
        <v>0</v>
      </c>
      <c r="H45" s="234">
        <v>0</v>
      </c>
      <c r="K45" s="234" t="s">
        <v>120</v>
      </c>
      <c r="L45" s="234">
        <v>0</v>
      </c>
      <c r="M45" s="234">
        <v>0</v>
      </c>
      <c r="N45" s="234">
        <v>0</v>
      </c>
      <c r="O45" s="234">
        <v>0</v>
      </c>
      <c r="P45" s="234">
        <v>0</v>
      </c>
      <c r="Q45" s="234">
        <v>0</v>
      </c>
      <c r="R45" s="166"/>
    </row>
    <row r="46" spans="2:18" x14ac:dyDescent="0.3">
      <c r="B46" s="234" t="s">
        <v>121</v>
      </c>
      <c r="C46" s="234">
        <v>0</v>
      </c>
      <c r="D46" s="234">
        <v>0</v>
      </c>
      <c r="E46" s="234">
        <v>0</v>
      </c>
      <c r="F46" s="234">
        <v>0</v>
      </c>
      <c r="G46" s="234">
        <v>0</v>
      </c>
      <c r="H46" s="234">
        <v>0</v>
      </c>
      <c r="K46" s="234" t="s">
        <v>121</v>
      </c>
      <c r="L46" s="234">
        <v>0</v>
      </c>
      <c r="M46" s="234">
        <v>0</v>
      </c>
      <c r="N46" s="234">
        <v>0</v>
      </c>
      <c r="O46" s="234">
        <v>0</v>
      </c>
      <c r="P46" s="234">
        <v>0</v>
      </c>
      <c r="Q46" s="234">
        <v>0</v>
      </c>
      <c r="R46" s="166"/>
    </row>
    <row r="47" spans="2:18" ht="15" customHeight="1" x14ac:dyDescent="0.3">
      <c r="B47" s="234" t="s">
        <v>122</v>
      </c>
      <c r="C47" s="234">
        <v>0</v>
      </c>
      <c r="D47" s="234">
        <v>0</v>
      </c>
      <c r="E47" s="234">
        <v>0</v>
      </c>
      <c r="F47" s="234">
        <v>0</v>
      </c>
      <c r="G47" s="234">
        <v>0</v>
      </c>
      <c r="H47" s="234">
        <v>0</v>
      </c>
      <c r="K47" s="234" t="s">
        <v>122</v>
      </c>
      <c r="L47" s="234">
        <v>0</v>
      </c>
      <c r="M47" s="234">
        <v>0</v>
      </c>
      <c r="N47" s="234">
        <v>0</v>
      </c>
      <c r="O47" s="234">
        <v>0</v>
      </c>
      <c r="P47" s="234">
        <v>0</v>
      </c>
      <c r="Q47" s="234">
        <v>0</v>
      </c>
      <c r="R47" s="166"/>
    </row>
    <row r="48" spans="2:18" ht="15" customHeight="1" x14ac:dyDescent="0.3">
      <c r="B48" s="234" t="s">
        <v>87</v>
      </c>
      <c r="C48" s="235">
        <v>9.4000000000000004E-3</v>
      </c>
      <c r="D48" s="235">
        <v>9.4000000000000004E-3</v>
      </c>
      <c r="E48" s="235">
        <v>1.4999999999999999E-2</v>
      </c>
      <c r="F48" s="235">
        <v>1.4999999999999999E-2</v>
      </c>
      <c r="G48" s="235">
        <v>1.4999999999999999E-2</v>
      </c>
      <c r="H48" s="235">
        <v>1.4999999999999999E-2</v>
      </c>
      <c r="K48" s="234" t="s">
        <v>87</v>
      </c>
      <c r="L48" s="235">
        <v>9.4000000000000004E-3</v>
      </c>
      <c r="M48" s="235">
        <v>9.4000000000000004E-3</v>
      </c>
      <c r="N48" s="235">
        <v>1.4999999999999999E-2</v>
      </c>
      <c r="O48" s="235">
        <v>1.4999999999999999E-2</v>
      </c>
      <c r="P48" s="235">
        <v>1.4999999999999999E-2</v>
      </c>
      <c r="Q48" s="235">
        <v>1.4999999999999999E-2</v>
      </c>
      <c r="R48" s="166"/>
    </row>
    <row r="49" spans="2:18" ht="15" customHeight="1" x14ac:dyDescent="0.3">
      <c r="B49" s="234" t="s">
        <v>75</v>
      </c>
      <c r="C49" s="235">
        <v>6.7000000000000004E-2</v>
      </c>
      <c r="D49" s="235">
        <v>6.7000000000000004E-2</v>
      </c>
      <c r="E49" s="235">
        <v>0.41</v>
      </c>
      <c r="F49" s="235">
        <v>0.41</v>
      </c>
      <c r="G49" s="235">
        <v>0.41</v>
      </c>
      <c r="H49" s="235">
        <v>0.41</v>
      </c>
      <c r="K49" s="234" t="s">
        <v>75</v>
      </c>
      <c r="L49" s="235">
        <v>6.7000000000000004E-2</v>
      </c>
      <c r="M49" s="235">
        <v>6.7000000000000004E-2</v>
      </c>
      <c r="N49" s="235">
        <v>0.41</v>
      </c>
      <c r="O49" s="235">
        <v>0.41</v>
      </c>
      <c r="P49" s="235">
        <v>0.41</v>
      </c>
      <c r="Q49" s="235">
        <v>0.41</v>
      </c>
      <c r="R49" s="166"/>
    </row>
    <row r="50" spans="2:18" x14ac:dyDescent="0.3">
      <c r="B50" s="234" t="s">
        <v>63</v>
      </c>
      <c r="C50" s="235">
        <v>3.5999999999999997E-2</v>
      </c>
      <c r="D50" s="235">
        <v>3.5999999999999997E-2</v>
      </c>
      <c r="E50" s="235">
        <v>3.5000000000000003E-2</v>
      </c>
      <c r="F50" s="235">
        <v>3.5000000000000003E-2</v>
      </c>
      <c r="G50" s="235">
        <v>3.5000000000000003E-2</v>
      </c>
      <c r="H50" s="235">
        <v>3.5000000000000003E-2</v>
      </c>
      <c r="K50" s="234" t="s">
        <v>63</v>
      </c>
      <c r="L50" s="235">
        <v>3.5999999999999997E-2</v>
      </c>
      <c r="M50" s="235">
        <v>3.5999999999999997E-2</v>
      </c>
      <c r="N50" s="235">
        <v>3.5000000000000003E-2</v>
      </c>
      <c r="O50" s="235">
        <v>3.5000000000000003E-2</v>
      </c>
      <c r="P50" s="235">
        <v>3.5000000000000003E-2</v>
      </c>
      <c r="Q50" s="235">
        <v>3.5000000000000003E-2</v>
      </c>
      <c r="R50" s="166"/>
    </row>
    <row r="51" spans="2:18" ht="15" customHeight="1" x14ac:dyDescent="0.3">
      <c r="B51" s="234" t="s">
        <v>64</v>
      </c>
      <c r="C51" s="235">
        <v>6.2E-2</v>
      </c>
      <c r="D51" s="235">
        <v>6.2E-2</v>
      </c>
      <c r="E51" s="235">
        <v>0.15</v>
      </c>
      <c r="F51" s="235">
        <v>0.15</v>
      </c>
      <c r="G51" s="235">
        <v>0.15</v>
      </c>
      <c r="H51" s="235">
        <v>0.15</v>
      </c>
      <c r="K51" s="234" t="s">
        <v>64</v>
      </c>
      <c r="L51" s="235">
        <v>6.2E-2</v>
      </c>
      <c r="M51" s="235">
        <v>6.2E-2</v>
      </c>
      <c r="N51" s="235">
        <v>0.15</v>
      </c>
      <c r="O51" s="235">
        <v>0.15</v>
      </c>
      <c r="P51" s="235">
        <v>0.15</v>
      </c>
      <c r="Q51" s="235">
        <v>0.15</v>
      </c>
      <c r="R51" s="166"/>
    </row>
    <row r="52" spans="2:18" ht="18.600000000000001" customHeight="1" x14ac:dyDescent="0.3">
      <c r="B52" s="236" t="s">
        <v>177</v>
      </c>
      <c r="C52" s="236" t="s">
        <v>145</v>
      </c>
      <c r="D52" s="236" t="s">
        <v>146</v>
      </c>
      <c r="E52" s="236" t="s">
        <v>147</v>
      </c>
      <c r="F52" s="236" t="s">
        <v>148</v>
      </c>
      <c r="G52" s="236" t="s">
        <v>149</v>
      </c>
      <c r="H52" s="236" t="s">
        <v>150</v>
      </c>
      <c r="I52" s="231" t="s">
        <v>179</v>
      </c>
      <c r="K52" s="236" t="s">
        <v>177</v>
      </c>
      <c r="L52" s="236" t="s">
        <v>145</v>
      </c>
      <c r="M52" s="236" t="s">
        <v>146</v>
      </c>
      <c r="N52" s="236" t="s">
        <v>147</v>
      </c>
      <c r="O52" s="236" t="s">
        <v>148</v>
      </c>
      <c r="P52" s="236" t="s">
        <v>149</v>
      </c>
      <c r="Q52" s="236" t="s">
        <v>150</v>
      </c>
      <c r="R52" s="231" t="s">
        <v>179</v>
      </c>
    </row>
    <row r="53" spans="2:18" x14ac:dyDescent="0.3">
      <c r="B53" s="234" t="s">
        <v>118</v>
      </c>
      <c r="C53" s="235">
        <v>6.4000000000000001E-2</v>
      </c>
      <c r="D53" s="235">
        <v>6.4000000000000001E-2</v>
      </c>
      <c r="E53" s="235">
        <v>6</v>
      </c>
      <c r="F53" s="235">
        <v>6</v>
      </c>
      <c r="G53" s="235">
        <v>6</v>
      </c>
      <c r="H53" s="235">
        <v>6</v>
      </c>
      <c r="K53" s="234" t="s">
        <v>118</v>
      </c>
      <c r="L53" s="235">
        <v>6.4000000000000001E-2</v>
      </c>
      <c r="M53" s="235">
        <v>6.4000000000000001E-2</v>
      </c>
      <c r="N53" s="235">
        <v>6</v>
      </c>
      <c r="O53" s="235">
        <v>6</v>
      </c>
      <c r="P53" s="235">
        <v>6</v>
      </c>
      <c r="Q53" s="235">
        <v>6</v>
      </c>
      <c r="R53" s="166"/>
    </row>
    <row r="54" spans="2:18" x14ac:dyDescent="0.3">
      <c r="B54" s="234" t="s">
        <v>120</v>
      </c>
      <c r="C54" s="234">
        <v>0</v>
      </c>
      <c r="D54" s="234">
        <v>0</v>
      </c>
      <c r="E54" s="234">
        <v>0</v>
      </c>
      <c r="F54" s="234">
        <v>0</v>
      </c>
      <c r="G54" s="234">
        <v>0</v>
      </c>
      <c r="H54" s="234">
        <v>0</v>
      </c>
      <c r="K54" s="234" t="s">
        <v>120</v>
      </c>
      <c r="L54" s="234">
        <v>0</v>
      </c>
      <c r="M54" s="234">
        <v>0</v>
      </c>
      <c r="N54" s="234">
        <v>0</v>
      </c>
      <c r="O54" s="234">
        <v>0</v>
      </c>
      <c r="P54" s="234">
        <v>0</v>
      </c>
      <c r="Q54" s="234">
        <v>0</v>
      </c>
      <c r="R54" s="166"/>
    </row>
    <row r="55" spans="2:18" x14ac:dyDescent="0.3">
      <c r="B55" s="234" t="s">
        <v>121</v>
      </c>
      <c r="C55" s="234">
        <v>0</v>
      </c>
      <c r="D55" s="234">
        <v>0</v>
      </c>
      <c r="E55" s="234">
        <v>0</v>
      </c>
      <c r="F55" s="234">
        <v>0</v>
      </c>
      <c r="G55" s="234">
        <v>0</v>
      </c>
      <c r="H55" s="234">
        <v>0</v>
      </c>
      <c r="K55" s="234" t="s">
        <v>121</v>
      </c>
      <c r="L55" s="234">
        <v>0</v>
      </c>
      <c r="M55" s="234">
        <v>0</v>
      </c>
      <c r="N55" s="234">
        <v>0</v>
      </c>
      <c r="O55" s="234">
        <v>0</v>
      </c>
      <c r="P55" s="234">
        <v>0</v>
      </c>
      <c r="Q55" s="234">
        <v>0</v>
      </c>
      <c r="R55" s="166"/>
    </row>
    <row r="56" spans="2:18" x14ac:dyDescent="0.3">
      <c r="B56" s="234" t="s">
        <v>122</v>
      </c>
      <c r="C56" s="234">
        <v>0</v>
      </c>
      <c r="D56" s="234">
        <v>0</v>
      </c>
      <c r="E56" s="234">
        <v>0</v>
      </c>
      <c r="F56" s="234">
        <v>0</v>
      </c>
      <c r="G56" s="234">
        <v>0</v>
      </c>
      <c r="H56" s="234">
        <v>0</v>
      </c>
      <c r="K56" s="234" t="s">
        <v>122</v>
      </c>
      <c r="L56" s="234">
        <v>0</v>
      </c>
      <c r="M56" s="234">
        <v>0</v>
      </c>
      <c r="N56" s="234">
        <v>0</v>
      </c>
      <c r="O56" s="234">
        <v>0</v>
      </c>
      <c r="P56" s="234">
        <v>0</v>
      </c>
      <c r="Q56" s="234">
        <v>0</v>
      </c>
      <c r="R56" s="166"/>
    </row>
    <row r="57" spans="2:18" ht="18" customHeight="1" x14ac:dyDescent="0.3">
      <c r="B57" s="234" t="s">
        <v>87</v>
      </c>
      <c r="C57" s="235">
        <v>0.28000000000000003</v>
      </c>
      <c r="D57" s="235">
        <v>0.28000000000000003</v>
      </c>
      <c r="E57" s="235">
        <v>0.44</v>
      </c>
      <c r="F57" s="235">
        <v>0.44</v>
      </c>
      <c r="G57" s="235">
        <v>0.44</v>
      </c>
      <c r="H57" s="235">
        <v>0.44</v>
      </c>
      <c r="K57" s="234" t="s">
        <v>87</v>
      </c>
      <c r="L57" s="235">
        <v>0.28000000000000003</v>
      </c>
      <c r="M57" s="235">
        <v>0.28000000000000003</v>
      </c>
      <c r="N57" s="235">
        <v>0.44</v>
      </c>
      <c r="O57" s="235">
        <v>0.44</v>
      </c>
      <c r="P57" s="235">
        <v>0.44</v>
      </c>
      <c r="Q57" s="235">
        <v>0.44</v>
      </c>
      <c r="R57" s="166"/>
    </row>
    <row r="58" spans="2:18" x14ac:dyDescent="0.3">
      <c r="B58" s="234" t="s">
        <v>75</v>
      </c>
      <c r="C58" s="235">
        <v>0.86</v>
      </c>
      <c r="D58" s="235">
        <v>0.86</v>
      </c>
      <c r="E58" s="235">
        <v>1.1000000000000001</v>
      </c>
      <c r="F58" s="235">
        <v>1.1000000000000001</v>
      </c>
      <c r="G58" s="235">
        <v>1.1000000000000001</v>
      </c>
      <c r="H58" s="235">
        <v>1.1000000000000001</v>
      </c>
      <c r="I58" s="163"/>
      <c r="K58" s="234" t="s">
        <v>75</v>
      </c>
      <c r="L58" s="235">
        <v>0.86</v>
      </c>
      <c r="M58" s="235">
        <v>0.86</v>
      </c>
      <c r="N58" s="235">
        <v>1.1000000000000001</v>
      </c>
      <c r="O58" s="235">
        <v>1.1000000000000001</v>
      </c>
      <c r="P58" s="235">
        <v>1.1000000000000001</v>
      </c>
      <c r="Q58" s="235">
        <v>1.1000000000000001</v>
      </c>
      <c r="R58" s="163"/>
    </row>
    <row r="59" spans="2:18" x14ac:dyDescent="0.3">
      <c r="B59" s="234" t="s">
        <v>63</v>
      </c>
      <c r="C59" s="235">
        <v>2.6</v>
      </c>
      <c r="D59" s="235">
        <v>2.6</v>
      </c>
      <c r="E59" s="235">
        <v>1.2</v>
      </c>
      <c r="F59" s="235">
        <v>1.2</v>
      </c>
      <c r="G59" s="235">
        <v>1.2</v>
      </c>
      <c r="H59" s="235">
        <v>1.2</v>
      </c>
      <c r="I59" s="163"/>
      <c r="K59" s="234" t="s">
        <v>63</v>
      </c>
      <c r="L59" s="235">
        <v>2.6</v>
      </c>
      <c r="M59" s="235">
        <v>2.6</v>
      </c>
      <c r="N59" s="235">
        <v>1.2</v>
      </c>
      <c r="O59" s="235">
        <v>1.2</v>
      </c>
      <c r="P59" s="235">
        <v>1.2</v>
      </c>
      <c r="Q59" s="235">
        <v>1.2</v>
      </c>
      <c r="R59" s="163"/>
    </row>
    <row r="60" spans="2:18" x14ac:dyDescent="0.3">
      <c r="B60" s="234" t="s">
        <v>64</v>
      </c>
      <c r="C60" s="235">
        <v>6.5</v>
      </c>
      <c r="D60" s="235">
        <v>6.5</v>
      </c>
      <c r="E60" s="235">
        <v>9.6999999999999993</v>
      </c>
      <c r="F60" s="235">
        <v>9.6999999999999993</v>
      </c>
      <c r="G60" s="235">
        <v>9.6999999999999993</v>
      </c>
      <c r="H60" s="235">
        <v>9.6999999999999993</v>
      </c>
      <c r="I60" s="163"/>
      <c r="K60" s="234" t="s">
        <v>64</v>
      </c>
      <c r="L60" s="235">
        <v>6.5</v>
      </c>
      <c r="M60" s="235">
        <v>6.5</v>
      </c>
      <c r="N60" s="235">
        <v>9.6999999999999993</v>
      </c>
      <c r="O60" s="235">
        <v>9.6999999999999993</v>
      </c>
      <c r="P60" s="235">
        <v>9.6999999999999993</v>
      </c>
      <c r="Q60" s="235">
        <v>9.6999999999999993</v>
      </c>
      <c r="R60" s="163"/>
    </row>
    <row r="61" spans="2:18" x14ac:dyDescent="0.3">
      <c r="B61" s="236" t="s">
        <v>178</v>
      </c>
      <c r="C61" s="236" t="s">
        <v>145</v>
      </c>
      <c r="D61" s="236" t="s">
        <v>146</v>
      </c>
      <c r="E61" s="236" t="s">
        <v>147</v>
      </c>
      <c r="F61" s="236" t="s">
        <v>148</v>
      </c>
      <c r="G61" s="236" t="s">
        <v>149</v>
      </c>
      <c r="H61" s="236" t="s">
        <v>150</v>
      </c>
      <c r="I61" s="231" t="s">
        <v>180</v>
      </c>
      <c r="K61" s="236" t="s">
        <v>178</v>
      </c>
      <c r="L61" s="236" t="s">
        <v>145</v>
      </c>
      <c r="M61" s="236" t="s">
        <v>146</v>
      </c>
      <c r="N61" s="236" t="s">
        <v>147</v>
      </c>
      <c r="O61" s="236" t="s">
        <v>148</v>
      </c>
      <c r="P61" s="236" t="s">
        <v>149</v>
      </c>
      <c r="Q61" s="236" t="s">
        <v>150</v>
      </c>
      <c r="R61" s="231" t="s">
        <v>180</v>
      </c>
    </row>
    <row r="62" spans="2:18" x14ac:dyDescent="0.3">
      <c r="B62" s="234" t="s">
        <v>118</v>
      </c>
      <c r="C62" s="235">
        <v>6.4000000000000001E-2</v>
      </c>
      <c r="D62" s="235">
        <v>6.4000000000000001E-2</v>
      </c>
      <c r="E62" s="235">
        <v>0.2</v>
      </c>
      <c r="F62" s="235">
        <v>0.2</v>
      </c>
      <c r="G62" s="235">
        <v>0.2</v>
      </c>
      <c r="H62" s="235">
        <v>0.2</v>
      </c>
      <c r="J62" s="167"/>
      <c r="K62" s="234" t="s">
        <v>118</v>
      </c>
      <c r="L62" s="235">
        <v>6.4000000000000001E-2</v>
      </c>
      <c r="M62" s="235">
        <v>6.4000000000000001E-2</v>
      </c>
      <c r="N62" s="235">
        <v>0.2</v>
      </c>
      <c r="O62" s="235">
        <v>0.2</v>
      </c>
      <c r="P62" s="235">
        <v>0.2</v>
      </c>
      <c r="Q62" s="235">
        <v>0.2</v>
      </c>
      <c r="R62" s="166"/>
    </row>
    <row r="63" spans="2:18" x14ac:dyDescent="0.3">
      <c r="B63" s="234" t="s">
        <v>120</v>
      </c>
      <c r="C63" s="234">
        <v>0</v>
      </c>
      <c r="D63" s="234">
        <v>0</v>
      </c>
      <c r="E63" s="234">
        <v>0</v>
      </c>
      <c r="F63" s="234">
        <v>0</v>
      </c>
      <c r="G63" s="234">
        <v>0</v>
      </c>
      <c r="H63" s="234">
        <v>0</v>
      </c>
      <c r="J63" s="167"/>
      <c r="K63" s="234" t="s">
        <v>120</v>
      </c>
      <c r="L63" s="234">
        <v>0</v>
      </c>
      <c r="M63" s="234">
        <v>0</v>
      </c>
      <c r="N63" s="234">
        <v>0</v>
      </c>
      <c r="O63" s="234">
        <v>0</v>
      </c>
      <c r="P63" s="234">
        <v>0</v>
      </c>
      <c r="Q63" s="234">
        <v>0</v>
      </c>
      <c r="R63" s="166"/>
    </row>
    <row r="64" spans="2:18" x14ac:dyDescent="0.3">
      <c r="B64" s="234" t="s">
        <v>121</v>
      </c>
      <c r="C64" s="234">
        <v>0</v>
      </c>
      <c r="D64" s="234">
        <v>0</v>
      </c>
      <c r="E64" s="234">
        <v>0</v>
      </c>
      <c r="F64" s="234">
        <v>0</v>
      </c>
      <c r="G64" s="234">
        <v>0</v>
      </c>
      <c r="H64" s="234">
        <v>0</v>
      </c>
      <c r="K64" s="234" t="s">
        <v>121</v>
      </c>
      <c r="L64" s="234">
        <v>0</v>
      </c>
      <c r="M64" s="234">
        <v>0</v>
      </c>
      <c r="N64" s="234">
        <v>0</v>
      </c>
      <c r="O64" s="234">
        <v>0</v>
      </c>
      <c r="P64" s="234">
        <v>0</v>
      </c>
      <c r="Q64" s="234">
        <v>0</v>
      </c>
      <c r="R64" s="166"/>
    </row>
    <row r="65" spans="2:18" x14ac:dyDescent="0.3">
      <c r="B65" s="234" t="s">
        <v>122</v>
      </c>
      <c r="C65" s="234">
        <v>0</v>
      </c>
      <c r="D65" s="234">
        <v>0</v>
      </c>
      <c r="E65" s="234">
        <v>0</v>
      </c>
      <c r="F65" s="234">
        <v>0</v>
      </c>
      <c r="G65" s="234">
        <v>0</v>
      </c>
      <c r="H65" s="234">
        <v>0</v>
      </c>
      <c r="K65" s="234" t="s">
        <v>122</v>
      </c>
      <c r="L65" s="234">
        <v>0</v>
      </c>
      <c r="M65" s="234">
        <v>0</v>
      </c>
      <c r="N65" s="234">
        <v>0</v>
      </c>
      <c r="O65" s="234">
        <v>0</v>
      </c>
      <c r="P65" s="234">
        <v>0</v>
      </c>
      <c r="Q65" s="234">
        <v>0</v>
      </c>
      <c r="R65" s="166"/>
    </row>
    <row r="66" spans="2:18" x14ac:dyDescent="0.3">
      <c r="B66" s="234" t="s">
        <v>87</v>
      </c>
      <c r="C66" s="235">
        <v>0.02</v>
      </c>
      <c r="D66" s="235">
        <v>0.02</v>
      </c>
      <c r="E66" s="235">
        <v>0.04</v>
      </c>
      <c r="F66" s="235">
        <v>0.04</v>
      </c>
      <c r="G66" s="235">
        <v>0.04</v>
      </c>
      <c r="H66" s="235">
        <v>0.04</v>
      </c>
      <c r="K66" s="234" t="s">
        <v>87</v>
      </c>
      <c r="L66" s="235">
        <v>0.02</v>
      </c>
      <c r="M66" s="235">
        <v>0.02</v>
      </c>
      <c r="N66" s="235">
        <v>0.04</v>
      </c>
      <c r="O66" s="235">
        <v>0.04</v>
      </c>
      <c r="P66" s="235">
        <v>0.04</v>
      </c>
      <c r="Q66" s="235">
        <v>0.04</v>
      </c>
      <c r="R66" s="166"/>
    </row>
    <row r="67" spans="2:18" x14ac:dyDescent="0.3">
      <c r="B67" s="234" t="s">
        <v>75</v>
      </c>
      <c r="C67" s="235">
        <v>2.3E-2</v>
      </c>
      <c r="D67" s="235">
        <v>2.3E-2</v>
      </c>
      <c r="E67" s="235">
        <v>4.2000000000000003E-2</v>
      </c>
      <c r="F67" s="235">
        <v>4.2000000000000003E-2</v>
      </c>
      <c r="G67" s="235">
        <v>4.2000000000000003E-2</v>
      </c>
      <c r="H67" s="235">
        <v>4.2000000000000003E-2</v>
      </c>
      <c r="K67" s="234" t="s">
        <v>75</v>
      </c>
      <c r="L67" s="235">
        <v>2.3E-2</v>
      </c>
      <c r="M67" s="235">
        <v>2.3E-2</v>
      </c>
      <c r="N67" s="235">
        <v>4.2000000000000003E-2</v>
      </c>
      <c r="O67" s="235">
        <v>4.2000000000000003E-2</v>
      </c>
      <c r="P67" s="235">
        <v>4.2000000000000003E-2</v>
      </c>
      <c r="Q67" s="235">
        <v>4.2000000000000003E-2</v>
      </c>
      <c r="R67" s="166"/>
    </row>
    <row r="68" spans="2:18" x14ac:dyDescent="0.3">
      <c r="B68" s="234" t="s">
        <v>63</v>
      </c>
      <c r="C68" s="235">
        <v>5.5E-2</v>
      </c>
      <c r="D68" s="235">
        <v>5.5E-2</v>
      </c>
      <c r="E68" s="235">
        <v>9.0999999999999998E-2</v>
      </c>
      <c r="F68" s="235">
        <v>9.0999999999999998E-2</v>
      </c>
      <c r="G68" s="235">
        <v>9.0999999999999998E-2</v>
      </c>
      <c r="H68" s="235">
        <v>9.0999999999999998E-2</v>
      </c>
      <c r="K68" s="234" t="s">
        <v>63</v>
      </c>
      <c r="L68" s="235">
        <v>5.5E-2</v>
      </c>
      <c r="M68" s="235">
        <v>5.5E-2</v>
      </c>
      <c r="N68" s="235">
        <v>9.0999999999999998E-2</v>
      </c>
      <c r="O68" s="235">
        <v>9.0999999999999998E-2</v>
      </c>
      <c r="P68" s="235">
        <v>9.0999999999999998E-2</v>
      </c>
      <c r="Q68" s="235">
        <v>9.0999999999999998E-2</v>
      </c>
      <c r="R68" s="166"/>
    </row>
    <row r="69" spans="2:18" x14ac:dyDescent="0.3">
      <c r="B69" s="234" t="s">
        <v>64</v>
      </c>
      <c r="C69" s="235">
        <v>0.1</v>
      </c>
      <c r="D69" s="235">
        <v>0.1</v>
      </c>
      <c r="E69" s="235">
        <v>0.31</v>
      </c>
      <c r="F69" s="235">
        <v>0.31</v>
      </c>
      <c r="G69" s="235">
        <v>0.31</v>
      </c>
      <c r="H69" s="235">
        <v>0.31</v>
      </c>
      <c r="K69" s="234" t="s">
        <v>64</v>
      </c>
      <c r="L69" s="235">
        <v>0.1</v>
      </c>
      <c r="M69" s="235">
        <v>0.1</v>
      </c>
      <c r="N69" s="235">
        <v>0.31</v>
      </c>
      <c r="O69" s="235">
        <v>0.31</v>
      </c>
      <c r="P69" s="235">
        <v>0.31</v>
      </c>
      <c r="Q69" s="235">
        <v>0.31</v>
      </c>
      <c r="R69" s="166"/>
    </row>
    <row r="70" spans="2:18" x14ac:dyDescent="0.3">
      <c r="M70" s="166"/>
      <c r="N70" s="166"/>
      <c r="O70" s="166"/>
      <c r="P70" s="166"/>
      <c r="Q70" s="166"/>
      <c r="R70" s="166"/>
    </row>
    <row r="71" spans="2:18" x14ac:dyDescent="0.3">
      <c r="B71" s="237" t="s">
        <v>182</v>
      </c>
      <c r="C71" s="237" t="s">
        <v>145</v>
      </c>
      <c r="D71" s="237" t="s">
        <v>146</v>
      </c>
      <c r="E71" s="237" t="s">
        <v>147</v>
      </c>
      <c r="F71" s="237" t="s">
        <v>148</v>
      </c>
      <c r="G71" s="237" t="s">
        <v>149</v>
      </c>
      <c r="H71" s="237" t="s">
        <v>150</v>
      </c>
      <c r="K71" s="237" t="s">
        <v>182</v>
      </c>
      <c r="L71" s="237" t="s">
        <v>145</v>
      </c>
      <c r="M71" s="237" t="s">
        <v>146</v>
      </c>
      <c r="N71" s="237" t="s">
        <v>147</v>
      </c>
      <c r="O71" s="237" t="s">
        <v>148</v>
      </c>
      <c r="P71" s="237" t="s">
        <v>149</v>
      </c>
      <c r="Q71" s="237" t="s">
        <v>150</v>
      </c>
      <c r="R71" s="166"/>
    </row>
    <row r="72" spans="2:18" x14ac:dyDescent="0.3">
      <c r="B72" s="233" t="s">
        <v>118</v>
      </c>
      <c r="C72" s="233">
        <v>77</v>
      </c>
      <c r="D72" s="233">
        <v>77</v>
      </c>
      <c r="E72" s="233">
        <v>77</v>
      </c>
      <c r="F72" s="233">
        <v>77</v>
      </c>
      <c r="G72" s="233">
        <v>77</v>
      </c>
      <c r="H72" s="233">
        <v>77</v>
      </c>
      <c r="K72" s="233" t="s">
        <v>118</v>
      </c>
      <c r="L72" s="233">
        <v>77</v>
      </c>
      <c r="M72" s="233">
        <v>77</v>
      </c>
      <c r="N72" s="233">
        <v>77</v>
      </c>
      <c r="O72" s="233">
        <v>77</v>
      </c>
      <c r="P72" s="233">
        <v>77</v>
      </c>
      <c r="Q72" s="233">
        <v>77</v>
      </c>
      <c r="R72" s="166"/>
    </row>
    <row r="73" spans="2:18" x14ac:dyDescent="0.3">
      <c r="B73" s="233" t="s">
        <v>120</v>
      </c>
      <c r="C73" s="233">
        <v>77</v>
      </c>
      <c r="D73" s="233">
        <v>77</v>
      </c>
      <c r="E73" s="233">
        <v>77</v>
      </c>
      <c r="F73" s="233">
        <v>77</v>
      </c>
      <c r="G73" s="233">
        <v>77</v>
      </c>
      <c r="H73" s="233">
        <v>77</v>
      </c>
      <c r="K73" s="233" t="s">
        <v>120</v>
      </c>
      <c r="L73" s="233">
        <v>77</v>
      </c>
      <c r="M73" s="233">
        <v>77</v>
      </c>
      <c r="N73" s="233">
        <v>77</v>
      </c>
      <c r="O73" s="233">
        <v>77</v>
      </c>
      <c r="P73" s="233">
        <v>77</v>
      </c>
      <c r="Q73" s="233">
        <v>77</v>
      </c>
      <c r="R73" s="166"/>
    </row>
    <row r="74" spans="2:18" x14ac:dyDescent="0.3">
      <c r="B74" s="233" t="s">
        <v>121</v>
      </c>
      <c r="C74" s="233">
        <v>77</v>
      </c>
      <c r="D74" s="233">
        <v>77</v>
      </c>
      <c r="E74" s="233">
        <v>77</v>
      </c>
      <c r="F74" s="233">
        <v>77</v>
      </c>
      <c r="G74" s="233">
        <v>77</v>
      </c>
      <c r="H74" s="233">
        <v>77</v>
      </c>
      <c r="K74" s="233" t="s">
        <v>121</v>
      </c>
      <c r="L74" s="233">
        <v>77</v>
      </c>
      <c r="M74" s="233">
        <v>77</v>
      </c>
      <c r="N74" s="233">
        <v>77</v>
      </c>
      <c r="O74" s="233">
        <v>77</v>
      </c>
      <c r="P74" s="233">
        <v>77</v>
      </c>
      <c r="Q74" s="233">
        <v>77</v>
      </c>
      <c r="R74" s="166"/>
    </row>
    <row r="75" spans="2:18" x14ac:dyDescent="0.3">
      <c r="B75" s="233" t="s">
        <v>122</v>
      </c>
      <c r="C75" s="233">
        <v>77</v>
      </c>
      <c r="D75" s="233">
        <v>77</v>
      </c>
      <c r="E75" s="233">
        <v>77</v>
      </c>
      <c r="F75" s="233">
        <v>77</v>
      </c>
      <c r="G75" s="233">
        <v>77</v>
      </c>
      <c r="H75" s="233">
        <v>77</v>
      </c>
      <c r="K75" s="233" t="s">
        <v>122</v>
      </c>
      <c r="L75" s="233">
        <v>77</v>
      </c>
      <c r="M75" s="233">
        <v>77</v>
      </c>
      <c r="N75" s="233">
        <v>77</v>
      </c>
      <c r="O75" s="233">
        <v>77</v>
      </c>
      <c r="P75" s="233">
        <v>77</v>
      </c>
      <c r="Q75" s="233">
        <v>77</v>
      </c>
      <c r="R75" s="166"/>
    </row>
    <row r="76" spans="2:18" x14ac:dyDescent="0.3">
      <c r="B76" s="233" t="s">
        <v>87</v>
      </c>
      <c r="C76" s="233">
        <v>77</v>
      </c>
      <c r="D76" s="233">
        <v>77</v>
      </c>
      <c r="E76" s="233">
        <v>77</v>
      </c>
      <c r="F76" s="233">
        <v>77</v>
      </c>
      <c r="G76" s="233">
        <v>77</v>
      </c>
      <c r="H76" s="233">
        <v>77</v>
      </c>
      <c r="K76" s="233" t="s">
        <v>87</v>
      </c>
      <c r="L76" s="233">
        <v>77</v>
      </c>
      <c r="M76" s="233">
        <v>77</v>
      </c>
      <c r="N76" s="233">
        <v>77</v>
      </c>
      <c r="O76" s="233">
        <v>77</v>
      </c>
      <c r="P76" s="233">
        <v>77</v>
      </c>
      <c r="Q76" s="233">
        <v>77</v>
      </c>
      <c r="R76" s="166"/>
    </row>
    <row r="77" spans="2:18" x14ac:dyDescent="0.3">
      <c r="B77" s="233" t="s">
        <v>75</v>
      </c>
      <c r="C77" s="233">
        <v>77</v>
      </c>
      <c r="D77" s="233">
        <v>77</v>
      </c>
      <c r="E77" s="233">
        <v>77</v>
      </c>
      <c r="F77" s="233">
        <v>77</v>
      </c>
      <c r="G77" s="233">
        <v>77</v>
      </c>
      <c r="H77" s="233">
        <v>77</v>
      </c>
      <c r="K77" s="233" t="s">
        <v>75</v>
      </c>
      <c r="L77" s="233">
        <v>77</v>
      </c>
      <c r="M77" s="233">
        <v>77</v>
      </c>
      <c r="N77" s="233">
        <v>77</v>
      </c>
      <c r="O77" s="233">
        <v>77</v>
      </c>
      <c r="P77" s="233">
        <v>77</v>
      </c>
      <c r="Q77" s="233">
        <v>77</v>
      </c>
      <c r="R77" s="166"/>
    </row>
    <row r="78" spans="2:18" x14ac:dyDescent="0.3">
      <c r="B78" s="233" t="s">
        <v>63</v>
      </c>
      <c r="C78" s="233">
        <v>77</v>
      </c>
      <c r="D78" s="233">
        <v>77</v>
      </c>
      <c r="E78" s="233">
        <v>77</v>
      </c>
      <c r="F78" s="233">
        <v>77</v>
      </c>
      <c r="G78" s="233">
        <v>77</v>
      </c>
      <c r="H78" s="233">
        <v>77</v>
      </c>
      <c r="K78" s="233" t="s">
        <v>63</v>
      </c>
      <c r="L78" s="233">
        <v>77</v>
      </c>
      <c r="M78" s="233">
        <v>77</v>
      </c>
      <c r="N78" s="233">
        <v>77</v>
      </c>
      <c r="O78" s="233">
        <v>77</v>
      </c>
      <c r="P78" s="233">
        <v>77</v>
      </c>
      <c r="Q78" s="233">
        <v>77</v>
      </c>
      <c r="R78" s="166"/>
    </row>
    <row r="79" spans="2:18" x14ac:dyDescent="0.3">
      <c r="B79" s="233" t="s">
        <v>64</v>
      </c>
      <c r="C79" s="233">
        <v>77</v>
      </c>
      <c r="D79" s="233">
        <v>77</v>
      </c>
      <c r="E79" s="233">
        <v>77</v>
      </c>
      <c r="F79" s="233">
        <v>77</v>
      </c>
      <c r="G79" s="233">
        <v>77</v>
      </c>
      <c r="H79" s="233">
        <v>77</v>
      </c>
      <c r="K79" s="233" t="s">
        <v>64</v>
      </c>
      <c r="L79" s="233">
        <v>77</v>
      </c>
      <c r="M79" s="233">
        <v>77</v>
      </c>
      <c r="N79" s="233">
        <v>77</v>
      </c>
      <c r="O79" s="233">
        <v>77</v>
      </c>
      <c r="P79" s="233">
        <v>77</v>
      </c>
      <c r="Q79" s="233">
        <v>77</v>
      </c>
      <c r="R79" s="166"/>
    </row>
    <row r="80" spans="2:18" x14ac:dyDescent="0.3">
      <c r="B80" s="237" t="s">
        <v>181</v>
      </c>
      <c r="C80" s="237" t="s">
        <v>145</v>
      </c>
      <c r="D80" s="237" t="s">
        <v>146</v>
      </c>
      <c r="E80" s="237" t="s">
        <v>147</v>
      </c>
      <c r="F80" s="237" t="s">
        <v>148</v>
      </c>
      <c r="G80" s="237" t="s">
        <v>149</v>
      </c>
      <c r="H80" s="237" t="s">
        <v>150</v>
      </c>
      <c r="K80" s="237" t="s">
        <v>181</v>
      </c>
      <c r="L80" s="237" t="s">
        <v>145</v>
      </c>
      <c r="M80" s="237" t="s">
        <v>146</v>
      </c>
      <c r="N80" s="237" t="s">
        <v>147</v>
      </c>
      <c r="O80" s="237" t="s">
        <v>148</v>
      </c>
      <c r="P80" s="237" t="s">
        <v>149</v>
      </c>
      <c r="Q80" s="237" t="s">
        <v>150</v>
      </c>
      <c r="R80" s="166"/>
    </row>
    <row r="81" spans="2:18" x14ac:dyDescent="0.3">
      <c r="B81" s="233" t="s">
        <v>118</v>
      </c>
      <c r="C81" s="233">
        <v>8900</v>
      </c>
      <c r="D81" s="233">
        <v>8900</v>
      </c>
      <c r="E81" s="233">
        <v>140000</v>
      </c>
      <c r="F81" s="233">
        <v>140000</v>
      </c>
      <c r="G81" s="233">
        <v>140000</v>
      </c>
      <c r="H81" s="233">
        <v>140000</v>
      </c>
      <c r="K81" s="233" t="s">
        <v>118</v>
      </c>
      <c r="L81" s="233">
        <v>8900</v>
      </c>
      <c r="M81" s="233">
        <v>8900</v>
      </c>
      <c r="N81" s="233">
        <v>140000</v>
      </c>
      <c r="O81" s="233">
        <v>140000</v>
      </c>
      <c r="P81" s="233">
        <v>140000</v>
      </c>
      <c r="Q81" s="233">
        <v>140000</v>
      </c>
      <c r="R81" s="166"/>
    </row>
    <row r="82" spans="2:18" x14ac:dyDescent="0.3">
      <c r="B82" s="233" t="s">
        <v>120</v>
      </c>
      <c r="C82" s="233">
        <v>8900</v>
      </c>
      <c r="D82" s="233">
        <v>8900</v>
      </c>
      <c r="E82" s="233">
        <v>140000</v>
      </c>
      <c r="F82" s="233">
        <v>140000</v>
      </c>
      <c r="G82" s="233">
        <v>140000</v>
      </c>
      <c r="H82" s="233">
        <v>140000</v>
      </c>
      <c r="K82" s="233" t="s">
        <v>120</v>
      </c>
      <c r="L82" s="233">
        <v>8900</v>
      </c>
      <c r="M82" s="233">
        <v>8900</v>
      </c>
      <c r="N82" s="233">
        <v>140000</v>
      </c>
      <c r="O82" s="233">
        <v>140000</v>
      </c>
      <c r="P82" s="233">
        <v>140000</v>
      </c>
      <c r="Q82" s="233">
        <v>140000</v>
      </c>
      <c r="R82" s="166"/>
    </row>
    <row r="83" spans="2:18" x14ac:dyDescent="0.3">
      <c r="B83" s="233" t="s">
        <v>121</v>
      </c>
      <c r="C83" s="233">
        <v>8900</v>
      </c>
      <c r="D83" s="233">
        <v>8900</v>
      </c>
      <c r="E83" s="233">
        <v>140000</v>
      </c>
      <c r="F83" s="233">
        <v>140000</v>
      </c>
      <c r="G83" s="233">
        <v>140000</v>
      </c>
      <c r="H83" s="233">
        <v>140000</v>
      </c>
      <c r="K83" s="233" t="s">
        <v>121</v>
      </c>
      <c r="L83" s="233">
        <v>8900</v>
      </c>
      <c r="M83" s="233">
        <v>8900</v>
      </c>
      <c r="N83" s="233">
        <v>140000</v>
      </c>
      <c r="O83" s="233">
        <v>140000</v>
      </c>
      <c r="P83" s="233">
        <v>140000</v>
      </c>
      <c r="Q83" s="233">
        <v>140000</v>
      </c>
      <c r="R83" s="166"/>
    </row>
    <row r="84" spans="2:18" x14ac:dyDescent="0.3">
      <c r="B84" s="233" t="s">
        <v>122</v>
      </c>
      <c r="C84" s="233">
        <v>8900</v>
      </c>
      <c r="D84" s="233">
        <v>8900</v>
      </c>
      <c r="E84" s="233">
        <v>140000</v>
      </c>
      <c r="F84" s="233">
        <v>140000</v>
      </c>
      <c r="G84" s="233">
        <v>140000</v>
      </c>
      <c r="H84" s="233">
        <v>140000</v>
      </c>
      <c r="K84" s="233" t="s">
        <v>122</v>
      </c>
      <c r="L84" s="233">
        <v>8900</v>
      </c>
      <c r="M84" s="233">
        <v>8900</v>
      </c>
      <c r="N84" s="233">
        <v>140000</v>
      </c>
      <c r="O84" s="233">
        <v>140000</v>
      </c>
      <c r="P84" s="233">
        <v>140000</v>
      </c>
      <c r="Q84" s="233">
        <v>140000</v>
      </c>
      <c r="R84" s="166"/>
    </row>
    <row r="85" spans="2:18" x14ac:dyDescent="0.3">
      <c r="B85" s="233" t="s">
        <v>87</v>
      </c>
      <c r="C85" s="233">
        <v>8900</v>
      </c>
      <c r="D85" s="233">
        <v>8900</v>
      </c>
      <c r="E85" s="233">
        <v>140000</v>
      </c>
      <c r="F85" s="233">
        <v>140000</v>
      </c>
      <c r="G85" s="233">
        <v>140000</v>
      </c>
      <c r="H85" s="233">
        <v>140000</v>
      </c>
      <c r="K85" s="233" t="s">
        <v>87</v>
      </c>
      <c r="L85" s="233">
        <v>8900</v>
      </c>
      <c r="M85" s="233">
        <v>8900</v>
      </c>
      <c r="N85" s="233">
        <v>140000</v>
      </c>
      <c r="O85" s="233">
        <v>140000</v>
      </c>
      <c r="P85" s="233">
        <v>140000</v>
      </c>
      <c r="Q85" s="233">
        <v>140000</v>
      </c>
      <c r="R85" s="166"/>
    </row>
    <row r="86" spans="2:18" x14ac:dyDescent="0.3">
      <c r="B86" s="233" t="s">
        <v>75</v>
      </c>
      <c r="C86" s="233">
        <v>8900</v>
      </c>
      <c r="D86" s="233">
        <v>8900</v>
      </c>
      <c r="E86" s="233">
        <v>140000</v>
      </c>
      <c r="F86" s="233">
        <v>140000</v>
      </c>
      <c r="G86" s="233">
        <v>140000</v>
      </c>
      <c r="H86" s="233">
        <v>140000</v>
      </c>
      <c r="K86" s="233" t="s">
        <v>75</v>
      </c>
      <c r="L86" s="233">
        <v>8900</v>
      </c>
      <c r="M86" s="233">
        <v>8900</v>
      </c>
      <c r="N86" s="233">
        <v>140000</v>
      </c>
      <c r="O86" s="233">
        <v>140000</v>
      </c>
      <c r="P86" s="233">
        <v>140000</v>
      </c>
      <c r="Q86" s="233">
        <v>140000</v>
      </c>
      <c r="R86" s="166"/>
    </row>
    <row r="87" spans="2:18" x14ac:dyDescent="0.3">
      <c r="B87" s="233" t="s">
        <v>63</v>
      </c>
      <c r="C87" s="233">
        <v>8900</v>
      </c>
      <c r="D87" s="233">
        <v>8900</v>
      </c>
      <c r="E87" s="233">
        <v>140000</v>
      </c>
      <c r="F87" s="233">
        <v>140000</v>
      </c>
      <c r="G87" s="233">
        <v>140000</v>
      </c>
      <c r="H87" s="233">
        <v>140000</v>
      </c>
      <c r="K87" s="233" t="s">
        <v>63</v>
      </c>
      <c r="L87" s="233">
        <v>8900</v>
      </c>
      <c r="M87" s="233">
        <v>8900</v>
      </c>
      <c r="N87" s="233">
        <v>140000</v>
      </c>
      <c r="O87" s="233">
        <v>140000</v>
      </c>
      <c r="P87" s="233">
        <v>140000</v>
      </c>
      <c r="Q87" s="233">
        <v>140000</v>
      </c>
      <c r="R87" s="166"/>
    </row>
    <row r="88" spans="2:18" x14ac:dyDescent="0.3">
      <c r="B88" s="233" t="s">
        <v>64</v>
      </c>
      <c r="C88" s="233">
        <v>8900</v>
      </c>
      <c r="D88" s="233">
        <v>8900</v>
      </c>
      <c r="E88" s="233">
        <v>140000</v>
      </c>
      <c r="F88" s="233">
        <v>140000</v>
      </c>
      <c r="G88" s="233">
        <v>140000</v>
      </c>
      <c r="H88" s="233">
        <v>140000</v>
      </c>
      <c r="K88" s="233" t="s">
        <v>64</v>
      </c>
      <c r="L88" s="233">
        <v>8900</v>
      </c>
      <c r="M88" s="233">
        <v>8900</v>
      </c>
      <c r="N88" s="233">
        <v>140000</v>
      </c>
      <c r="O88" s="233">
        <v>140000</v>
      </c>
      <c r="P88" s="233">
        <v>140000</v>
      </c>
      <c r="Q88" s="233">
        <v>140000</v>
      </c>
      <c r="R88" s="166"/>
    </row>
    <row r="89" spans="2:18" x14ac:dyDescent="0.3">
      <c r="B89" s="237" t="s">
        <v>183</v>
      </c>
      <c r="C89" s="237" t="s">
        <v>145</v>
      </c>
      <c r="D89" s="237" t="s">
        <v>146</v>
      </c>
      <c r="E89" s="237" t="s">
        <v>147</v>
      </c>
      <c r="F89" s="237" t="s">
        <v>148</v>
      </c>
      <c r="G89" s="237" t="s">
        <v>149</v>
      </c>
      <c r="H89" s="237" t="s">
        <v>150</v>
      </c>
      <c r="K89" s="237" t="s">
        <v>183</v>
      </c>
      <c r="L89" s="237" t="s">
        <v>145</v>
      </c>
      <c r="M89" s="237" t="s">
        <v>146</v>
      </c>
      <c r="N89" s="237" t="s">
        <v>147</v>
      </c>
      <c r="O89" s="237" t="s">
        <v>148</v>
      </c>
      <c r="P89" s="237" t="s">
        <v>149</v>
      </c>
      <c r="Q89" s="237" t="s">
        <v>150</v>
      </c>
      <c r="R89" s="166"/>
    </row>
    <row r="90" spans="2:18" x14ac:dyDescent="0.3">
      <c r="B90" s="233" t="s">
        <v>118</v>
      </c>
      <c r="C90" s="233">
        <v>320</v>
      </c>
      <c r="D90" s="233">
        <v>320</v>
      </c>
      <c r="E90" s="233">
        <v>1500</v>
      </c>
      <c r="F90" s="233">
        <v>1500</v>
      </c>
      <c r="G90" s="233">
        <v>1500</v>
      </c>
      <c r="H90" s="233">
        <v>1500</v>
      </c>
      <c r="K90" s="233" t="s">
        <v>118</v>
      </c>
      <c r="L90" s="233">
        <v>320</v>
      </c>
      <c r="M90" s="233">
        <v>320</v>
      </c>
      <c r="N90" s="233">
        <v>1500</v>
      </c>
      <c r="O90" s="233">
        <v>1500</v>
      </c>
      <c r="P90" s="233">
        <v>1500</v>
      </c>
      <c r="Q90" s="233">
        <v>1500</v>
      </c>
      <c r="R90" s="166"/>
    </row>
    <row r="91" spans="2:18" x14ac:dyDescent="0.3">
      <c r="B91" s="233" t="s">
        <v>120</v>
      </c>
      <c r="C91" s="233">
        <v>320</v>
      </c>
      <c r="D91" s="233">
        <v>320</v>
      </c>
      <c r="E91" s="233">
        <v>1500</v>
      </c>
      <c r="F91" s="233">
        <v>1500</v>
      </c>
      <c r="G91" s="233">
        <v>1500</v>
      </c>
      <c r="H91" s="233">
        <v>1500</v>
      </c>
      <c r="K91" s="233" t="s">
        <v>120</v>
      </c>
      <c r="L91" s="233">
        <v>320</v>
      </c>
      <c r="M91" s="233">
        <v>320</v>
      </c>
      <c r="N91" s="233">
        <v>1500</v>
      </c>
      <c r="O91" s="233">
        <v>1500</v>
      </c>
      <c r="P91" s="233">
        <v>1500</v>
      </c>
      <c r="Q91" s="233">
        <v>1500</v>
      </c>
      <c r="R91" s="166"/>
    </row>
    <row r="92" spans="2:18" x14ac:dyDescent="0.3">
      <c r="B92" s="233" t="s">
        <v>121</v>
      </c>
      <c r="C92" s="233">
        <v>320</v>
      </c>
      <c r="D92" s="233">
        <v>320</v>
      </c>
      <c r="E92" s="233">
        <v>1500</v>
      </c>
      <c r="F92" s="233">
        <v>1500</v>
      </c>
      <c r="G92" s="233">
        <v>1500</v>
      </c>
      <c r="H92" s="233">
        <v>1500</v>
      </c>
      <c r="K92" s="233" t="s">
        <v>121</v>
      </c>
      <c r="L92" s="233">
        <v>320</v>
      </c>
      <c r="M92" s="233">
        <v>320</v>
      </c>
      <c r="N92" s="233">
        <v>1500</v>
      </c>
      <c r="O92" s="233">
        <v>1500</v>
      </c>
      <c r="P92" s="233">
        <v>1500</v>
      </c>
      <c r="Q92" s="233">
        <v>1500</v>
      </c>
      <c r="R92" s="166"/>
    </row>
    <row r="93" spans="2:18" x14ac:dyDescent="0.3">
      <c r="B93" s="233" t="s">
        <v>122</v>
      </c>
      <c r="C93" s="233">
        <v>320</v>
      </c>
      <c r="D93" s="233">
        <v>320</v>
      </c>
      <c r="E93" s="233">
        <v>1500</v>
      </c>
      <c r="F93" s="233">
        <v>1500</v>
      </c>
      <c r="G93" s="233">
        <v>1500</v>
      </c>
      <c r="H93" s="233">
        <v>1500</v>
      </c>
      <c r="K93" s="233" t="s">
        <v>122</v>
      </c>
      <c r="L93" s="233">
        <v>320</v>
      </c>
      <c r="M93" s="233">
        <v>320</v>
      </c>
      <c r="N93" s="233">
        <v>1500</v>
      </c>
      <c r="O93" s="233">
        <v>1500</v>
      </c>
      <c r="P93" s="233">
        <v>1500</v>
      </c>
      <c r="Q93" s="233">
        <v>1500</v>
      </c>
      <c r="R93" s="166"/>
    </row>
    <row r="94" spans="2:18" x14ac:dyDescent="0.3">
      <c r="B94" s="233" t="s">
        <v>87</v>
      </c>
      <c r="C94" s="233">
        <v>320</v>
      </c>
      <c r="D94" s="233">
        <v>320</v>
      </c>
      <c r="E94" s="233">
        <v>1500</v>
      </c>
      <c r="F94" s="233">
        <v>1500</v>
      </c>
      <c r="G94" s="233">
        <v>1500</v>
      </c>
      <c r="H94" s="233">
        <v>1500</v>
      </c>
      <c r="K94" s="233" t="s">
        <v>87</v>
      </c>
      <c r="L94" s="233">
        <v>320</v>
      </c>
      <c r="M94" s="233">
        <v>320</v>
      </c>
      <c r="N94" s="233">
        <v>1500</v>
      </c>
      <c r="O94" s="233">
        <v>1500</v>
      </c>
      <c r="P94" s="233">
        <v>1500</v>
      </c>
      <c r="Q94" s="233">
        <v>1500</v>
      </c>
      <c r="R94" s="166"/>
    </row>
    <row r="95" spans="2:18" x14ac:dyDescent="0.3">
      <c r="B95" s="233" t="s">
        <v>75</v>
      </c>
      <c r="C95" s="233">
        <v>320</v>
      </c>
      <c r="D95" s="233">
        <v>320</v>
      </c>
      <c r="E95" s="233">
        <v>1500</v>
      </c>
      <c r="F95" s="233">
        <v>1500</v>
      </c>
      <c r="G95" s="233">
        <v>1500</v>
      </c>
      <c r="H95" s="233">
        <v>1500</v>
      </c>
      <c r="K95" s="233" t="s">
        <v>75</v>
      </c>
      <c r="L95" s="233">
        <v>320</v>
      </c>
      <c r="M95" s="233">
        <v>320</v>
      </c>
      <c r="N95" s="233">
        <v>1500</v>
      </c>
      <c r="O95" s="233">
        <v>1500</v>
      </c>
      <c r="P95" s="233">
        <v>1500</v>
      </c>
      <c r="Q95" s="233">
        <v>1500</v>
      </c>
      <c r="R95" s="166"/>
    </row>
    <row r="96" spans="2:18" x14ac:dyDescent="0.3">
      <c r="B96" s="233" t="s">
        <v>63</v>
      </c>
      <c r="C96" s="233">
        <v>320</v>
      </c>
      <c r="D96" s="233">
        <v>320</v>
      </c>
      <c r="E96" s="233">
        <v>1500</v>
      </c>
      <c r="F96" s="233">
        <v>1500</v>
      </c>
      <c r="G96" s="233">
        <v>1500</v>
      </c>
      <c r="H96" s="233">
        <v>1500</v>
      </c>
      <c r="K96" s="233" t="s">
        <v>63</v>
      </c>
      <c r="L96" s="233">
        <v>320</v>
      </c>
      <c r="M96" s="233">
        <v>320</v>
      </c>
      <c r="N96" s="233">
        <v>1500</v>
      </c>
      <c r="O96" s="233">
        <v>1500</v>
      </c>
      <c r="P96" s="233">
        <v>1500</v>
      </c>
      <c r="Q96" s="233">
        <v>1500</v>
      </c>
      <c r="R96" s="166"/>
    </row>
    <row r="97" spans="2:18" x14ac:dyDescent="0.3">
      <c r="B97" s="233" t="s">
        <v>64</v>
      </c>
      <c r="C97" s="233">
        <v>320</v>
      </c>
      <c r="D97" s="233">
        <v>320</v>
      </c>
      <c r="E97" s="233">
        <v>1500</v>
      </c>
      <c r="F97" s="233">
        <v>1500</v>
      </c>
      <c r="G97" s="233">
        <v>1500</v>
      </c>
      <c r="H97" s="233">
        <v>1500</v>
      </c>
      <c r="K97" s="233" t="s">
        <v>64</v>
      </c>
      <c r="L97" s="233">
        <v>320</v>
      </c>
      <c r="M97" s="233">
        <v>320</v>
      </c>
      <c r="N97" s="233">
        <v>1500</v>
      </c>
      <c r="O97" s="233">
        <v>1500</v>
      </c>
      <c r="P97" s="233">
        <v>1500</v>
      </c>
      <c r="Q97" s="233">
        <v>1500</v>
      </c>
      <c r="R97" s="166"/>
    </row>
    <row r="98" spans="2:18" x14ac:dyDescent="0.3">
      <c r="B98" s="237" t="s">
        <v>184</v>
      </c>
      <c r="C98" s="237" t="s">
        <v>145</v>
      </c>
      <c r="D98" s="237" t="s">
        <v>146</v>
      </c>
      <c r="E98" s="237" t="s">
        <v>147</v>
      </c>
      <c r="F98" s="237" t="s">
        <v>148</v>
      </c>
      <c r="G98" s="237" t="s">
        <v>149</v>
      </c>
      <c r="H98" s="237" t="s">
        <v>150</v>
      </c>
      <c r="K98" s="237" t="s">
        <v>184</v>
      </c>
      <c r="L98" s="237" t="s">
        <v>145</v>
      </c>
      <c r="M98" s="237" t="s">
        <v>146</v>
      </c>
      <c r="N98" s="237" t="s">
        <v>147</v>
      </c>
      <c r="O98" s="237" t="s">
        <v>148</v>
      </c>
      <c r="P98" s="237" t="s">
        <v>149</v>
      </c>
      <c r="Q98" s="237" t="s">
        <v>150</v>
      </c>
      <c r="R98" s="166"/>
    </row>
    <row r="99" spans="2:18" x14ac:dyDescent="0.3">
      <c r="B99" s="233" t="s">
        <v>118</v>
      </c>
      <c r="C99" s="233">
        <v>33</v>
      </c>
      <c r="D99" s="233">
        <v>33</v>
      </c>
      <c r="E99" s="233">
        <v>33</v>
      </c>
      <c r="F99" s="233">
        <v>33</v>
      </c>
      <c r="G99" s="233">
        <v>33</v>
      </c>
      <c r="H99" s="233">
        <v>33</v>
      </c>
      <c r="K99" s="233" t="s">
        <v>118</v>
      </c>
      <c r="L99" s="233">
        <v>33</v>
      </c>
      <c r="M99" s="233">
        <v>33</v>
      </c>
      <c r="N99" s="233">
        <v>33</v>
      </c>
      <c r="O99" s="233">
        <v>33</v>
      </c>
      <c r="P99" s="233">
        <v>33</v>
      </c>
      <c r="Q99" s="233">
        <v>33</v>
      </c>
      <c r="R99" s="166"/>
    </row>
    <row r="100" spans="2:18" x14ac:dyDescent="0.3">
      <c r="B100" s="233" t="s">
        <v>120</v>
      </c>
      <c r="C100" s="233">
        <v>33</v>
      </c>
      <c r="D100" s="233">
        <v>33</v>
      </c>
      <c r="E100" s="233">
        <v>33</v>
      </c>
      <c r="F100" s="233">
        <v>33</v>
      </c>
      <c r="G100" s="233">
        <v>33</v>
      </c>
      <c r="H100" s="233">
        <v>33</v>
      </c>
      <c r="K100" s="233" t="s">
        <v>120</v>
      </c>
      <c r="L100" s="233">
        <v>33</v>
      </c>
      <c r="M100" s="233">
        <v>33</v>
      </c>
      <c r="N100" s="233">
        <v>33</v>
      </c>
      <c r="O100" s="233">
        <v>33</v>
      </c>
      <c r="P100" s="233">
        <v>33</v>
      </c>
      <c r="Q100" s="233">
        <v>33</v>
      </c>
      <c r="R100" s="166"/>
    </row>
    <row r="101" spans="2:18" x14ac:dyDescent="0.3">
      <c r="B101" s="233" t="s">
        <v>121</v>
      </c>
      <c r="C101" s="233">
        <v>33</v>
      </c>
      <c r="D101" s="233">
        <v>33</v>
      </c>
      <c r="E101" s="233">
        <v>33</v>
      </c>
      <c r="F101" s="233">
        <v>33</v>
      </c>
      <c r="G101" s="233">
        <v>33</v>
      </c>
      <c r="H101" s="233">
        <v>33</v>
      </c>
      <c r="K101" s="233" t="s">
        <v>121</v>
      </c>
      <c r="L101" s="233">
        <v>33</v>
      </c>
      <c r="M101" s="233">
        <v>33</v>
      </c>
      <c r="N101" s="233">
        <v>33</v>
      </c>
      <c r="O101" s="233">
        <v>33</v>
      </c>
      <c r="P101" s="233">
        <v>33</v>
      </c>
      <c r="Q101" s="233">
        <v>33</v>
      </c>
      <c r="R101" s="166"/>
    </row>
    <row r="102" spans="2:18" x14ac:dyDescent="0.3">
      <c r="B102" s="233" t="s">
        <v>122</v>
      </c>
      <c r="C102" s="233">
        <v>33</v>
      </c>
      <c r="D102" s="233">
        <v>33</v>
      </c>
      <c r="E102" s="233">
        <v>33</v>
      </c>
      <c r="F102" s="233">
        <v>33</v>
      </c>
      <c r="G102" s="233">
        <v>33</v>
      </c>
      <c r="H102" s="233">
        <v>33</v>
      </c>
      <c r="K102" s="233" t="s">
        <v>122</v>
      </c>
      <c r="L102" s="233">
        <v>33</v>
      </c>
      <c r="M102" s="233">
        <v>33</v>
      </c>
      <c r="N102" s="233">
        <v>33</v>
      </c>
      <c r="O102" s="233">
        <v>33</v>
      </c>
      <c r="P102" s="233">
        <v>33</v>
      </c>
      <c r="Q102" s="233">
        <v>33</v>
      </c>
      <c r="R102" s="166"/>
    </row>
    <row r="103" spans="2:18" x14ac:dyDescent="0.3">
      <c r="B103" s="233" t="s">
        <v>87</v>
      </c>
      <c r="C103" s="233">
        <v>33</v>
      </c>
      <c r="D103" s="233">
        <v>33</v>
      </c>
      <c r="E103" s="233">
        <v>33</v>
      </c>
      <c r="F103" s="233">
        <v>33</v>
      </c>
      <c r="G103" s="233">
        <v>33</v>
      </c>
      <c r="H103" s="233">
        <v>33</v>
      </c>
      <c r="K103" s="233" t="s">
        <v>87</v>
      </c>
      <c r="L103" s="233">
        <v>33</v>
      </c>
      <c r="M103" s="233">
        <v>33</v>
      </c>
      <c r="N103" s="233">
        <v>33</v>
      </c>
      <c r="O103" s="233">
        <v>33</v>
      </c>
      <c r="P103" s="233">
        <v>33</v>
      </c>
      <c r="Q103" s="233">
        <v>33</v>
      </c>
      <c r="R103" s="166"/>
    </row>
    <row r="104" spans="2:18" x14ac:dyDescent="0.3">
      <c r="B104" s="233" t="s">
        <v>75</v>
      </c>
      <c r="C104" s="233">
        <v>33</v>
      </c>
      <c r="D104" s="233">
        <v>33</v>
      </c>
      <c r="E104" s="233">
        <v>33</v>
      </c>
      <c r="F104" s="233">
        <v>33</v>
      </c>
      <c r="G104" s="233">
        <v>33</v>
      </c>
      <c r="H104" s="233">
        <v>33</v>
      </c>
      <c r="K104" s="233" t="s">
        <v>75</v>
      </c>
      <c r="L104" s="233">
        <v>33</v>
      </c>
      <c r="M104" s="233">
        <v>33</v>
      </c>
      <c r="N104" s="233">
        <v>33</v>
      </c>
      <c r="O104" s="233">
        <v>33</v>
      </c>
      <c r="P104" s="233">
        <v>33</v>
      </c>
      <c r="Q104" s="233">
        <v>33</v>
      </c>
      <c r="R104" s="166"/>
    </row>
    <row r="105" spans="2:18" x14ac:dyDescent="0.3">
      <c r="B105" s="233" t="s">
        <v>63</v>
      </c>
      <c r="C105" s="233">
        <v>33</v>
      </c>
      <c r="D105" s="233">
        <v>33</v>
      </c>
      <c r="E105" s="233">
        <v>33</v>
      </c>
      <c r="F105" s="233">
        <v>33</v>
      </c>
      <c r="G105" s="233">
        <v>33</v>
      </c>
      <c r="H105" s="233">
        <v>33</v>
      </c>
      <c r="K105" s="233" t="s">
        <v>63</v>
      </c>
      <c r="L105" s="233">
        <v>33</v>
      </c>
      <c r="M105" s="233">
        <v>33</v>
      </c>
      <c r="N105" s="233">
        <v>33</v>
      </c>
      <c r="O105" s="233">
        <v>33</v>
      </c>
      <c r="P105" s="233">
        <v>33</v>
      </c>
      <c r="Q105" s="233">
        <v>33</v>
      </c>
      <c r="R105" s="166"/>
    </row>
    <row r="106" spans="2:18" x14ac:dyDescent="0.3">
      <c r="B106" s="233" t="s">
        <v>64</v>
      </c>
      <c r="C106" s="233">
        <v>33</v>
      </c>
      <c r="D106" s="233">
        <v>33</v>
      </c>
      <c r="E106" s="233">
        <v>33</v>
      </c>
      <c r="F106" s="233">
        <v>33</v>
      </c>
      <c r="G106" s="233">
        <v>33</v>
      </c>
      <c r="H106" s="233">
        <v>33</v>
      </c>
      <c r="K106" s="233" t="s">
        <v>64</v>
      </c>
      <c r="L106" s="233">
        <v>33</v>
      </c>
      <c r="M106" s="233">
        <v>33</v>
      </c>
      <c r="N106" s="233">
        <v>33</v>
      </c>
      <c r="O106" s="233">
        <v>33</v>
      </c>
      <c r="P106" s="233">
        <v>33</v>
      </c>
      <c r="Q106" s="233">
        <v>33</v>
      </c>
      <c r="R106" s="166"/>
    </row>
    <row r="107" spans="2:18" x14ac:dyDescent="0.3">
      <c r="M107" s="166"/>
      <c r="N107" s="166"/>
      <c r="O107" s="166"/>
      <c r="P107" s="166"/>
      <c r="Q107" s="166"/>
      <c r="R107" s="166"/>
    </row>
    <row r="108" spans="2:18" x14ac:dyDescent="0.3">
      <c r="B108" s="249" t="s">
        <v>185</v>
      </c>
      <c r="C108" s="249" t="s">
        <v>145</v>
      </c>
      <c r="D108" s="249" t="s">
        <v>146</v>
      </c>
      <c r="E108" s="249" t="s">
        <v>147</v>
      </c>
      <c r="F108" s="249" t="s">
        <v>148</v>
      </c>
      <c r="G108" s="249" t="s">
        <v>149</v>
      </c>
      <c r="H108" s="249" t="s">
        <v>150</v>
      </c>
      <c r="I108" s="249" t="s">
        <v>86</v>
      </c>
      <c r="K108" s="249" t="s">
        <v>185</v>
      </c>
      <c r="L108" s="249" t="s">
        <v>145</v>
      </c>
      <c r="M108" s="249" t="s">
        <v>146</v>
      </c>
      <c r="N108" s="249" t="s">
        <v>147</v>
      </c>
      <c r="O108" s="249" t="s">
        <v>148</v>
      </c>
      <c r="P108" s="249" t="s">
        <v>149</v>
      </c>
      <c r="Q108" s="249" t="s">
        <v>150</v>
      </c>
      <c r="R108" s="249" t="s">
        <v>86</v>
      </c>
    </row>
    <row r="109" spans="2:18" x14ac:dyDescent="0.3">
      <c r="B109" s="250" t="s">
        <v>118</v>
      </c>
      <c r="C109" s="251">
        <f>C13*C35/1000000</f>
        <v>0</v>
      </c>
      <c r="D109" s="251">
        <f t="shared" ref="D109:H109" si="12">D13*D35/1000000</f>
        <v>0</v>
      </c>
      <c r="E109" s="251">
        <f t="shared" si="12"/>
        <v>0</v>
      </c>
      <c r="F109" s="251">
        <f t="shared" si="12"/>
        <v>0</v>
      </c>
      <c r="G109" s="251">
        <f t="shared" si="12"/>
        <v>0</v>
      </c>
      <c r="H109" s="251">
        <f t="shared" si="12"/>
        <v>0</v>
      </c>
      <c r="I109" s="251">
        <f>SUM(C109:H109)</f>
        <v>0</v>
      </c>
      <c r="K109" s="250" t="s">
        <v>118</v>
      </c>
      <c r="L109" s="251">
        <f>L13*L35/1000000</f>
        <v>0</v>
      </c>
      <c r="M109" s="251">
        <f t="shared" ref="M109:Q109" si="13">M13*M35/1000000</f>
        <v>0</v>
      </c>
      <c r="N109" s="251">
        <f t="shared" si="13"/>
        <v>0</v>
      </c>
      <c r="O109" s="251">
        <f t="shared" si="13"/>
        <v>0</v>
      </c>
      <c r="P109" s="251">
        <f t="shared" si="13"/>
        <v>0</v>
      </c>
      <c r="Q109" s="251">
        <f t="shared" si="13"/>
        <v>0</v>
      </c>
      <c r="R109" s="251">
        <f>SUM(L109:Q109)</f>
        <v>0</v>
      </c>
    </row>
    <row r="110" spans="2:18" x14ac:dyDescent="0.3">
      <c r="B110" s="250" t="s">
        <v>120</v>
      </c>
      <c r="C110" s="251">
        <f t="shared" ref="C110:H116" si="14">C14*C36/1000000</f>
        <v>0</v>
      </c>
      <c r="D110" s="251">
        <f t="shared" si="14"/>
        <v>0</v>
      </c>
      <c r="E110" s="251">
        <f t="shared" si="14"/>
        <v>0</v>
      </c>
      <c r="F110" s="251">
        <f t="shared" si="14"/>
        <v>0</v>
      </c>
      <c r="G110" s="251">
        <f t="shared" si="14"/>
        <v>0</v>
      </c>
      <c r="H110" s="251">
        <f t="shared" si="14"/>
        <v>0</v>
      </c>
      <c r="I110" s="251">
        <f t="shared" ref="I110:I116" si="15">SUM(C110:H110)</f>
        <v>0</v>
      </c>
      <c r="K110" s="250" t="s">
        <v>120</v>
      </c>
      <c r="L110" s="251">
        <f t="shared" ref="L110:Q116" si="16">L14*L36/1000000</f>
        <v>0</v>
      </c>
      <c r="M110" s="251">
        <f t="shared" si="16"/>
        <v>0</v>
      </c>
      <c r="N110" s="251">
        <f t="shared" si="16"/>
        <v>0</v>
      </c>
      <c r="O110" s="251">
        <f t="shared" si="16"/>
        <v>0</v>
      </c>
      <c r="P110" s="251">
        <f t="shared" si="16"/>
        <v>0</v>
      </c>
      <c r="Q110" s="251">
        <f t="shared" si="16"/>
        <v>0</v>
      </c>
      <c r="R110" s="251">
        <f t="shared" ref="R110:R116" si="17">SUM(L110:Q110)</f>
        <v>0</v>
      </c>
    </row>
    <row r="111" spans="2:18" x14ac:dyDescent="0.3">
      <c r="B111" s="250" t="s">
        <v>121</v>
      </c>
      <c r="C111" s="251">
        <f t="shared" si="14"/>
        <v>0</v>
      </c>
      <c r="D111" s="251">
        <f t="shared" si="14"/>
        <v>0</v>
      </c>
      <c r="E111" s="251">
        <f t="shared" si="14"/>
        <v>0</v>
      </c>
      <c r="F111" s="251">
        <f t="shared" si="14"/>
        <v>0</v>
      </c>
      <c r="G111" s="251">
        <f t="shared" si="14"/>
        <v>0</v>
      </c>
      <c r="H111" s="251">
        <f t="shared" si="14"/>
        <v>0</v>
      </c>
      <c r="I111" s="251">
        <f t="shared" si="15"/>
        <v>0</v>
      </c>
      <c r="K111" s="250" t="s">
        <v>121</v>
      </c>
      <c r="L111" s="251">
        <f t="shared" si="16"/>
        <v>0</v>
      </c>
      <c r="M111" s="251">
        <f t="shared" si="16"/>
        <v>0</v>
      </c>
      <c r="N111" s="251">
        <f t="shared" si="16"/>
        <v>0</v>
      </c>
      <c r="O111" s="251">
        <f t="shared" si="16"/>
        <v>0</v>
      </c>
      <c r="P111" s="251">
        <f t="shared" si="16"/>
        <v>0</v>
      </c>
      <c r="Q111" s="251">
        <f t="shared" si="16"/>
        <v>0</v>
      </c>
      <c r="R111" s="251">
        <f t="shared" si="17"/>
        <v>0</v>
      </c>
    </row>
    <row r="112" spans="2:18" x14ac:dyDescent="0.3">
      <c r="B112" s="250" t="s">
        <v>122</v>
      </c>
      <c r="C112" s="251">
        <f t="shared" si="14"/>
        <v>0</v>
      </c>
      <c r="D112" s="251">
        <f t="shared" si="14"/>
        <v>0</v>
      </c>
      <c r="E112" s="251">
        <f t="shared" si="14"/>
        <v>0</v>
      </c>
      <c r="F112" s="251">
        <f t="shared" si="14"/>
        <v>0</v>
      </c>
      <c r="G112" s="251">
        <f t="shared" si="14"/>
        <v>0</v>
      </c>
      <c r="H112" s="251">
        <f t="shared" si="14"/>
        <v>0</v>
      </c>
      <c r="I112" s="251">
        <f t="shared" si="15"/>
        <v>0</v>
      </c>
      <c r="K112" s="250" t="s">
        <v>122</v>
      </c>
      <c r="L112" s="251">
        <f t="shared" si="16"/>
        <v>0</v>
      </c>
      <c r="M112" s="251">
        <f t="shared" si="16"/>
        <v>0</v>
      </c>
      <c r="N112" s="251">
        <f t="shared" si="16"/>
        <v>0</v>
      </c>
      <c r="O112" s="251">
        <f t="shared" si="16"/>
        <v>0</v>
      </c>
      <c r="P112" s="251">
        <f t="shared" si="16"/>
        <v>0</v>
      </c>
      <c r="Q112" s="251">
        <f t="shared" si="16"/>
        <v>0</v>
      </c>
      <c r="R112" s="251">
        <f t="shared" si="17"/>
        <v>0</v>
      </c>
    </row>
    <row r="113" spans="2:18" x14ac:dyDescent="0.3">
      <c r="B113" s="250" t="s">
        <v>87</v>
      </c>
      <c r="C113" s="251">
        <f t="shared" si="14"/>
        <v>0</v>
      </c>
      <c r="D113" s="251">
        <f t="shared" si="14"/>
        <v>0</v>
      </c>
      <c r="E113" s="251">
        <f t="shared" si="14"/>
        <v>0</v>
      </c>
      <c r="F113" s="251">
        <f t="shared" si="14"/>
        <v>0</v>
      </c>
      <c r="G113" s="251">
        <f t="shared" si="14"/>
        <v>0</v>
      </c>
      <c r="H113" s="251">
        <f t="shared" si="14"/>
        <v>0</v>
      </c>
      <c r="I113" s="251">
        <f t="shared" si="15"/>
        <v>0</v>
      </c>
      <c r="K113" s="250" t="s">
        <v>87</v>
      </c>
      <c r="L113" s="251">
        <f t="shared" si="16"/>
        <v>0</v>
      </c>
      <c r="M113" s="251">
        <f t="shared" si="16"/>
        <v>0</v>
      </c>
      <c r="N113" s="251">
        <f t="shared" si="16"/>
        <v>0</v>
      </c>
      <c r="O113" s="251">
        <f t="shared" si="16"/>
        <v>0</v>
      </c>
      <c r="P113" s="251">
        <f t="shared" si="16"/>
        <v>0</v>
      </c>
      <c r="Q113" s="251">
        <f t="shared" si="16"/>
        <v>0</v>
      </c>
      <c r="R113" s="251">
        <f t="shared" si="17"/>
        <v>0</v>
      </c>
    </row>
    <row r="114" spans="2:18" x14ac:dyDescent="0.3">
      <c r="B114" s="250" t="s">
        <v>75</v>
      </c>
      <c r="C114" s="251">
        <f t="shared" si="14"/>
        <v>0</v>
      </c>
      <c r="D114" s="251">
        <f t="shared" si="14"/>
        <v>0</v>
      </c>
      <c r="E114" s="251">
        <f t="shared" si="14"/>
        <v>0</v>
      </c>
      <c r="F114" s="251">
        <f t="shared" si="14"/>
        <v>0</v>
      </c>
      <c r="G114" s="251">
        <f t="shared" si="14"/>
        <v>0</v>
      </c>
      <c r="H114" s="251">
        <f t="shared" si="14"/>
        <v>0</v>
      </c>
      <c r="I114" s="251">
        <f t="shared" si="15"/>
        <v>0</v>
      </c>
      <c r="K114" s="250" t="s">
        <v>75</v>
      </c>
      <c r="L114" s="251">
        <f t="shared" si="16"/>
        <v>0</v>
      </c>
      <c r="M114" s="251">
        <f t="shared" si="16"/>
        <v>0</v>
      </c>
      <c r="N114" s="251">
        <f t="shared" si="16"/>
        <v>0</v>
      </c>
      <c r="O114" s="251">
        <f t="shared" si="16"/>
        <v>0</v>
      </c>
      <c r="P114" s="251">
        <f t="shared" si="16"/>
        <v>0</v>
      </c>
      <c r="Q114" s="251">
        <f t="shared" si="16"/>
        <v>0</v>
      </c>
      <c r="R114" s="251">
        <f t="shared" si="17"/>
        <v>0</v>
      </c>
    </row>
    <row r="115" spans="2:18" x14ac:dyDescent="0.3">
      <c r="B115" s="250" t="s">
        <v>63</v>
      </c>
      <c r="C115" s="251">
        <f t="shared" si="14"/>
        <v>0</v>
      </c>
      <c r="D115" s="251">
        <f t="shared" si="14"/>
        <v>0</v>
      </c>
      <c r="E115" s="251">
        <f t="shared" si="14"/>
        <v>0</v>
      </c>
      <c r="F115" s="251">
        <f t="shared" si="14"/>
        <v>0</v>
      </c>
      <c r="G115" s="251">
        <f t="shared" si="14"/>
        <v>0</v>
      </c>
      <c r="H115" s="251">
        <f t="shared" si="14"/>
        <v>0</v>
      </c>
      <c r="I115" s="251">
        <f t="shared" si="15"/>
        <v>0</v>
      </c>
      <c r="K115" s="250" t="s">
        <v>63</v>
      </c>
      <c r="L115" s="251">
        <f t="shared" si="16"/>
        <v>0</v>
      </c>
      <c r="M115" s="251">
        <f t="shared" si="16"/>
        <v>0</v>
      </c>
      <c r="N115" s="251">
        <f t="shared" si="16"/>
        <v>0</v>
      </c>
      <c r="O115" s="251">
        <f t="shared" si="16"/>
        <v>0</v>
      </c>
      <c r="P115" s="251">
        <f t="shared" si="16"/>
        <v>0</v>
      </c>
      <c r="Q115" s="251">
        <f t="shared" si="16"/>
        <v>0</v>
      </c>
      <c r="R115" s="251">
        <f t="shared" si="17"/>
        <v>0</v>
      </c>
    </row>
    <row r="116" spans="2:18" x14ac:dyDescent="0.3">
      <c r="B116" s="250" t="s">
        <v>64</v>
      </c>
      <c r="C116" s="251">
        <f t="shared" si="14"/>
        <v>0</v>
      </c>
      <c r="D116" s="251">
        <f t="shared" si="14"/>
        <v>0</v>
      </c>
      <c r="E116" s="251">
        <f t="shared" si="14"/>
        <v>0</v>
      </c>
      <c r="F116" s="251">
        <f t="shared" si="14"/>
        <v>0</v>
      </c>
      <c r="G116" s="251">
        <f t="shared" si="14"/>
        <v>0</v>
      </c>
      <c r="H116" s="251">
        <f t="shared" si="14"/>
        <v>0</v>
      </c>
      <c r="I116" s="251">
        <f t="shared" si="15"/>
        <v>0</v>
      </c>
      <c r="K116" s="250" t="s">
        <v>64</v>
      </c>
      <c r="L116" s="251">
        <f t="shared" si="16"/>
        <v>0</v>
      </c>
      <c r="M116" s="251">
        <f t="shared" si="16"/>
        <v>0</v>
      </c>
      <c r="N116" s="251">
        <f t="shared" si="16"/>
        <v>0</v>
      </c>
      <c r="O116" s="251">
        <f t="shared" si="16"/>
        <v>0</v>
      </c>
      <c r="P116" s="251">
        <f t="shared" si="16"/>
        <v>0</v>
      </c>
      <c r="Q116" s="251">
        <f t="shared" si="16"/>
        <v>0</v>
      </c>
      <c r="R116" s="251">
        <f t="shared" si="17"/>
        <v>0</v>
      </c>
    </row>
    <row r="117" spans="2:18" x14ac:dyDescent="0.3">
      <c r="B117" s="249" t="s">
        <v>186</v>
      </c>
      <c r="C117" s="252" t="s">
        <v>145</v>
      </c>
      <c r="D117" s="252" t="s">
        <v>146</v>
      </c>
      <c r="E117" s="252" t="s">
        <v>147</v>
      </c>
      <c r="F117" s="252" t="s">
        <v>148</v>
      </c>
      <c r="G117" s="252" t="s">
        <v>149</v>
      </c>
      <c r="H117" s="252" t="s">
        <v>150</v>
      </c>
      <c r="I117" s="252" t="s">
        <v>86</v>
      </c>
      <c r="K117" s="249" t="s">
        <v>186</v>
      </c>
      <c r="L117" s="252" t="s">
        <v>145</v>
      </c>
      <c r="M117" s="252" t="s">
        <v>146</v>
      </c>
      <c r="N117" s="252" t="s">
        <v>147</v>
      </c>
      <c r="O117" s="252" t="s">
        <v>148</v>
      </c>
      <c r="P117" s="252" t="s">
        <v>149</v>
      </c>
      <c r="Q117" s="252" t="s">
        <v>150</v>
      </c>
      <c r="R117" s="252" t="s">
        <v>86</v>
      </c>
    </row>
    <row r="118" spans="2:18" x14ac:dyDescent="0.3">
      <c r="B118" s="250" t="s">
        <v>118</v>
      </c>
      <c r="C118" s="251">
        <f>C13*C44/1000000</f>
        <v>0</v>
      </c>
      <c r="D118" s="251">
        <f t="shared" ref="D118:H118" si="18">D13*D44/1000000</f>
        <v>0</v>
      </c>
      <c r="E118" s="251">
        <f t="shared" si="18"/>
        <v>0</v>
      </c>
      <c r="F118" s="251">
        <f t="shared" si="18"/>
        <v>0</v>
      </c>
      <c r="G118" s="251">
        <f t="shared" si="18"/>
        <v>0</v>
      </c>
      <c r="H118" s="251">
        <f t="shared" si="18"/>
        <v>0</v>
      </c>
      <c r="I118" s="251">
        <f>SUM(C118:H118)</f>
        <v>0</v>
      </c>
      <c r="K118" s="250" t="s">
        <v>118</v>
      </c>
      <c r="L118" s="251">
        <f>L13*L44/1000000</f>
        <v>0</v>
      </c>
      <c r="M118" s="251">
        <f t="shared" ref="M118:Q118" si="19">M13*M44/1000000</f>
        <v>0</v>
      </c>
      <c r="N118" s="251">
        <f t="shared" si="19"/>
        <v>0</v>
      </c>
      <c r="O118" s="251">
        <f t="shared" si="19"/>
        <v>0</v>
      </c>
      <c r="P118" s="251">
        <f t="shared" si="19"/>
        <v>0</v>
      </c>
      <c r="Q118" s="251">
        <f t="shared" si="19"/>
        <v>0</v>
      </c>
      <c r="R118" s="251">
        <f>SUM(L118:Q118)</f>
        <v>0</v>
      </c>
    </row>
    <row r="119" spans="2:18" x14ac:dyDescent="0.3">
      <c r="B119" s="250" t="s">
        <v>120</v>
      </c>
      <c r="C119" s="251">
        <f t="shared" ref="C119:H125" si="20">C14*C45/1000000</f>
        <v>0</v>
      </c>
      <c r="D119" s="251">
        <f t="shared" si="20"/>
        <v>0</v>
      </c>
      <c r="E119" s="251">
        <f t="shared" si="20"/>
        <v>0</v>
      </c>
      <c r="F119" s="251">
        <f t="shared" si="20"/>
        <v>0</v>
      </c>
      <c r="G119" s="251">
        <f t="shared" si="20"/>
        <v>0</v>
      </c>
      <c r="H119" s="251">
        <f t="shared" si="20"/>
        <v>0</v>
      </c>
      <c r="I119" s="251">
        <f t="shared" ref="I119:I125" si="21">SUM(C119:H119)</f>
        <v>0</v>
      </c>
      <c r="K119" s="250" t="s">
        <v>120</v>
      </c>
      <c r="L119" s="251">
        <f t="shared" ref="L119:Q125" si="22">L14*L45/1000000</f>
        <v>0</v>
      </c>
      <c r="M119" s="251">
        <f t="shared" si="22"/>
        <v>0</v>
      </c>
      <c r="N119" s="251">
        <f t="shared" si="22"/>
        <v>0</v>
      </c>
      <c r="O119" s="251">
        <f t="shared" si="22"/>
        <v>0</v>
      </c>
      <c r="P119" s="251">
        <f t="shared" si="22"/>
        <v>0</v>
      </c>
      <c r="Q119" s="251">
        <f t="shared" si="22"/>
        <v>0</v>
      </c>
      <c r="R119" s="251">
        <f t="shared" ref="R119:R125" si="23">SUM(L119:Q119)</f>
        <v>0</v>
      </c>
    </row>
    <row r="120" spans="2:18" x14ac:dyDescent="0.3">
      <c r="B120" s="250" t="s">
        <v>121</v>
      </c>
      <c r="C120" s="251">
        <f t="shared" si="20"/>
        <v>0</v>
      </c>
      <c r="D120" s="251">
        <f t="shared" si="20"/>
        <v>0</v>
      </c>
      <c r="E120" s="251">
        <f t="shared" si="20"/>
        <v>0</v>
      </c>
      <c r="F120" s="251">
        <f t="shared" si="20"/>
        <v>0</v>
      </c>
      <c r="G120" s="251">
        <f t="shared" si="20"/>
        <v>0</v>
      </c>
      <c r="H120" s="251">
        <f t="shared" si="20"/>
        <v>0</v>
      </c>
      <c r="I120" s="251">
        <f t="shared" si="21"/>
        <v>0</v>
      </c>
      <c r="K120" s="250" t="s">
        <v>121</v>
      </c>
      <c r="L120" s="251">
        <f t="shared" si="22"/>
        <v>0</v>
      </c>
      <c r="M120" s="251">
        <f t="shared" si="22"/>
        <v>0</v>
      </c>
      <c r="N120" s="251">
        <f t="shared" si="22"/>
        <v>0</v>
      </c>
      <c r="O120" s="251">
        <f t="shared" si="22"/>
        <v>0</v>
      </c>
      <c r="P120" s="251">
        <f t="shared" si="22"/>
        <v>0</v>
      </c>
      <c r="Q120" s="251">
        <f t="shared" si="22"/>
        <v>0</v>
      </c>
      <c r="R120" s="251">
        <f t="shared" si="23"/>
        <v>0</v>
      </c>
    </row>
    <row r="121" spans="2:18" x14ac:dyDescent="0.3">
      <c r="B121" s="250" t="s">
        <v>122</v>
      </c>
      <c r="C121" s="251">
        <f t="shared" si="20"/>
        <v>0</v>
      </c>
      <c r="D121" s="251">
        <f t="shared" si="20"/>
        <v>0</v>
      </c>
      <c r="E121" s="251">
        <f t="shared" si="20"/>
        <v>0</v>
      </c>
      <c r="F121" s="251">
        <f t="shared" si="20"/>
        <v>0</v>
      </c>
      <c r="G121" s="251">
        <f t="shared" si="20"/>
        <v>0</v>
      </c>
      <c r="H121" s="251">
        <f t="shared" si="20"/>
        <v>0</v>
      </c>
      <c r="I121" s="251">
        <f t="shared" si="21"/>
        <v>0</v>
      </c>
      <c r="K121" s="250" t="s">
        <v>122</v>
      </c>
      <c r="L121" s="251">
        <f t="shared" si="22"/>
        <v>0</v>
      </c>
      <c r="M121" s="251">
        <f t="shared" si="22"/>
        <v>0</v>
      </c>
      <c r="N121" s="251">
        <f t="shared" si="22"/>
        <v>0</v>
      </c>
      <c r="O121" s="251">
        <f t="shared" si="22"/>
        <v>0</v>
      </c>
      <c r="P121" s="251">
        <f t="shared" si="22"/>
        <v>0</v>
      </c>
      <c r="Q121" s="251">
        <f t="shared" si="22"/>
        <v>0</v>
      </c>
      <c r="R121" s="251">
        <f t="shared" si="23"/>
        <v>0</v>
      </c>
    </row>
    <row r="122" spans="2:18" x14ac:dyDescent="0.3">
      <c r="B122" s="250" t="s">
        <v>87</v>
      </c>
      <c r="C122" s="251">
        <f t="shared" si="20"/>
        <v>0</v>
      </c>
      <c r="D122" s="251">
        <f t="shared" si="20"/>
        <v>0</v>
      </c>
      <c r="E122" s="251">
        <f t="shared" si="20"/>
        <v>0</v>
      </c>
      <c r="F122" s="251">
        <f t="shared" si="20"/>
        <v>0</v>
      </c>
      <c r="G122" s="251">
        <f t="shared" si="20"/>
        <v>0</v>
      </c>
      <c r="H122" s="251">
        <f t="shared" si="20"/>
        <v>0</v>
      </c>
      <c r="I122" s="251">
        <f t="shared" si="21"/>
        <v>0</v>
      </c>
      <c r="K122" s="250" t="s">
        <v>87</v>
      </c>
      <c r="L122" s="251">
        <f t="shared" si="22"/>
        <v>0</v>
      </c>
      <c r="M122" s="251">
        <f t="shared" si="22"/>
        <v>0</v>
      </c>
      <c r="N122" s="251">
        <f t="shared" si="22"/>
        <v>0</v>
      </c>
      <c r="O122" s="251">
        <f t="shared" si="22"/>
        <v>0</v>
      </c>
      <c r="P122" s="251">
        <f t="shared" si="22"/>
        <v>0</v>
      </c>
      <c r="Q122" s="251">
        <f t="shared" si="22"/>
        <v>0</v>
      </c>
      <c r="R122" s="251">
        <f t="shared" si="23"/>
        <v>0</v>
      </c>
    </row>
    <row r="123" spans="2:18" x14ac:dyDescent="0.3">
      <c r="B123" s="250" t="s">
        <v>75</v>
      </c>
      <c r="C123" s="251">
        <f t="shared" si="20"/>
        <v>0</v>
      </c>
      <c r="D123" s="251">
        <f t="shared" si="20"/>
        <v>0</v>
      </c>
      <c r="E123" s="251">
        <f t="shared" si="20"/>
        <v>0</v>
      </c>
      <c r="F123" s="251">
        <f t="shared" si="20"/>
        <v>0</v>
      </c>
      <c r="G123" s="251">
        <f t="shared" si="20"/>
        <v>0</v>
      </c>
      <c r="H123" s="251">
        <f t="shared" si="20"/>
        <v>0</v>
      </c>
      <c r="I123" s="251">
        <f t="shared" si="21"/>
        <v>0</v>
      </c>
      <c r="K123" s="250" t="s">
        <v>75</v>
      </c>
      <c r="L123" s="251">
        <f t="shared" si="22"/>
        <v>0</v>
      </c>
      <c r="M123" s="251">
        <f t="shared" si="22"/>
        <v>0</v>
      </c>
      <c r="N123" s="251">
        <f t="shared" si="22"/>
        <v>0</v>
      </c>
      <c r="O123" s="251">
        <f t="shared" si="22"/>
        <v>0</v>
      </c>
      <c r="P123" s="251">
        <f t="shared" si="22"/>
        <v>0</v>
      </c>
      <c r="Q123" s="251">
        <f t="shared" si="22"/>
        <v>0</v>
      </c>
      <c r="R123" s="251">
        <f t="shared" si="23"/>
        <v>0</v>
      </c>
    </row>
    <row r="124" spans="2:18" x14ac:dyDescent="0.3">
      <c r="B124" s="250" t="s">
        <v>63</v>
      </c>
      <c r="C124" s="251">
        <f t="shared" si="20"/>
        <v>0</v>
      </c>
      <c r="D124" s="251">
        <f t="shared" si="20"/>
        <v>0</v>
      </c>
      <c r="E124" s="251">
        <f t="shared" si="20"/>
        <v>0</v>
      </c>
      <c r="F124" s="251">
        <f t="shared" si="20"/>
        <v>0</v>
      </c>
      <c r="G124" s="251">
        <f t="shared" si="20"/>
        <v>0</v>
      </c>
      <c r="H124" s="251">
        <f t="shared" si="20"/>
        <v>0</v>
      </c>
      <c r="I124" s="251">
        <f t="shared" si="21"/>
        <v>0</v>
      </c>
      <c r="K124" s="250" t="s">
        <v>63</v>
      </c>
      <c r="L124" s="251">
        <f t="shared" si="22"/>
        <v>0</v>
      </c>
      <c r="M124" s="251">
        <f t="shared" si="22"/>
        <v>0</v>
      </c>
      <c r="N124" s="251">
        <f t="shared" si="22"/>
        <v>0</v>
      </c>
      <c r="O124" s="251">
        <f t="shared" si="22"/>
        <v>0</v>
      </c>
      <c r="P124" s="251">
        <f t="shared" si="22"/>
        <v>0</v>
      </c>
      <c r="Q124" s="251">
        <f t="shared" si="22"/>
        <v>0</v>
      </c>
      <c r="R124" s="251">
        <f t="shared" si="23"/>
        <v>0</v>
      </c>
    </row>
    <row r="125" spans="2:18" x14ac:dyDescent="0.3">
      <c r="B125" s="250" t="s">
        <v>64</v>
      </c>
      <c r="C125" s="251">
        <f t="shared" si="20"/>
        <v>0</v>
      </c>
      <c r="D125" s="251">
        <f t="shared" si="20"/>
        <v>0</v>
      </c>
      <c r="E125" s="251">
        <f t="shared" si="20"/>
        <v>0</v>
      </c>
      <c r="F125" s="251">
        <f t="shared" si="20"/>
        <v>0</v>
      </c>
      <c r="G125" s="251">
        <f t="shared" si="20"/>
        <v>0</v>
      </c>
      <c r="H125" s="251">
        <f t="shared" si="20"/>
        <v>0</v>
      </c>
      <c r="I125" s="251">
        <f t="shared" si="21"/>
        <v>0</v>
      </c>
      <c r="K125" s="250" t="s">
        <v>64</v>
      </c>
      <c r="L125" s="251">
        <f t="shared" si="22"/>
        <v>0</v>
      </c>
      <c r="M125" s="251">
        <f t="shared" si="22"/>
        <v>0</v>
      </c>
      <c r="N125" s="251">
        <f t="shared" si="22"/>
        <v>0</v>
      </c>
      <c r="O125" s="251">
        <f t="shared" si="22"/>
        <v>0</v>
      </c>
      <c r="P125" s="251">
        <f t="shared" si="22"/>
        <v>0</v>
      </c>
      <c r="Q125" s="251">
        <f t="shared" si="22"/>
        <v>0</v>
      </c>
      <c r="R125" s="251">
        <f t="shared" si="23"/>
        <v>0</v>
      </c>
    </row>
    <row r="126" spans="2:18" x14ac:dyDescent="0.3">
      <c r="B126" s="249" t="s">
        <v>187</v>
      </c>
      <c r="C126" s="252" t="s">
        <v>145</v>
      </c>
      <c r="D126" s="252" t="s">
        <v>146</v>
      </c>
      <c r="E126" s="252" t="s">
        <v>147</v>
      </c>
      <c r="F126" s="252" t="s">
        <v>148</v>
      </c>
      <c r="G126" s="252" t="s">
        <v>149</v>
      </c>
      <c r="H126" s="252" t="s">
        <v>150</v>
      </c>
      <c r="I126" s="252" t="s">
        <v>86</v>
      </c>
      <c r="K126" s="249" t="s">
        <v>187</v>
      </c>
      <c r="L126" s="252" t="s">
        <v>145</v>
      </c>
      <c r="M126" s="252" t="s">
        <v>146</v>
      </c>
      <c r="N126" s="252" t="s">
        <v>147</v>
      </c>
      <c r="O126" s="252" t="s">
        <v>148</v>
      </c>
      <c r="P126" s="252" t="s">
        <v>149</v>
      </c>
      <c r="Q126" s="252" t="s">
        <v>150</v>
      </c>
      <c r="R126" s="252" t="s">
        <v>86</v>
      </c>
    </row>
    <row r="127" spans="2:18" x14ac:dyDescent="0.3">
      <c r="B127" s="250" t="s">
        <v>118</v>
      </c>
      <c r="C127" s="251">
        <f>C13*C53/1000000</f>
        <v>0</v>
      </c>
      <c r="D127" s="251">
        <f t="shared" ref="D127:H127" si="24">D13*D53/1000000</f>
        <v>0</v>
      </c>
      <c r="E127" s="251">
        <f t="shared" si="24"/>
        <v>0</v>
      </c>
      <c r="F127" s="251">
        <f t="shared" si="24"/>
        <v>0</v>
      </c>
      <c r="G127" s="251">
        <f t="shared" si="24"/>
        <v>0</v>
      </c>
      <c r="H127" s="251">
        <f t="shared" si="24"/>
        <v>0</v>
      </c>
      <c r="I127" s="251">
        <f>SUM(C127:H127)</f>
        <v>0</v>
      </c>
      <c r="K127" s="250" t="s">
        <v>118</v>
      </c>
      <c r="L127" s="251">
        <f>L13*L53/1000000</f>
        <v>0</v>
      </c>
      <c r="M127" s="251">
        <f t="shared" ref="M127:Q127" si="25">M13*M53/1000000</f>
        <v>0</v>
      </c>
      <c r="N127" s="251">
        <f t="shared" si="25"/>
        <v>0</v>
      </c>
      <c r="O127" s="251">
        <f t="shared" si="25"/>
        <v>0</v>
      </c>
      <c r="P127" s="251">
        <f t="shared" si="25"/>
        <v>0</v>
      </c>
      <c r="Q127" s="251">
        <f t="shared" si="25"/>
        <v>0</v>
      </c>
      <c r="R127" s="251">
        <f>SUM(L127:Q127)</f>
        <v>0</v>
      </c>
    </row>
    <row r="128" spans="2:18" x14ac:dyDescent="0.3">
      <c r="B128" s="250" t="s">
        <v>120</v>
      </c>
      <c r="C128" s="251">
        <f t="shared" ref="C128:H134" si="26">C14*C54/1000000</f>
        <v>0</v>
      </c>
      <c r="D128" s="251">
        <f t="shared" si="26"/>
        <v>0</v>
      </c>
      <c r="E128" s="251">
        <f t="shared" si="26"/>
        <v>0</v>
      </c>
      <c r="F128" s="251">
        <f t="shared" si="26"/>
        <v>0</v>
      </c>
      <c r="G128" s="251">
        <f t="shared" si="26"/>
        <v>0</v>
      </c>
      <c r="H128" s="251">
        <f t="shared" si="26"/>
        <v>0</v>
      </c>
      <c r="I128" s="251">
        <f t="shared" ref="I128:I134" si="27">SUM(C128:H128)</f>
        <v>0</v>
      </c>
      <c r="K128" s="250" t="s">
        <v>120</v>
      </c>
      <c r="L128" s="251">
        <f t="shared" ref="L128:Q134" si="28">L14*L54/1000000</f>
        <v>0</v>
      </c>
      <c r="M128" s="251">
        <f t="shared" si="28"/>
        <v>0</v>
      </c>
      <c r="N128" s="251">
        <f t="shared" si="28"/>
        <v>0</v>
      </c>
      <c r="O128" s="251">
        <f t="shared" si="28"/>
        <v>0</v>
      </c>
      <c r="P128" s="251">
        <f t="shared" si="28"/>
        <v>0</v>
      </c>
      <c r="Q128" s="251">
        <f t="shared" si="28"/>
        <v>0</v>
      </c>
      <c r="R128" s="251">
        <f t="shared" ref="R128:R134" si="29">SUM(L128:Q128)</f>
        <v>0</v>
      </c>
    </row>
    <row r="129" spans="2:18" x14ac:dyDescent="0.3">
      <c r="B129" s="250" t="s">
        <v>121</v>
      </c>
      <c r="C129" s="251">
        <f t="shared" si="26"/>
        <v>0</v>
      </c>
      <c r="D129" s="251">
        <f t="shared" si="26"/>
        <v>0</v>
      </c>
      <c r="E129" s="251">
        <f t="shared" si="26"/>
        <v>0</v>
      </c>
      <c r="F129" s="251">
        <f t="shared" si="26"/>
        <v>0</v>
      </c>
      <c r="G129" s="251">
        <f t="shared" si="26"/>
        <v>0</v>
      </c>
      <c r="H129" s="251">
        <f t="shared" si="26"/>
        <v>0</v>
      </c>
      <c r="I129" s="251">
        <f t="shared" si="27"/>
        <v>0</v>
      </c>
      <c r="K129" s="250" t="s">
        <v>121</v>
      </c>
      <c r="L129" s="251">
        <f t="shared" si="28"/>
        <v>0</v>
      </c>
      <c r="M129" s="251">
        <f t="shared" si="28"/>
        <v>0</v>
      </c>
      <c r="N129" s="251">
        <f t="shared" si="28"/>
        <v>0</v>
      </c>
      <c r="O129" s="251">
        <f t="shared" si="28"/>
        <v>0</v>
      </c>
      <c r="P129" s="251">
        <f t="shared" si="28"/>
        <v>0</v>
      </c>
      <c r="Q129" s="251">
        <f t="shared" si="28"/>
        <v>0</v>
      </c>
      <c r="R129" s="251">
        <f t="shared" si="29"/>
        <v>0</v>
      </c>
    </row>
    <row r="130" spans="2:18" x14ac:dyDescent="0.3">
      <c r="B130" s="250" t="s">
        <v>122</v>
      </c>
      <c r="C130" s="251">
        <f t="shared" si="26"/>
        <v>0</v>
      </c>
      <c r="D130" s="251">
        <f t="shared" si="26"/>
        <v>0</v>
      </c>
      <c r="E130" s="251">
        <f t="shared" si="26"/>
        <v>0</v>
      </c>
      <c r="F130" s="251">
        <f t="shared" si="26"/>
        <v>0</v>
      </c>
      <c r="G130" s="251">
        <f t="shared" si="26"/>
        <v>0</v>
      </c>
      <c r="H130" s="251">
        <f t="shared" si="26"/>
        <v>0</v>
      </c>
      <c r="I130" s="251">
        <f t="shared" si="27"/>
        <v>0</v>
      </c>
      <c r="K130" s="250" t="s">
        <v>122</v>
      </c>
      <c r="L130" s="251">
        <f t="shared" si="28"/>
        <v>0</v>
      </c>
      <c r="M130" s="251">
        <f t="shared" si="28"/>
        <v>0</v>
      </c>
      <c r="N130" s="251">
        <f t="shared" si="28"/>
        <v>0</v>
      </c>
      <c r="O130" s="251">
        <f t="shared" si="28"/>
        <v>0</v>
      </c>
      <c r="P130" s="251">
        <f t="shared" si="28"/>
        <v>0</v>
      </c>
      <c r="Q130" s="251">
        <f t="shared" si="28"/>
        <v>0</v>
      </c>
      <c r="R130" s="251">
        <f t="shared" si="29"/>
        <v>0</v>
      </c>
    </row>
    <row r="131" spans="2:18" x14ac:dyDescent="0.3">
      <c r="B131" s="250" t="s">
        <v>87</v>
      </c>
      <c r="C131" s="251">
        <f t="shared" si="26"/>
        <v>0</v>
      </c>
      <c r="D131" s="251">
        <f t="shared" si="26"/>
        <v>0</v>
      </c>
      <c r="E131" s="251">
        <f t="shared" si="26"/>
        <v>0</v>
      </c>
      <c r="F131" s="251">
        <f t="shared" si="26"/>
        <v>0</v>
      </c>
      <c r="G131" s="251">
        <f t="shared" si="26"/>
        <v>0</v>
      </c>
      <c r="H131" s="251">
        <f t="shared" si="26"/>
        <v>0</v>
      </c>
      <c r="I131" s="251">
        <f t="shared" si="27"/>
        <v>0</v>
      </c>
      <c r="K131" s="250" t="s">
        <v>87</v>
      </c>
      <c r="L131" s="251">
        <f t="shared" si="28"/>
        <v>0</v>
      </c>
      <c r="M131" s="251">
        <f t="shared" si="28"/>
        <v>0</v>
      </c>
      <c r="N131" s="251">
        <f t="shared" si="28"/>
        <v>0</v>
      </c>
      <c r="O131" s="251">
        <f t="shared" si="28"/>
        <v>0</v>
      </c>
      <c r="P131" s="251">
        <f t="shared" si="28"/>
        <v>0</v>
      </c>
      <c r="Q131" s="251">
        <f t="shared" si="28"/>
        <v>0</v>
      </c>
      <c r="R131" s="251">
        <f t="shared" si="29"/>
        <v>0</v>
      </c>
    </row>
    <row r="132" spans="2:18" x14ac:dyDescent="0.3">
      <c r="B132" s="250" t="s">
        <v>75</v>
      </c>
      <c r="C132" s="251">
        <f t="shared" si="26"/>
        <v>0</v>
      </c>
      <c r="D132" s="251">
        <f t="shared" si="26"/>
        <v>0</v>
      </c>
      <c r="E132" s="251">
        <f t="shared" si="26"/>
        <v>0</v>
      </c>
      <c r="F132" s="251">
        <f t="shared" si="26"/>
        <v>0</v>
      </c>
      <c r="G132" s="251">
        <f t="shared" si="26"/>
        <v>0</v>
      </c>
      <c r="H132" s="251">
        <f t="shared" si="26"/>
        <v>0</v>
      </c>
      <c r="I132" s="251">
        <f t="shared" si="27"/>
        <v>0</v>
      </c>
      <c r="K132" s="250" t="s">
        <v>75</v>
      </c>
      <c r="L132" s="251">
        <f t="shared" si="28"/>
        <v>0</v>
      </c>
      <c r="M132" s="251">
        <f t="shared" si="28"/>
        <v>0</v>
      </c>
      <c r="N132" s="251">
        <f t="shared" si="28"/>
        <v>0</v>
      </c>
      <c r="O132" s="251">
        <f t="shared" si="28"/>
        <v>0</v>
      </c>
      <c r="P132" s="251">
        <f t="shared" si="28"/>
        <v>0</v>
      </c>
      <c r="Q132" s="251">
        <f t="shared" si="28"/>
        <v>0</v>
      </c>
      <c r="R132" s="251">
        <f t="shared" si="29"/>
        <v>0</v>
      </c>
    </row>
    <row r="133" spans="2:18" x14ac:dyDescent="0.3">
      <c r="B133" s="250" t="s">
        <v>63</v>
      </c>
      <c r="C133" s="251">
        <f t="shared" si="26"/>
        <v>0</v>
      </c>
      <c r="D133" s="251">
        <f t="shared" si="26"/>
        <v>0</v>
      </c>
      <c r="E133" s="251">
        <f t="shared" si="26"/>
        <v>0</v>
      </c>
      <c r="F133" s="251">
        <f t="shared" si="26"/>
        <v>0</v>
      </c>
      <c r="G133" s="251">
        <f t="shared" si="26"/>
        <v>0</v>
      </c>
      <c r="H133" s="251">
        <f t="shared" si="26"/>
        <v>0</v>
      </c>
      <c r="I133" s="251">
        <f t="shared" si="27"/>
        <v>0</v>
      </c>
      <c r="K133" s="250" t="s">
        <v>63</v>
      </c>
      <c r="L133" s="251">
        <f t="shared" si="28"/>
        <v>0</v>
      </c>
      <c r="M133" s="251">
        <f t="shared" si="28"/>
        <v>0</v>
      </c>
      <c r="N133" s="251">
        <f t="shared" si="28"/>
        <v>0</v>
      </c>
      <c r="O133" s="251">
        <f t="shared" si="28"/>
        <v>0</v>
      </c>
      <c r="P133" s="251">
        <f t="shared" si="28"/>
        <v>0</v>
      </c>
      <c r="Q133" s="251">
        <f t="shared" si="28"/>
        <v>0</v>
      </c>
      <c r="R133" s="251">
        <f t="shared" si="29"/>
        <v>0</v>
      </c>
    </row>
    <row r="134" spans="2:18" x14ac:dyDescent="0.3">
      <c r="B134" s="250" t="s">
        <v>64</v>
      </c>
      <c r="C134" s="251">
        <f t="shared" si="26"/>
        <v>0</v>
      </c>
      <c r="D134" s="251">
        <f t="shared" si="26"/>
        <v>0</v>
      </c>
      <c r="E134" s="251">
        <f t="shared" si="26"/>
        <v>0</v>
      </c>
      <c r="F134" s="251">
        <f t="shared" si="26"/>
        <v>0</v>
      </c>
      <c r="G134" s="251">
        <f t="shared" si="26"/>
        <v>0</v>
      </c>
      <c r="H134" s="251">
        <f t="shared" si="26"/>
        <v>0</v>
      </c>
      <c r="I134" s="251">
        <f t="shared" si="27"/>
        <v>0</v>
      </c>
      <c r="K134" s="250" t="s">
        <v>64</v>
      </c>
      <c r="L134" s="251">
        <f t="shared" si="28"/>
        <v>0</v>
      </c>
      <c r="M134" s="251">
        <f t="shared" si="28"/>
        <v>0</v>
      </c>
      <c r="N134" s="251">
        <f t="shared" si="28"/>
        <v>0</v>
      </c>
      <c r="O134" s="251">
        <f t="shared" si="28"/>
        <v>0</v>
      </c>
      <c r="P134" s="251">
        <f t="shared" si="28"/>
        <v>0</v>
      </c>
      <c r="Q134" s="251">
        <f t="shared" si="28"/>
        <v>0</v>
      </c>
      <c r="R134" s="251">
        <f t="shared" si="29"/>
        <v>0</v>
      </c>
    </row>
    <row r="135" spans="2:18" x14ac:dyDescent="0.3">
      <c r="B135" s="249" t="s">
        <v>188</v>
      </c>
      <c r="C135" s="252" t="s">
        <v>145</v>
      </c>
      <c r="D135" s="252" t="s">
        <v>146</v>
      </c>
      <c r="E135" s="252" t="s">
        <v>147</v>
      </c>
      <c r="F135" s="252" t="s">
        <v>148</v>
      </c>
      <c r="G135" s="252" t="s">
        <v>149</v>
      </c>
      <c r="H135" s="252" t="s">
        <v>150</v>
      </c>
      <c r="I135" s="252" t="s">
        <v>86</v>
      </c>
      <c r="K135" s="249" t="s">
        <v>188</v>
      </c>
      <c r="L135" s="252" t="s">
        <v>145</v>
      </c>
      <c r="M135" s="252" t="s">
        <v>146</v>
      </c>
      <c r="N135" s="252" t="s">
        <v>147</v>
      </c>
      <c r="O135" s="252" t="s">
        <v>148</v>
      </c>
      <c r="P135" s="252" t="s">
        <v>149</v>
      </c>
      <c r="Q135" s="252" t="s">
        <v>150</v>
      </c>
      <c r="R135" s="252" t="s">
        <v>86</v>
      </c>
    </row>
    <row r="136" spans="2:18" x14ac:dyDescent="0.3">
      <c r="B136" s="250" t="s">
        <v>118</v>
      </c>
      <c r="C136" s="251">
        <f>C13*C62/1000000</f>
        <v>0</v>
      </c>
      <c r="D136" s="251">
        <f t="shared" ref="D136:H136" si="30">D13*D62/1000000</f>
        <v>0</v>
      </c>
      <c r="E136" s="251">
        <f t="shared" si="30"/>
        <v>0</v>
      </c>
      <c r="F136" s="251">
        <f t="shared" si="30"/>
        <v>0</v>
      </c>
      <c r="G136" s="251">
        <f t="shared" si="30"/>
        <v>0</v>
      </c>
      <c r="H136" s="251">
        <f t="shared" si="30"/>
        <v>0</v>
      </c>
      <c r="I136" s="251">
        <f>SUM(C136:H136)</f>
        <v>0</v>
      </c>
      <c r="K136" s="250" t="s">
        <v>118</v>
      </c>
      <c r="L136" s="251">
        <f>L13*L62/1000000</f>
        <v>0</v>
      </c>
      <c r="M136" s="251">
        <f t="shared" ref="M136:Q136" si="31">M13*M62/1000000</f>
        <v>0</v>
      </c>
      <c r="N136" s="251">
        <f t="shared" si="31"/>
        <v>0</v>
      </c>
      <c r="O136" s="251">
        <f t="shared" si="31"/>
        <v>0</v>
      </c>
      <c r="P136" s="251">
        <f t="shared" si="31"/>
        <v>0</v>
      </c>
      <c r="Q136" s="251">
        <f t="shared" si="31"/>
        <v>0</v>
      </c>
      <c r="R136" s="251">
        <f>SUM(L136:Q136)</f>
        <v>0</v>
      </c>
    </row>
    <row r="137" spans="2:18" x14ac:dyDescent="0.3">
      <c r="B137" s="250" t="s">
        <v>120</v>
      </c>
      <c r="C137" s="251">
        <f t="shared" ref="C137:H142" si="32">C14*C63/1000000</f>
        <v>0</v>
      </c>
      <c r="D137" s="251">
        <f t="shared" si="32"/>
        <v>0</v>
      </c>
      <c r="E137" s="251">
        <f t="shared" si="32"/>
        <v>0</v>
      </c>
      <c r="F137" s="251">
        <f t="shared" si="32"/>
        <v>0</v>
      </c>
      <c r="G137" s="251">
        <f t="shared" si="32"/>
        <v>0</v>
      </c>
      <c r="H137" s="251">
        <f t="shared" si="32"/>
        <v>0</v>
      </c>
      <c r="I137" s="251">
        <f t="shared" ref="I137:I143" si="33">SUM(C137:H137)</f>
        <v>0</v>
      </c>
      <c r="K137" s="250" t="s">
        <v>120</v>
      </c>
      <c r="L137" s="251">
        <f t="shared" ref="L137:Q143" si="34">L14*L63/1000000</f>
        <v>0</v>
      </c>
      <c r="M137" s="251">
        <f t="shared" si="34"/>
        <v>0</v>
      </c>
      <c r="N137" s="251">
        <f t="shared" si="34"/>
        <v>0</v>
      </c>
      <c r="O137" s="251">
        <f t="shared" si="34"/>
        <v>0</v>
      </c>
      <c r="P137" s="251">
        <f t="shared" si="34"/>
        <v>0</v>
      </c>
      <c r="Q137" s="251">
        <f t="shared" si="34"/>
        <v>0</v>
      </c>
      <c r="R137" s="251">
        <f t="shared" ref="R137:R143" si="35">SUM(L137:Q137)</f>
        <v>0</v>
      </c>
    </row>
    <row r="138" spans="2:18" x14ac:dyDescent="0.3">
      <c r="B138" s="250" t="s">
        <v>121</v>
      </c>
      <c r="C138" s="251">
        <f t="shared" si="32"/>
        <v>0</v>
      </c>
      <c r="D138" s="251">
        <f t="shared" si="32"/>
        <v>0</v>
      </c>
      <c r="E138" s="251">
        <f t="shared" si="32"/>
        <v>0</v>
      </c>
      <c r="F138" s="251">
        <f t="shared" si="32"/>
        <v>0</v>
      </c>
      <c r="G138" s="251">
        <f t="shared" si="32"/>
        <v>0</v>
      </c>
      <c r="H138" s="251">
        <f t="shared" si="32"/>
        <v>0</v>
      </c>
      <c r="I138" s="251">
        <f t="shared" si="33"/>
        <v>0</v>
      </c>
      <c r="K138" s="250" t="s">
        <v>121</v>
      </c>
      <c r="L138" s="251">
        <f t="shared" si="34"/>
        <v>0</v>
      </c>
      <c r="M138" s="251">
        <f t="shared" si="34"/>
        <v>0</v>
      </c>
      <c r="N138" s="251">
        <f t="shared" si="34"/>
        <v>0</v>
      </c>
      <c r="O138" s="251">
        <f t="shared" si="34"/>
        <v>0</v>
      </c>
      <c r="P138" s="251">
        <f t="shared" si="34"/>
        <v>0</v>
      </c>
      <c r="Q138" s="251">
        <f t="shared" si="34"/>
        <v>0</v>
      </c>
      <c r="R138" s="251">
        <f t="shared" si="35"/>
        <v>0</v>
      </c>
    </row>
    <row r="139" spans="2:18" x14ac:dyDescent="0.3">
      <c r="B139" s="250" t="s">
        <v>122</v>
      </c>
      <c r="C139" s="251">
        <f t="shared" si="32"/>
        <v>0</v>
      </c>
      <c r="D139" s="251">
        <f t="shared" si="32"/>
        <v>0</v>
      </c>
      <c r="E139" s="251">
        <f t="shared" si="32"/>
        <v>0</v>
      </c>
      <c r="F139" s="251">
        <f t="shared" si="32"/>
        <v>0</v>
      </c>
      <c r="G139" s="251">
        <f t="shared" si="32"/>
        <v>0</v>
      </c>
      <c r="H139" s="251">
        <f t="shared" si="32"/>
        <v>0</v>
      </c>
      <c r="I139" s="251">
        <f t="shared" si="33"/>
        <v>0</v>
      </c>
      <c r="K139" s="250" t="s">
        <v>122</v>
      </c>
      <c r="L139" s="251">
        <f t="shared" si="34"/>
        <v>0</v>
      </c>
      <c r="M139" s="251">
        <f t="shared" si="34"/>
        <v>0</v>
      </c>
      <c r="N139" s="251">
        <f t="shared" si="34"/>
        <v>0</v>
      </c>
      <c r="O139" s="251">
        <f t="shared" si="34"/>
        <v>0</v>
      </c>
      <c r="P139" s="251">
        <f t="shared" si="34"/>
        <v>0</v>
      </c>
      <c r="Q139" s="251">
        <f t="shared" si="34"/>
        <v>0</v>
      </c>
      <c r="R139" s="251">
        <f t="shared" si="35"/>
        <v>0</v>
      </c>
    </row>
    <row r="140" spans="2:18" x14ac:dyDescent="0.3">
      <c r="B140" s="250" t="s">
        <v>87</v>
      </c>
      <c r="C140" s="251">
        <f t="shared" si="32"/>
        <v>0</v>
      </c>
      <c r="D140" s="251">
        <f t="shared" si="32"/>
        <v>0</v>
      </c>
      <c r="E140" s="251">
        <f t="shared" si="32"/>
        <v>0</v>
      </c>
      <c r="F140" s="251">
        <f t="shared" si="32"/>
        <v>0</v>
      </c>
      <c r="G140" s="251">
        <f t="shared" si="32"/>
        <v>0</v>
      </c>
      <c r="H140" s="251">
        <f t="shared" si="32"/>
        <v>0</v>
      </c>
      <c r="I140" s="251">
        <f t="shared" si="33"/>
        <v>0</v>
      </c>
      <c r="K140" s="250" t="s">
        <v>87</v>
      </c>
      <c r="L140" s="251">
        <f t="shared" si="34"/>
        <v>0</v>
      </c>
      <c r="M140" s="251">
        <f t="shared" si="34"/>
        <v>0</v>
      </c>
      <c r="N140" s="251">
        <f t="shared" si="34"/>
        <v>0</v>
      </c>
      <c r="O140" s="251">
        <f t="shared" si="34"/>
        <v>0</v>
      </c>
      <c r="P140" s="251">
        <f t="shared" si="34"/>
        <v>0</v>
      </c>
      <c r="Q140" s="251">
        <f t="shared" si="34"/>
        <v>0</v>
      </c>
      <c r="R140" s="251">
        <f t="shared" si="35"/>
        <v>0</v>
      </c>
    </row>
    <row r="141" spans="2:18" x14ac:dyDescent="0.3">
      <c r="B141" s="250" t="s">
        <v>75</v>
      </c>
      <c r="C141" s="251">
        <f t="shared" si="32"/>
        <v>0</v>
      </c>
      <c r="D141" s="251">
        <f t="shared" si="32"/>
        <v>0</v>
      </c>
      <c r="E141" s="251">
        <f t="shared" si="32"/>
        <v>0</v>
      </c>
      <c r="F141" s="251">
        <f t="shared" si="32"/>
        <v>0</v>
      </c>
      <c r="G141" s="251">
        <f t="shared" si="32"/>
        <v>0</v>
      </c>
      <c r="H141" s="251">
        <f t="shared" si="32"/>
        <v>0</v>
      </c>
      <c r="I141" s="251">
        <f t="shared" si="33"/>
        <v>0</v>
      </c>
      <c r="K141" s="250" t="s">
        <v>75</v>
      </c>
      <c r="L141" s="251">
        <f t="shared" si="34"/>
        <v>0</v>
      </c>
      <c r="M141" s="251">
        <f t="shared" si="34"/>
        <v>0</v>
      </c>
      <c r="N141" s="251">
        <f t="shared" si="34"/>
        <v>0</v>
      </c>
      <c r="O141" s="251">
        <f t="shared" si="34"/>
        <v>0</v>
      </c>
      <c r="P141" s="251">
        <f t="shared" si="34"/>
        <v>0</v>
      </c>
      <c r="Q141" s="251">
        <f t="shared" si="34"/>
        <v>0</v>
      </c>
      <c r="R141" s="251">
        <f t="shared" si="35"/>
        <v>0</v>
      </c>
    </row>
    <row r="142" spans="2:18" x14ac:dyDescent="0.3">
      <c r="B142" s="250" t="s">
        <v>63</v>
      </c>
      <c r="C142" s="251">
        <f t="shared" si="32"/>
        <v>0</v>
      </c>
      <c r="D142" s="251">
        <f t="shared" si="32"/>
        <v>0</v>
      </c>
      <c r="E142" s="251">
        <f t="shared" si="32"/>
        <v>0</v>
      </c>
      <c r="F142" s="251">
        <f t="shared" si="32"/>
        <v>0</v>
      </c>
      <c r="G142" s="251">
        <f t="shared" si="32"/>
        <v>0</v>
      </c>
      <c r="H142" s="251">
        <f t="shared" si="32"/>
        <v>0</v>
      </c>
      <c r="I142" s="251">
        <f t="shared" si="33"/>
        <v>0</v>
      </c>
      <c r="K142" s="250" t="s">
        <v>63</v>
      </c>
      <c r="L142" s="251">
        <f t="shared" si="34"/>
        <v>0</v>
      </c>
      <c r="M142" s="251">
        <f t="shared" si="34"/>
        <v>0</v>
      </c>
      <c r="N142" s="251">
        <f t="shared" si="34"/>
        <v>0</v>
      </c>
      <c r="O142" s="251">
        <f t="shared" si="34"/>
        <v>0</v>
      </c>
      <c r="P142" s="251">
        <f t="shared" si="34"/>
        <v>0</v>
      </c>
      <c r="Q142" s="251">
        <f t="shared" si="34"/>
        <v>0</v>
      </c>
      <c r="R142" s="251">
        <f t="shared" si="35"/>
        <v>0</v>
      </c>
    </row>
    <row r="143" spans="2:18" x14ac:dyDescent="0.3">
      <c r="B143" s="250" t="s">
        <v>64</v>
      </c>
      <c r="C143" s="251">
        <f>C20*C69/1000000</f>
        <v>0</v>
      </c>
      <c r="D143" s="251">
        <f t="shared" ref="D143:H143" si="36">D20*D69/1000000</f>
        <v>0</v>
      </c>
      <c r="E143" s="251">
        <f t="shared" si="36"/>
        <v>0</v>
      </c>
      <c r="F143" s="251">
        <f t="shared" si="36"/>
        <v>0</v>
      </c>
      <c r="G143" s="251">
        <f t="shared" si="36"/>
        <v>0</v>
      </c>
      <c r="H143" s="251">
        <f t="shared" si="36"/>
        <v>0</v>
      </c>
      <c r="I143" s="251">
        <f t="shared" si="33"/>
        <v>0</v>
      </c>
      <c r="K143" s="250" t="s">
        <v>64</v>
      </c>
      <c r="L143" s="251">
        <f t="shared" si="34"/>
        <v>0</v>
      </c>
      <c r="M143" s="251">
        <f t="shared" si="34"/>
        <v>0</v>
      </c>
      <c r="N143" s="251">
        <f t="shared" si="34"/>
        <v>0</v>
      </c>
      <c r="O143" s="251">
        <f t="shared" si="34"/>
        <v>0</v>
      </c>
      <c r="P143" s="251">
        <f t="shared" si="34"/>
        <v>0</v>
      </c>
      <c r="Q143" s="251">
        <f t="shared" si="34"/>
        <v>0</v>
      </c>
      <c r="R143" s="251">
        <f t="shared" si="35"/>
        <v>0</v>
      </c>
    </row>
    <row r="144" spans="2:18" x14ac:dyDescent="0.3">
      <c r="M144" s="166"/>
      <c r="N144" s="166"/>
      <c r="O144" s="166"/>
      <c r="P144" s="166"/>
      <c r="Q144" s="166"/>
      <c r="R144" s="166"/>
    </row>
    <row r="145" spans="2:18" x14ac:dyDescent="0.3">
      <c r="B145" s="249" t="s">
        <v>195</v>
      </c>
      <c r="C145" s="249" t="s">
        <v>145</v>
      </c>
      <c r="D145" s="249" t="s">
        <v>146</v>
      </c>
      <c r="E145" s="249" t="s">
        <v>147</v>
      </c>
      <c r="F145" s="249" t="s">
        <v>148</v>
      </c>
      <c r="G145" s="249" t="s">
        <v>149</v>
      </c>
      <c r="H145" s="249" t="s">
        <v>150</v>
      </c>
      <c r="I145" s="249" t="s">
        <v>86</v>
      </c>
      <c r="K145" s="249" t="s">
        <v>195</v>
      </c>
      <c r="L145" s="249" t="s">
        <v>145</v>
      </c>
      <c r="M145" s="249" t="s">
        <v>146</v>
      </c>
      <c r="N145" s="249" t="s">
        <v>147</v>
      </c>
      <c r="O145" s="249" t="s">
        <v>148</v>
      </c>
      <c r="P145" s="249" t="s">
        <v>149</v>
      </c>
      <c r="Q145" s="249" t="s">
        <v>150</v>
      </c>
      <c r="R145" s="249" t="s">
        <v>86</v>
      </c>
    </row>
    <row r="146" spans="2:18" x14ac:dyDescent="0.3">
      <c r="B146" s="250" t="s">
        <v>118</v>
      </c>
      <c r="C146" s="251">
        <f>C109*C72</f>
        <v>0</v>
      </c>
      <c r="D146" s="251">
        <f t="shared" ref="D146:H146" si="37">D109*D72</f>
        <v>0</v>
      </c>
      <c r="E146" s="251">
        <f t="shared" si="37"/>
        <v>0</v>
      </c>
      <c r="F146" s="251">
        <f t="shared" si="37"/>
        <v>0</v>
      </c>
      <c r="G146" s="251">
        <f t="shared" si="37"/>
        <v>0</v>
      </c>
      <c r="H146" s="251">
        <f t="shared" si="37"/>
        <v>0</v>
      </c>
      <c r="I146" s="251">
        <f t="shared" ref="I146:I153" si="38">SUM(C146:H146)</f>
        <v>0</v>
      </c>
      <c r="K146" s="250" t="s">
        <v>118</v>
      </c>
      <c r="L146" s="251">
        <f>L109*L72</f>
        <v>0</v>
      </c>
      <c r="M146" s="251">
        <f t="shared" ref="M146:Q146" si="39">M109*M72</f>
        <v>0</v>
      </c>
      <c r="N146" s="251">
        <f t="shared" si="39"/>
        <v>0</v>
      </c>
      <c r="O146" s="251">
        <f t="shared" si="39"/>
        <v>0</v>
      </c>
      <c r="P146" s="251">
        <f t="shared" si="39"/>
        <v>0</v>
      </c>
      <c r="Q146" s="251">
        <f t="shared" si="39"/>
        <v>0</v>
      </c>
      <c r="R146" s="251">
        <f t="shared" ref="R146:R153" si="40">SUM(L146:Q146)</f>
        <v>0</v>
      </c>
    </row>
    <row r="147" spans="2:18" x14ac:dyDescent="0.3">
      <c r="B147" s="250" t="s">
        <v>120</v>
      </c>
      <c r="C147" s="251">
        <f t="shared" ref="C147:H153" si="41">C110*C73</f>
        <v>0</v>
      </c>
      <c r="D147" s="251">
        <f t="shared" si="41"/>
        <v>0</v>
      </c>
      <c r="E147" s="251">
        <f t="shared" si="41"/>
        <v>0</v>
      </c>
      <c r="F147" s="251">
        <f t="shared" si="41"/>
        <v>0</v>
      </c>
      <c r="G147" s="251">
        <f t="shared" si="41"/>
        <v>0</v>
      </c>
      <c r="H147" s="251">
        <f t="shared" si="41"/>
        <v>0</v>
      </c>
      <c r="I147" s="251">
        <f t="shared" si="38"/>
        <v>0</v>
      </c>
      <c r="K147" s="250" t="s">
        <v>120</v>
      </c>
      <c r="L147" s="251">
        <f t="shared" ref="L147:Q147" si="42">L110*L73</f>
        <v>0</v>
      </c>
      <c r="M147" s="251">
        <f t="shared" si="42"/>
        <v>0</v>
      </c>
      <c r="N147" s="251">
        <f t="shared" si="42"/>
        <v>0</v>
      </c>
      <c r="O147" s="251">
        <f t="shared" si="42"/>
        <v>0</v>
      </c>
      <c r="P147" s="251">
        <f t="shared" si="42"/>
        <v>0</v>
      </c>
      <c r="Q147" s="251">
        <f t="shared" si="42"/>
        <v>0</v>
      </c>
      <c r="R147" s="251">
        <f t="shared" si="40"/>
        <v>0</v>
      </c>
    </row>
    <row r="148" spans="2:18" x14ac:dyDescent="0.3">
      <c r="B148" s="250" t="s">
        <v>121</v>
      </c>
      <c r="C148" s="251">
        <f t="shared" si="41"/>
        <v>0</v>
      </c>
      <c r="D148" s="251">
        <f t="shared" si="41"/>
        <v>0</v>
      </c>
      <c r="E148" s="251">
        <f t="shared" si="41"/>
        <v>0</v>
      </c>
      <c r="F148" s="251">
        <f t="shared" si="41"/>
        <v>0</v>
      </c>
      <c r="G148" s="251">
        <f t="shared" si="41"/>
        <v>0</v>
      </c>
      <c r="H148" s="251">
        <f t="shared" si="41"/>
        <v>0</v>
      </c>
      <c r="I148" s="251">
        <f t="shared" si="38"/>
        <v>0</v>
      </c>
      <c r="K148" s="250" t="s">
        <v>121</v>
      </c>
      <c r="L148" s="251">
        <f t="shared" ref="L148:Q148" si="43">L111*L74</f>
        <v>0</v>
      </c>
      <c r="M148" s="251">
        <f t="shared" si="43"/>
        <v>0</v>
      </c>
      <c r="N148" s="251">
        <f t="shared" si="43"/>
        <v>0</v>
      </c>
      <c r="O148" s="251">
        <f t="shared" si="43"/>
        <v>0</v>
      </c>
      <c r="P148" s="251">
        <f t="shared" si="43"/>
        <v>0</v>
      </c>
      <c r="Q148" s="251">
        <f t="shared" si="43"/>
        <v>0</v>
      </c>
      <c r="R148" s="251">
        <f t="shared" si="40"/>
        <v>0</v>
      </c>
    </row>
    <row r="149" spans="2:18" x14ac:dyDescent="0.3">
      <c r="B149" s="250" t="s">
        <v>122</v>
      </c>
      <c r="C149" s="251">
        <f t="shared" si="41"/>
        <v>0</v>
      </c>
      <c r="D149" s="251">
        <f t="shared" si="41"/>
        <v>0</v>
      </c>
      <c r="E149" s="251">
        <f t="shared" si="41"/>
        <v>0</v>
      </c>
      <c r="F149" s="251">
        <f t="shared" si="41"/>
        <v>0</v>
      </c>
      <c r="G149" s="251">
        <f t="shared" si="41"/>
        <v>0</v>
      </c>
      <c r="H149" s="251">
        <f t="shared" si="41"/>
        <v>0</v>
      </c>
      <c r="I149" s="251">
        <f t="shared" si="38"/>
        <v>0</v>
      </c>
      <c r="K149" s="250" t="s">
        <v>122</v>
      </c>
      <c r="L149" s="251">
        <f t="shared" ref="L149:Q149" si="44">L112*L75</f>
        <v>0</v>
      </c>
      <c r="M149" s="251">
        <f t="shared" si="44"/>
        <v>0</v>
      </c>
      <c r="N149" s="251">
        <f t="shared" si="44"/>
        <v>0</v>
      </c>
      <c r="O149" s="251">
        <f t="shared" si="44"/>
        <v>0</v>
      </c>
      <c r="P149" s="251">
        <f t="shared" si="44"/>
        <v>0</v>
      </c>
      <c r="Q149" s="251">
        <f t="shared" si="44"/>
        <v>0</v>
      </c>
      <c r="R149" s="251">
        <f t="shared" si="40"/>
        <v>0</v>
      </c>
    </row>
    <row r="150" spans="2:18" x14ac:dyDescent="0.3">
      <c r="B150" s="250" t="s">
        <v>87</v>
      </c>
      <c r="C150" s="251">
        <f t="shared" si="41"/>
        <v>0</v>
      </c>
      <c r="D150" s="251">
        <f t="shared" si="41"/>
        <v>0</v>
      </c>
      <c r="E150" s="251">
        <f t="shared" si="41"/>
        <v>0</v>
      </c>
      <c r="F150" s="251">
        <f t="shared" si="41"/>
        <v>0</v>
      </c>
      <c r="G150" s="251">
        <f t="shared" si="41"/>
        <v>0</v>
      </c>
      <c r="H150" s="251">
        <f t="shared" si="41"/>
        <v>0</v>
      </c>
      <c r="I150" s="251">
        <f t="shared" si="38"/>
        <v>0</v>
      </c>
      <c r="K150" s="250" t="s">
        <v>87</v>
      </c>
      <c r="L150" s="251">
        <f t="shared" ref="L150:Q150" si="45">L113*L76</f>
        <v>0</v>
      </c>
      <c r="M150" s="251">
        <f t="shared" si="45"/>
        <v>0</v>
      </c>
      <c r="N150" s="251">
        <f t="shared" si="45"/>
        <v>0</v>
      </c>
      <c r="O150" s="251">
        <f t="shared" si="45"/>
        <v>0</v>
      </c>
      <c r="P150" s="251">
        <f t="shared" si="45"/>
        <v>0</v>
      </c>
      <c r="Q150" s="251">
        <f t="shared" si="45"/>
        <v>0</v>
      </c>
      <c r="R150" s="251">
        <f t="shared" si="40"/>
        <v>0</v>
      </c>
    </row>
    <row r="151" spans="2:18" x14ac:dyDescent="0.3">
      <c r="B151" s="250" t="s">
        <v>75</v>
      </c>
      <c r="C151" s="251">
        <f t="shared" si="41"/>
        <v>0</v>
      </c>
      <c r="D151" s="251">
        <f t="shared" si="41"/>
        <v>0</v>
      </c>
      <c r="E151" s="251">
        <f t="shared" si="41"/>
        <v>0</v>
      </c>
      <c r="F151" s="251">
        <f t="shared" si="41"/>
        <v>0</v>
      </c>
      <c r="G151" s="251">
        <f t="shared" si="41"/>
        <v>0</v>
      </c>
      <c r="H151" s="251">
        <f t="shared" si="41"/>
        <v>0</v>
      </c>
      <c r="I151" s="251">
        <f t="shared" si="38"/>
        <v>0</v>
      </c>
      <c r="K151" s="250" t="s">
        <v>75</v>
      </c>
      <c r="L151" s="251">
        <f t="shared" ref="L151:Q151" si="46">L114*L77</f>
        <v>0</v>
      </c>
      <c r="M151" s="251">
        <f t="shared" si="46"/>
        <v>0</v>
      </c>
      <c r="N151" s="251">
        <f t="shared" si="46"/>
        <v>0</v>
      </c>
      <c r="O151" s="251">
        <f t="shared" si="46"/>
        <v>0</v>
      </c>
      <c r="P151" s="251">
        <f t="shared" si="46"/>
        <v>0</v>
      </c>
      <c r="Q151" s="251">
        <f t="shared" si="46"/>
        <v>0</v>
      </c>
      <c r="R151" s="251">
        <f t="shared" si="40"/>
        <v>0</v>
      </c>
    </row>
    <row r="152" spans="2:18" x14ac:dyDescent="0.3">
      <c r="B152" s="250" t="s">
        <v>63</v>
      </c>
      <c r="C152" s="251">
        <f t="shared" si="41"/>
        <v>0</v>
      </c>
      <c r="D152" s="251">
        <f t="shared" si="41"/>
        <v>0</v>
      </c>
      <c r="E152" s="251">
        <f t="shared" si="41"/>
        <v>0</v>
      </c>
      <c r="F152" s="251">
        <f t="shared" si="41"/>
        <v>0</v>
      </c>
      <c r="G152" s="251">
        <f t="shared" si="41"/>
        <v>0</v>
      </c>
      <c r="H152" s="251">
        <f t="shared" si="41"/>
        <v>0</v>
      </c>
      <c r="I152" s="251">
        <f t="shared" si="38"/>
        <v>0</v>
      </c>
      <c r="K152" s="250" t="s">
        <v>63</v>
      </c>
      <c r="L152" s="251">
        <f t="shared" ref="L152:Q152" si="47">L115*L78</f>
        <v>0</v>
      </c>
      <c r="M152" s="251">
        <f t="shared" si="47"/>
        <v>0</v>
      </c>
      <c r="N152" s="251">
        <f t="shared" si="47"/>
        <v>0</v>
      </c>
      <c r="O152" s="251">
        <f t="shared" si="47"/>
        <v>0</v>
      </c>
      <c r="P152" s="251">
        <f t="shared" si="47"/>
        <v>0</v>
      </c>
      <c r="Q152" s="251">
        <f t="shared" si="47"/>
        <v>0</v>
      </c>
      <c r="R152" s="251">
        <f t="shared" si="40"/>
        <v>0</v>
      </c>
    </row>
    <row r="153" spans="2:18" x14ac:dyDescent="0.3">
      <c r="B153" s="250" t="s">
        <v>64</v>
      </c>
      <c r="C153" s="251">
        <f t="shared" si="41"/>
        <v>0</v>
      </c>
      <c r="D153" s="251">
        <f t="shared" si="41"/>
        <v>0</v>
      </c>
      <c r="E153" s="251">
        <f t="shared" si="41"/>
        <v>0</v>
      </c>
      <c r="F153" s="251">
        <f t="shared" si="41"/>
        <v>0</v>
      </c>
      <c r="G153" s="251">
        <f t="shared" si="41"/>
        <v>0</v>
      </c>
      <c r="H153" s="251">
        <f t="shared" si="41"/>
        <v>0</v>
      </c>
      <c r="I153" s="251">
        <f t="shared" si="38"/>
        <v>0</v>
      </c>
      <c r="K153" s="250" t="s">
        <v>64</v>
      </c>
      <c r="L153" s="251">
        <f t="shared" ref="L153:Q153" si="48">L116*L79</f>
        <v>0</v>
      </c>
      <c r="M153" s="251">
        <f t="shared" si="48"/>
        <v>0</v>
      </c>
      <c r="N153" s="251">
        <f t="shared" si="48"/>
        <v>0</v>
      </c>
      <c r="O153" s="251">
        <f t="shared" si="48"/>
        <v>0</v>
      </c>
      <c r="P153" s="251">
        <f t="shared" si="48"/>
        <v>0</v>
      </c>
      <c r="Q153" s="251">
        <f t="shared" si="48"/>
        <v>0</v>
      </c>
      <c r="R153" s="251">
        <f t="shared" si="40"/>
        <v>0</v>
      </c>
    </row>
    <row r="154" spans="2:18" x14ac:dyDescent="0.3">
      <c r="B154" s="249" t="s">
        <v>196</v>
      </c>
      <c r="C154" s="252" t="s">
        <v>145</v>
      </c>
      <c r="D154" s="252" t="s">
        <v>146</v>
      </c>
      <c r="E154" s="252" t="s">
        <v>147</v>
      </c>
      <c r="F154" s="252" t="s">
        <v>148</v>
      </c>
      <c r="G154" s="252" t="s">
        <v>149</v>
      </c>
      <c r="H154" s="252" t="s">
        <v>150</v>
      </c>
      <c r="I154" s="252" t="s">
        <v>86</v>
      </c>
      <c r="K154" s="249" t="s">
        <v>196</v>
      </c>
      <c r="L154" s="252" t="s">
        <v>145</v>
      </c>
      <c r="M154" s="252" t="s">
        <v>146</v>
      </c>
      <c r="N154" s="252" t="s">
        <v>147</v>
      </c>
      <c r="O154" s="252" t="s">
        <v>148</v>
      </c>
      <c r="P154" s="252" t="s">
        <v>149</v>
      </c>
      <c r="Q154" s="252" t="s">
        <v>150</v>
      </c>
      <c r="R154" s="252" t="s">
        <v>86</v>
      </c>
    </row>
    <row r="155" spans="2:18" x14ac:dyDescent="0.3">
      <c r="B155" s="250" t="s">
        <v>118</v>
      </c>
      <c r="C155" s="251">
        <f t="shared" ref="C155:H155" si="49">C118*C81</f>
        <v>0</v>
      </c>
      <c r="D155" s="251">
        <f t="shared" si="49"/>
        <v>0</v>
      </c>
      <c r="E155" s="251">
        <f t="shared" si="49"/>
        <v>0</v>
      </c>
      <c r="F155" s="251">
        <f t="shared" si="49"/>
        <v>0</v>
      </c>
      <c r="G155" s="251">
        <f t="shared" si="49"/>
        <v>0</v>
      </c>
      <c r="H155" s="251">
        <f t="shared" si="49"/>
        <v>0</v>
      </c>
      <c r="I155" s="251">
        <f t="shared" ref="I155:I162" si="50">SUM(C155:H155)</f>
        <v>0</v>
      </c>
      <c r="K155" s="250" t="s">
        <v>118</v>
      </c>
      <c r="L155" s="251">
        <f t="shared" ref="L155:Q155" si="51">L118*L81</f>
        <v>0</v>
      </c>
      <c r="M155" s="251">
        <f t="shared" si="51"/>
        <v>0</v>
      </c>
      <c r="N155" s="251">
        <f t="shared" si="51"/>
        <v>0</v>
      </c>
      <c r="O155" s="251">
        <f t="shared" si="51"/>
        <v>0</v>
      </c>
      <c r="P155" s="251">
        <f t="shared" si="51"/>
        <v>0</v>
      </c>
      <c r="Q155" s="251">
        <f t="shared" si="51"/>
        <v>0</v>
      </c>
      <c r="R155" s="251">
        <f t="shared" ref="R155:R162" si="52">SUM(L155:Q155)</f>
        <v>0</v>
      </c>
    </row>
    <row r="156" spans="2:18" x14ac:dyDescent="0.3">
      <c r="B156" s="250" t="s">
        <v>120</v>
      </c>
      <c r="C156" s="251">
        <f t="shared" ref="C156:H156" si="53">C119*C82</f>
        <v>0</v>
      </c>
      <c r="D156" s="251">
        <f t="shared" si="53"/>
        <v>0</v>
      </c>
      <c r="E156" s="251">
        <f t="shared" si="53"/>
        <v>0</v>
      </c>
      <c r="F156" s="251">
        <f t="shared" si="53"/>
        <v>0</v>
      </c>
      <c r="G156" s="251">
        <f t="shared" si="53"/>
        <v>0</v>
      </c>
      <c r="H156" s="251">
        <f t="shared" si="53"/>
        <v>0</v>
      </c>
      <c r="I156" s="251">
        <f t="shared" si="50"/>
        <v>0</v>
      </c>
      <c r="K156" s="250" t="s">
        <v>120</v>
      </c>
      <c r="L156" s="251">
        <f t="shared" ref="L156:Q156" si="54">L119*L82</f>
        <v>0</v>
      </c>
      <c r="M156" s="251">
        <f t="shared" si="54"/>
        <v>0</v>
      </c>
      <c r="N156" s="251">
        <f t="shared" si="54"/>
        <v>0</v>
      </c>
      <c r="O156" s="251">
        <f t="shared" si="54"/>
        <v>0</v>
      </c>
      <c r="P156" s="251">
        <f t="shared" si="54"/>
        <v>0</v>
      </c>
      <c r="Q156" s="251">
        <f t="shared" si="54"/>
        <v>0</v>
      </c>
      <c r="R156" s="251">
        <f t="shared" si="52"/>
        <v>0</v>
      </c>
    </row>
    <row r="157" spans="2:18" x14ac:dyDescent="0.3">
      <c r="B157" s="250" t="s">
        <v>121</v>
      </c>
      <c r="C157" s="251">
        <f t="shared" ref="C157:H157" si="55">C120*C83</f>
        <v>0</v>
      </c>
      <c r="D157" s="251">
        <f t="shared" si="55"/>
        <v>0</v>
      </c>
      <c r="E157" s="251">
        <f t="shared" si="55"/>
        <v>0</v>
      </c>
      <c r="F157" s="251">
        <f t="shared" si="55"/>
        <v>0</v>
      </c>
      <c r="G157" s="251">
        <f t="shared" si="55"/>
        <v>0</v>
      </c>
      <c r="H157" s="251">
        <f t="shared" si="55"/>
        <v>0</v>
      </c>
      <c r="I157" s="251">
        <f t="shared" si="50"/>
        <v>0</v>
      </c>
      <c r="K157" s="250" t="s">
        <v>121</v>
      </c>
      <c r="L157" s="251">
        <f t="shared" ref="L157:Q157" si="56">L120*L83</f>
        <v>0</v>
      </c>
      <c r="M157" s="251">
        <f t="shared" si="56"/>
        <v>0</v>
      </c>
      <c r="N157" s="251">
        <f t="shared" si="56"/>
        <v>0</v>
      </c>
      <c r="O157" s="251">
        <f t="shared" si="56"/>
        <v>0</v>
      </c>
      <c r="P157" s="251">
        <f t="shared" si="56"/>
        <v>0</v>
      </c>
      <c r="Q157" s="251">
        <f t="shared" si="56"/>
        <v>0</v>
      </c>
      <c r="R157" s="251">
        <f t="shared" si="52"/>
        <v>0</v>
      </c>
    </row>
    <row r="158" spans="2:18" x14ac:dyDescent="0.3">
      <c r="B158" s="250" t="s">
        <v>122</v>
      </c>
      <c r="C158" s="251">
        <f t="shared" ref="C158:H158" si="57">C121*C84</f>
        <v>0</v>
      </c>
      <c r="D158" s="251">
        <f t="shared" si="57"/>
        <v>0</v>
      </c>
      <c r="E158" s="251">
        <f t="shared" si="57"/>
        <v>0</v>
      </c>
      <c r="F158" s="251">
        <f t="shared" si="57"/>
        <v>0</v>
      </c>
      <c r="G158" s="251">
        <f t="shared" si="57"/>
        <v>0</v>
      </c>
      <c r="H158" s="251">
        <f t="shared" si="57"/>
        <v>0</v>
      </c>
      <c r="I158" s="251">
        <f t="shared" si="50"/>
        <v>0</v>
      </c>
      <c r="K158" s="250" t="s">
        <v>122</v>
      </c>
      <c r="L158" s="251">
        <f t="shared" ref="L158:Q158" si="58">L121*L84</f>
        <v>0</v>
      </c>
      <c r="M158" s="251">
        <f t="shared" si="58"/>
        <v>0</v>
      </c>
      <c r="N158" s="251">
        <f t="shared" si="58"/>
        <v>0</v>
      </c>
      <c r="O158" s="251">
        <f t="shared" si="58"/>
        <v>0</v>
      </c>
      <c r="P158" s="251">
        <f t="shared" si="58"/>
        <v>0</v>
      </c>
      <c r="Q158" s="251">
        <f t="shared" si="58"/>
        <v>0</v>
      </c>
      <c r="R158" s="251">
        <f t="shared" si="52"/>
        <v>0</v>
      </c>
    </row>
    <row r="159" spans="2:18" x14ac:dyDescent="0.3">
      <c r="B159" s="250" t="s">
        <v>87</v>
      </c>
      <c r="C159" s="251">
        <f t="shared" ref="C159:H159" si="59">C122*C85</f>
        <v>0</v>
      </c>
      <c r="D159" s="251">
        <f t="shared" si="59"/>
        <v>0</v>
      </c>
      <c r="E159" s="251">
        <f t="shared" si="59"/>
        <v>0</v>
      </c>
      <c r="F159" s="251">
        <f t="shared" si="59"/>
        <v>0</v>
      </c>
      <c r="G159" s="251">
        <f t="shared" si="59"/>
        <v>0</v>
      </c>
      <c r="H159" s="251">
        <f t="shared" si="59"/>
        <v>0</v>
      </c>
      <c r="I159" s="251">
        <f t="shared" si="50"/>
        <v>0</v>
      </c>
      <c r="K159" s="250" t="s">
        <v>87</v>
      </c>
      <c r="L159" s="251">
        <f t="shared" ref="L159:Q159" si="60">L122*L85</f>
        <v>0</v>
      </c>
      <c r="M159" s="251">
        <f t="shared" si="60"/>
        <v>0</v>
      </c>
      <c r="N159" s="251">
        <f t="shared" si="60"/>
        <v>0</v>
      </c>
      <c r="O159" s="251">
        <f t="shared" si="60"/>
        <v>0</v>
      </c>
      <c r="P159" s="251">
        <f t="shared" si="60"/>
        <v>0</v>
      </c>
      <c r="Q159" s="251">
        <f t="shared" si="60"/>
        <v>0</v>
      </c>
      <c r="R159" s="251">
        <f t="shared" si="52"/>
        <v>0</v>
      </c>
    </row>
    <row r="160" spans="2:18" x14ac:dyDescent="0.3">
      <c r="B160" s="250" t="s">
        <v>75</v>
      </c>
      <c r="C160" s="251">
        <f t="shared" ref="C160:H160" si="61">C123*C86</f>
        <v>0</v>
      </c>
      <c r="D160" s="251">
        <f t="shared" si="61"/>
        <v>0</v>
      </c>
      <c r="E160" s="251">
        <f t="shared" si="61"/>
        <v>0</v>
      </c>
      <c r="F160" s="251">
        <f t="shared" si="61"/>
        <v>0</v>
      </c>
      <c r="G160" s="251">
        <f t="shared" si="61"/>
        <v>0</v>
      </c>
      <c r="H160" s="251">
        <f t="shared" si="61"/>
        <v>0</v>
      </c>
      <c r="I160" s="251">
        <f t="shared" si="50"/>
        <v>0</v>
      </c>
      <c r="K160" s="250" t="s">
        <v>75</v>
      </c>
      <c r="L160" s="251">
        <f t="shared" ref="L160:Q160" si="62">L123*L86</f>
        <v>0</v>
      </c>
      <c r="M160" s="251">
        <f t="shared" si="62"/>
        <v>0</v>
      </c>
      <c r="N160" s="251">
        <f t="shared" si="62"/>
        <v>0</v>
      </c>
      <c r="O160" s="251">
        <f t="shared" si="62"/>
        <v>0</v>
      </c>
      <c r="P160" s="251">
        <f t="shared" si="62"/>
        <v>0</v>
      </c>
      <c r="Q160" s="251">
        <f t="shared" si="62"/>
        <v>0</v>
      </c>
      <c r="R160" s="251">
        <f t="shared" si="52"/>
        <v>0</v>
      </c>
    </row>
    <row r="161" spans="2:18" x14ac:dyDescent="0.3">
      <c r="B161" s="250" t="s">
        <v>63</v>
      </c>
      <c r="C161" s="251">
        <f t="shared" ref="C161:H161" si="63">C124*C87</f>
        <v>0</v>
      </c>
      <c r="D161" s="251">
        <f t="shared" si="63"/>
        <v>0</v>
      </c>
      <c r="E161" s="251">
        <f t="shared" si="63"/>
        <v>0</v>
      </c>
      <c r="F161" s="251">
        <f t="shared" si="63"/>
        <v>0</v>
      </c>
      <c r="G161" s="251">
        <f t="shared" si="63"/>
        <v>0</v>
      </c>
      <c r="H161" s="251">
        <f t="shared" si="63"/>
        <v>0</v>
      </c>
      <c r="I161" s="251">
        <f t="shared" si="50"/>
        <v>0</v>
      </c>
      <c r="K161" s="250" t="s">
        <v>63</v>
      </c>
      <c r="L161" s="251">
        <f t="shared" ref="L161:Q161" si="64">L124*L87</f>
        <v>0</v>
      </c>
      <c r="M161" s="251">
        <f t="shared" si="64"/>
        <v>0</v>
      </c>
      <c r="N161" s="251">
        <f t="shared" si="64"/>
        <v>0</v>
      </c>
      <c r="O161" s="251">
        <f t="shared" si="64"/>
        <v>0</v>
      </c>
      <c r="P161" s="251">
        <f t="shared" si="64"/>
        <v>0</v>
      </c>
      <c r="Q161" s="251">
        <f t="shared" si="64"/>
        <v>0</v>
      </c>
      <c r="R161" s="251">
        <f t="shared" si="52"/>
        <v>0</v>
      </c>
    </row>
    <row r="162" spans="2:18" x14ac:dyDescent="0.3">
      <c r="B162" s="250" t="s">
        <v>64</v>
      </c>
      <c r="C162" s="251">
        <f t="shared" ref="C162:H162" si="65">C125*C88</f>
        <v>0</v>
      </c>
      <c r="D162" s="251">
        <f t="shared" si="65"/>
        <v>0</v>
      </c>
      <c r="E162" s="251">
        <f t="shared" si="65"/>
        <v>0</v>
      </c>
      <c r="F162" s="251">
        <f t="shared" si="65"/>
        <v>0</v>
      </c>
      <c r="G162" s="251">
        <f t="shared" si="65"/>
        <v>0</v>
      </c>
      <c r="H162" s="251">
        <f t="shared" si="65"/>
        <v>0</v>
      </c>
      <c r="I162" s="251">
        <f t="shared" si="50"/>
        <v>0</v>
      </c>
      <c r="K162" s="250" t="s">
        <v>64</v>
      </c>
      <c r="L162" s="251">
        <f t="shared" ref="L162:Q162" si="66">L125*L88</f>
        <v>0</v>
      </c>
      <c r="M162" s="251">
        <f t="shared" si="66"/>
        <v>0</v>
      </c>
      <c r="N162" s="251">
        <f t="shared" si="66"/>
        <v>0</v>
      </c>
      <c r="O162" s="251">
        <f t="shared" si="66"/>
        <v>0</v>
      </c>
      <c r="P162" s="251">
        <f t="shared" si="66"/>
        <v>0</v>
      </c>
      <c r="Q162" s="251">
        <f t="shared" si="66"/>
        <v>0</v>
      </c>
      <c r="R162" s="251">
        <f t="shared" si="52"/>
        <v>0</v>
      </c>
    </row>
    <row r="163" spans="2:18" x14ac:dyDescent="0.3">
      <c r="B163" s="249" t="s">
        <v>197</v>
      </c>
      <c r="C163" s="252" t="s">
        <v>145</v>
      </c>
      <c r="D163" s="252" t="s">
        <v>146</v>
      </c>
      <c r="E163" s="252" t="s">
        <v>147</v>
      </c>
      <c r="F163" s="252" t="s">
        <v>148</v>
      </c>
      <c r="G163" s="252" t="s">
        <v>149</v>
      </c>
      <c r="H163" s="252" t="s">
        <v>150</v>
      </c>
      <c r="I163" s="252" t="s">
        <v>86</v>
      </c>
      <c r="K163" s="249" t="s">
        <v>197</v>
      </c>
      <c r="L163" s="252" t="s">
        <v>145</v>
      </c>
      <c r="M163" s="252" t="s">
        <v>146</v>
      </c>
      <c r="N163" s="252" t="s">
        <v>147</v>
      </c>
      <c r="O163" s="252" t="s">
        <v>148</v>
      </c>
      <c r="P163" s="252" t="s">
        <v>149</v>
      </c>
      <c r="Q163" s="252" t="s">
        <v>150</v>
      </c>
      <c r="R163" s="252" t="s">
        <v>86</v>
      </c>
    </row>
    <row r="164" spans="2:18" x14ac:dyDescent="0.3">
      <c r="B164" s="250" t="s">
        <v>118</v>
      </c>
      <c r="C164" s="251">
        <f t="shared" ref="C164:H164" si="67">C127*C90</f>
        <v>0</v>
      </c>
      <c r="D164" s="251">
        <f t="shared" si="67"/>
        <v>0</v>
      </c>
      <c r="E164" s="251">
        <f t="shared" si="67"/>
        <v>0</v>
      </c>
      <c r="F164" s="251">
        <f t="shared" si="67"/>
        <v>0</v>
      </c>
      <c r="G164" s="251">
        <f t="shared" si="67"/>
        <v>0</v>
      </c>
      <c r="H164" s="251">
        <f t="shared" si="67"/>
        <v>0</v>
      </c>
      <c r="I164" s="251">
        <f t="shared" ref="I164:I171" si="68">SUM(C164:H164)</f>
        <v>0</v>
      </c>
      <c r="K164" s="250" t="s">
        <v>118</v>
      </c>
      <c r="L164" s="251">
        <f t="shared" ref="L164:Q164" si="69">L127*L90</f>
        <v>0</v>
      </c>
      <c r="M164" s="251">
        <f t="shared" si="69"/>
        <v>0</v>
      </c>
      <c r="N164" s="251">
        <f t="shared" si="69"/>
        <v>0</v>
      </c>
      <c r="O164" s="251">
        <f t="shared" si="69"/>
        <v>0</v>
      </c>
      <c r="P164" s="251">
        <f t="shared" si="69"/>
        <v>0</v>
      </c>
      <c r="Q164" s="251">
        <f t="shared" si="69"/>
        <v>0</v>
      </c>
      <c r="R164" s="251">
        <f t="shared" ref="R164:R171" si="70">SUM(L164:Q164)</f>
        <v>0</v>
      </c>
    </row>
    <row r="165" spans="2:18" x14ac:dyDescent="0.3">
      <c r="B165" s="250" t="s">
        <v>120</v>
      </c>
      <c r="C165" s="251">
        <f t="shared" ref="C165:H165" si="71">C128*C91</f>
        <v>0</v>
      </c>
      <c r="D165" s="251">
        <f t="shared" si="71"/>
        <v>0</v>
      </c>
      <c r="E165" s="251">
        <f t="shared" si="71"/>
        <v>0</v>
      </c>
      <c r="F165" s="251">
        <f t="shared" si="71"/>
        <v>0</v>
      </c>
      <c r="G165" s="251">
        <f t="shared" si="71"/>
        <v>0</v>
      </c>
      <c r="H165" s="251">
        <f t="shared" si="71"/>
        <v>0</v>
      </c>
      <c r="I165" s="251">
        <f t="shared" si="68"/>
        <v>0</v>
      </c>
      <c r="K165" s="250" t="s">
        <v>120</v>
      </c>
      <c r="L165" s="251">
        <f t="shared" ref="L165:Q165" si="72">L128*L91</f>
        <v>0</v>
      </c>
      <c r="M165" s="251">
        <f t="shared" si="72"/>
        <v>0</v>
      </c>
      <c r="N165" s="251">
        <f t="shared" si="72"/>
        <v>0</v>
      </c>
      <c r="O165" s="251">
        <f t="shared" si="72"/>
        <v>0</v>
      </c>
      <c r="P165" s="251">
        <f t="shared" si="72"/>
        <v>0</v>
      </c>
      <c r="Q165" s="251">
        <f t="shared" si="72"/>
        <v>0</v>
      </c>
      <c r="R165" s="251">
        <f t="shared" si="70"/>
        <v>0</v>
      </c>
    </row>
    <row r="166" spans="2:18" x14ac:dyDescent="0.3">
      <c r="B166" s="250" t="s">
        <v>121</v>
      </c>
      <c r="C166" s="251">
        <f t="shared" ref="C166:H166" si="73">C129*C92</f>
        <v>0</v>
      </c>
      <c r="D166" s="251">
        <f t="shared" si="73"/>
        <v>0</v>
      </c>
      <c r="E166" s="251">
        <f t="shared" si="73"/>
        <v>0</v>
      </c>
      <c r="F166" s="251">
        <f t="shared" si="73"/>
        <v>0</v>
      </c>
      <c r="G166" s="251">
        <f t="shared" si="73"/>
        <v>0</v>
      </c>
      <c r="H166" s="251">
        <f t="shared" si="73"/>
        <v>0</v>
      </c>
      <c r="I166" s="251">
        <f t="shared" si="68"/>
        <v>0</v>
      </c>
      <c r="K166" s="250" t="s">
        <v>121</v>
      </c>
      <c r="L166" s="251">
        <f t="shared" ref="L166:Q166" si="74">L129*L92</f>
        <v>0</v>
      </c>
      <c r="M166" s="251">
        <f t="shared" si="74"/>
        <v>0</v>
      </c>
      <c r="N166" s="251">
        <f t="shared" si="74"/>
        <v>0</v>
      </c>
      <c r="O166" s="251">
        <f t="shared" si="74"/>
        <v>0</v>
      </c>
      <c r="P166" s="251">
        <f t="shared" si="74"/>
        <v>0</v>
      </c>
      <c r="Q166" s="251">
        <f t="shared" si="74"/>
        <v>0</v>
      </c>
      <c r="R166" s="251">
        <f t="shared" si="70"/>
        <v>0</v>
      </c>
    </row>
    <row r="167" spans="2:18" x14ac:dyDescent="0.3">
      <c r="B167" s="250" t="s">
        <v>122</v>
      </c>
      <c r="C167" s="251">
        <f t="shared" ref="C167:H167" si="75">C130*C93</f>
        <v>0</v>
      </c>
      <c r="D167" s="251">
        <f t="shared" si="75"/>
        <v>0</v>
      </c>
      <c r="E167" s="251">
        <f t="shared" si="75"/>
        <v>0</v>
      </c>
      <c r="F167" s="251">
        <f t="shared" si="75"/>
        <v>0</v>
      </c>
      <c r="G167" s="251">
        <f t="shared" si="75"/>
        <v>0</v>
      </c>
      <c r="H167" s="251">
        <f t="shared" si="75"/>
        <v>0</v>
      </c>
      <c r="I167" s="251">
        <f t="shared" si="68"/>
        <v>0</v>
      </c>
      <c r="K167" s="250" t="s">
        <v>122</v>
      </c>
      <c r="L167" s="251">
        <f t="shared" ref="L167:Q167" si="76">L130*L93</f>
        <v>0</v>
      </c>
      <c r="M167" s="251">
        <f t="shared" si="76"/>
        <v>0</v>
      </c>
      <c r="N167" s="251">
        <f t="shared" si="76"/>
        <v>0</v>
      </c>
      <c r="O167" s="251">
        <f t="shared" si="76"/>
        <v>0</v>
      </c>
      <c r="P167" s="251">
        <f t="shared" si="76"/>
        <v>0</v>
      </c>
      <c r="Q167" s="251">
        <f t="shared" si="76"/>
        <v>0</v>
      </c>
      <c r="R167" s="251">
        <f t="shared" si="70"/>
        <v>0</v>
      </c>
    </row>
    <row r="168" spans="2:18" x14ac:dyDescent="0.3">
      <c r="B168" s="250" t="s">
        <v>87</v>
      </c>
      <c r="C168" s="251">
        <f t="shared" ref="C168:H168" si="77">C131*C94</f>
        <v>0</v>
      </c>
      <c r="D168" s="251">
        <f t="shared" si="77"/>
        <v>0</v>
      </c>
      <c r="E168" s="251">
        <f t="shared" si="77"/>
        <v>0</v>
      </c>
      <c r="F168" s="251">
        <f t="shared" si="77"/>
        <v>0</v>
      </c>
      <c r="G168" s="251">
        <f t="shared" si="77"/>
        <v>0</v>
      </c>
      <c r="H168" s="251">
        <f t="shared" si="77"/>
        <v>0</v>
      </c>
      <c r="I168" s="251">
        <f t="shared" si="68"/>
        <v>0</v>
      </c>
      <c r="K168" s="250" t="s">
        <v>87</v>
      </c>
      <c r="L168" s="251">
        <f t="shared" ref="L168:Q168" si="78">L131*L94</f>
        <v>0</v>
      </c>
      <c r="M168" s="251">
        <f t="shared" si="78"/>
        <v>0</v>
      </c>
      <c r="N168" s="251">
        <f t="shared" si="78"/>
        <v>0</v>
      </c>
      <c r="O168" s="251">
        <f t="shared" si="78"/>
        <v>0</v>
      </c>
      <c r="P168" s="251">
        <f t="shared" si="78"/>
        <v>0</v>
      </c>
      <c r="Q168" s="251">
        <f t="shared" si="78"/>
        <v>0</v>
      </c>
      <c r="R168" s="251">
        <f t="shared" si="70"/>
        <v>0</v>
      </c>
    </row>
    <row r="169" spans="2:18" x14ac:dyDescent="0.3">
      <c r="B169" s="250" t="s">
        <v>75</v>
      </c>
      <c r="C169" s="251">
        <f t="shared" ref="C169:H169" si="79">C132*C95</f>
        <v>0</v>
      </c>
      <c r="D169" s="251">
        <f t="shared" si="79"/>
        <v>0</v>
      </c>
      <c r="E169" s="251">
        <f t="shared" si="79"/>
        <v>0</v>
      </c>
      <c r="F169" s="251">
        <f t="shared" si="79"/>
        <v>0</v>
      </c>
      <c r="G169" s="251">
        <f t="shared" si="79"/>
        <v>0</v>
      </c>
      <c r="H169" s="251">
        <f t="shared" si="79"/>
        <v>0</v>
      </c>
      <c r="I169" s="251">
        <f t="shared" si="68"/>
        <v>0</v>
      </c>
      <c r="K169" s="250" t="s">
        <v>75</v>
      </c>
      <c r="L169" s="251">
        <f t="shared" ref="L169:Q169" si="80">L132*L95</f>
        <v>0</v>
      </c>
      <c r="M169" s="251">
        <f t="shared" si="80"/>
        <v>0</v>
      </c>
      <c r="N169" s="251">
        <f t="shared" si="80"/>
        <v>0</v>
      </c>
      <c r="O169" s="251">
        <f t="shared" si="80"/>
        <v>0</v>
      </c>
      <c r="P169" s="251">
        <f t="shared" si="80"/>
        <v>0</v>
      </c>
      <c r="Q169" s="251">
        <f t="shared" si="80"/>
        <v>0</v>
      </c>
      <c r="R169" s="251">
        <f t="shared" si="70"/>
        <v>0</v>
      </c>
    </row>
    <row r="170" spans="2:18" x14ac:dyDescent="0.3">
      <c r="B170" s="250" t="s">
        <v>63</v>
      </c>
      <c r="C170" s="251">
        <f t="shared" ref="C170:H170" si="81">C133*C96</f>
        <v>0</v>
      </c>
      <c r="D170" s="251">
        <f t="shared" si="81"/>
        <v>0</v>
      </c>
      <c r="E170" s="251">
        <f t="shared" si="81"/>
        <v>0</v>
      </c>
      <c r="F170" s="251">
        <f t="shared" si="81"/>
        <v>0</v>
      </c>
      <c r="G170" s="251">
        <f t="shared" si="81"/>
        <v>0</v>
      </c>
      <c r="H170" s="251">
        <f t="shared" si="81"/>
        <v>0</v>
      </c>
      <c r="I170" s="251">
        <f t="shared" si="68"/>
        <v>0</v>
      </c>
      <c r="K170" s="250" t="s">
        <v>63</v>
      </c>
      <c r="L170" s="251">
        <f t="shared" ref="L170:Q170" si="82">L133*L96</f>
        <v>0</v>
      </c>
      <c r="M170" s="251">
        <f t="shared" si="82"/>
        <v>0</v>
      </c>
      <c r="N170" s="251">
        <f t="shared" si="82"/>
        <v>0</v>
      </c>
      <c r="O170" s="251">
        <f t="shared" si="82"/>
        <v>0</v>
      </c>
      <c r="P170" s="251">
        <f t="shared" si="82"/>
        <v>0</v>
      </c>
      <c r="Q170" s="251">
        <f t="shared" si="82"/>
        <v>0</v>
      </c>
      <c r="R170" s="251">
        <f t="shared" si="70"/>
        <v>0</v>
      </c>
    </row>
    <row r="171" spans="2:18" x14ac:dyDescent="0.3">
      <c r="B171" s="250" t="s">
        <v>64</v>
      </c>
      <c r="C171" s="251">
        <f t="shared" ref="C171:H171" si="83">C134*C97</f>
        <v>0</v>
      </c>
      <c r="D171" s="251">
        <f t="shared" si="83"/>
        <v>0</v>
      </c>
      <c r="E171" s="251">
        <f t="shared" si="83"/>
        <v>0</v>
      </c>
      <c r="F171" s="251">
        <f t="shared" si="83"/>
        <v>0</v>
      </c>
      <c r="G171" s="251">
        <f t="shared" si="83"/>
        <v>0</v>
      </c>
      <c r="H171" s="251">
        <f t="shared" si="83"/>
        <v>0</v>
      </c>
      <c r="I171" s="251">
        <f t="shared" si="68"/>
        <v>0</v>
      </c>
      <c r="K171" s="250" t="s">
        <v>64</v>
      </c>
      <c r="L171" s="251">
        <f t="shared" ref="L171:Q171" si="84">L134*L97</f>
        <v>0</v>
      </c>
      <c r="M171" s="251">
        <f t="shared" si="84"/>
        <v>0</v>
      </c>
      <c r="N171" s="251">
        <f t="shared" si="84"/>
        <v>0</v>
      </c>
      <c r="O171" s="251">
        <f t="shared" si="84"/>
        <v>0</v>
      </c>
      <c r="P171" s="251">
        <f t="shared" si="84"/>
        <v>0</v>
      </c>
      <c r="Q171" s="251">
        <f t="shared" si="84"/>
        <v>0</v>
      </c>
      <c r="R171" s="251">
        <f t="shared" si="70"/>
        <v>0</v>
      </c>
    </row>
    <row r="172" spans="2:18" x14ac:dyDescent="0.3">
      <c r="B172" s="249" t="s">
        <v>198</v>
      </c>
      <c r="C172" s="252" t="s">
        <v>145</v>
      </c>
      <c r="D172" s="252" t="s">
        <v>146</v>
      </c>
      <c r="E172" s="252" t="s">
        <v>147</v>
      </c>
      <c r="F172" s="252" t="s">
        <v>148</v>
      </c>
      <c r="G172" s="252" t="s">
        <v>149</v>
      </c>
      <c r="H172" s="252" t="s">
        <v>150</v>
      </c>
      <c r="I172" s="252" t="s">
        <v>86</v>
      </c>
      <c r="K172" s="249" t="s">
        <v>198</v>
      </c>
      <c r="L172" s="252" t="s">
        <v>145</v>
      </c>
      <c r="M172" s="252" t="s">
        <v>146</v>
      </c>
      <c r="N172" s="252" t="s">
        <v>147</v>
      </c>
      <c r="O172" s="252" t="s">
        <v>148</v>
      </c>
      <c r="P172" s="252" t="s">
        <v>149</v>
      </c>
      <c r="Q172" s="252" t="s">
        <v>150</v>
      </c>
      <c r="R172" s="252" t="s">
        <v>86</v>
      </c>
    </row>
    <row r="173" spans="2:18" x14ac:dyDescent="0.3">
      <c r="B173" s="250" t="s">
        <v>118</v>
      </c>
      <c r="C173" s="251">
        <f t="shared" ref="C173:H173" si="85">C136*C99</f>
        <v>0</v>
      </c>
      <c r="D173" s="251">
        <f t="shared" si="85"/>
        <v>0</v>
      </c>
      <c r="E173" s="251">
        <f t="shared" si="85"/>
        <v>0</v>
      </c>
      <c r="F173" s="251">
        <f t="shared" si="85"/>
        <v>0</v>
      </c>
      <c r="G173" s="251">
        <f t="shared" si="85"/>
        <v>0</v>
      </c>
      <c r="H173" s="251">
        <f t="shared" si="85"/>
        <v>0</v>
      </c>
      <c r="I173" s="251">
        <f t="shared" ref="I173:I180" si="86">SUM(C173:H173)</f>
        <v>0</v>
      </c>
      <c r="K173" s="250" t="s">
        <v>118</v>
      </c>
      <c r="L173" s="251">
        <f t="shared" ref="L173:Q173" si="87">L136*L99</f>
        <v>0</v>
      </c>
      <c r="M173" s="251">
        <f t="shared" si="87"/>
        <v>0</v>
      </c>
      <c r="N173" s="251">
        <f t="shared" si="87"/>
        <v>0</v>
      </c>
      <c r="O173" s="251">
        <f t="shared" si="87"/>
        <v>0</v>
      </c>
      <c r="P173" s="251">
        <f t="shared" si="87"/>
        <v>0</v>
      </c>
      <c r="Q173" s="251">
        <f t="shared" si="87"/>
        <v>0</v>
      </c>
      <c r="R173" s="251">
        <f t="shared" ref="R173:R180" si="88">SUM(L173:Q173)</f>
        <v>0</v>
      </c>
    </row>
    <row r="174" spans="2:18" x14ac:dyDescent="0.3">
      <c r="B174" s="250" t="s">
        <v>120</v>
      </c>
      <c r="C174" s="251">
        <f t="shared" ref="C174:H174" si="89">C137*C100</f>
        <v>0</v>
      </c>
      <c r="D174" s="251">
        <f t="shared" si="89"/>
        <v>0</v>
      </c>
      <c r="E174" s="251">
        <f t="shared" si="89"/>
        <v>0</v>
      </c>
      <c r="F174" s="251">
        <f t="shared" si="89"/>
        <v>0</v>
      </c>
      <c r="G174" s="251">
        <f t="shared" si="89"/>
        <v>0</v>
      </c>
      <c r="H174" s="251">
        <f t="shared" si="89"/>
        <v>0</v>
      </c>
      <c r="I174" s="251">
        <f t="shared" si="86"/>
        <v>0</v>
      </c>
      <c r="K174" s="250" t="s">
        <v>120</v>
      </c>
      <c r="L174" s="251">
        <f t="shared" ref="L174:Q174" si="90">L137*L100</f>
        <v>0</v>
      </c>
      <c r="M174" s="251">
        <f t="shared" si="90"/>
        <v>0</v>
      </c>
      <c r="N174" s="251">
        <f t="shared" si="90"/>
        <v>0</v>
      </c>
      <c r="O174" s="251">
        <f t="shared" si="90"/>
        <v>0</v>
      </c>
      <c r="P174" s="251">
        <f t="shared" si="90"/>
        <v>0</v>
      </c>
      <c r="Q174" s="251">
        <f t="shared" si="90"/>
        <v>0</v>
      </c>
      <c r="R174" s="251">
        <f t="shared" si="88"/>
        <v>0</v>
      </c>
    </row>
    <row r="175" spans="2:18" x14ac:dyDescent="0.3">
      <c r="B175" s="250" t="s">
        <v>121</v>
      </c>
      <c r="C175" s="251">
        <f t="shared" ref="C175:H175" si="91">C138*C101</f>
        <v>0</v>
      </c>
      <c r="D175" s="251">
        <f t="shared" si="91"/>
        <v>0</v>
      </c>
      <c r="E175" s="251">
        <f t="shared" si="91"/>
        <v>0</v>
      </c>
      <c r="F175" s="251">
        <f t="shared" si="91"/>
        <v>0</v>
      </c>
      <c r="G175" s="251">
        <f t="shared" si="91"/>
        <v>0</v>
      </c>
      <c r="H175" s="251">
        <f t="shared" si="91"/>
        <v>0</v>
      </c>
      <c r="I175" s="251">
        <f t="shared" si="86"/>
        <v>0</v>
      </c>
      <c r="K175" s="250" t="s">
        <v>121</v>
      </c>
      <c r="L175" s="251">
        <f t="shared" ref="L175:Q175" si="92">L138*L101</f>
        <v>0</v>
      </c>
      <c r="M175" s="251">
        <f t="shared" si="92"/>
        <v>0</v>
      </c>
      <c r="N175" s="251">
        <f t="shared" si="92"/>
        <v>0</v>
      </c>
      <c r="O175" s="251">
        <f t="shared" si="92"/>
        <v>0</v>
      </c>
      <c r="P175" s="251">
        <f t="shared" si="92"/>
        <v>0</v>
      </c>
      <c r="Q175" s="251">
        <f t="shared" si="92"/>
        <v>0</v>
      </c>
      <c r="R175" s="251">
        <f t="shared" si="88"/>
        <v>0</v>
      </c>
    </row>
    <row r="176" spans="2:18" x14ac:dyDescent="0.3">
      <c r="B176" s="250" t="s">
        <v>122</v>
      </c>
      <c r="C176" s="251">
        <f t="shared" ref="C176:H176" si="93">C139*C102</f>
        <v>0</v>
      </c>
      <c r="D176" s="251">
        <f t="shared" si="93"/>
        <v>0</v>
      </c>
      <c r="E176" s="251">
        <f t="shared" si="93"/>
        <v>0</v>
      </c>
      <c r="F176" s="251">
        <f t="shared" si="93"/>
        <v>0</v>
      </c>
      <c r="G176" s="251">
        <f t="shared" si="93"/>
        <v>0</v>
      </c>
      <c r="H176" s="251">
        <f t="shared" si="93"/>
        <v>0</v>
      </c>
      <c r="I176" s="251">
        <f t="shared" si="86"/>
        <v>0</v>
      </c>
      <c r="K176" s="250" t="s">
        <v>122</v>
      </c>
      <c r="L176" s="251">
        <f t="shared" ref="L176:Q176" si="94">L139*L102</f>
        <v>0</v>
      </c>
      <c r="M176" s="251">
        <f t="shared" si="94"/>
        <v>0</v>
      </c>
      <c r="N176" s="251">
        <f t="shared" si="94"/>
        <v>0</v>
      </c>
      <c r="O176" s="251">
        <f t="shared" si="94"/>
        <v>0</v>
      </c>
      <c r="P176" s="251">
        <f t="shared" si="94"/>
        <v>0</v>
      </c>
      <c r="Q176" s="251">
        <f t="shared" si="94"/>
        <v>0</v>
      </c>
      <c r="R176" s="251">
        <f t="shared" si="88"/>
        <v>0</v>
      </c>
    </row>
    <row r="177" spans="2:18" x14ac:dyDescent="0.3">
      <c r="B177" s="250" t="s">
        <v>87</v>
      </c>
      <c r="C177" s="251">
        <f t="shared" ref="C177:H177" si="95">C140*C103</f>
        <v>0</v>
      </c>
      <c r="D177" s="251">
        <f t="shared" si="95"/>
        <v>0</v>
      </c>
      <c r="E177" s="251">
        <f t="shared" si="95"/>
        <v>0</v>
      </c>
      <c r="F177" s="251">
        <f t="shared" si="95"/>
        <v>0</v>
      </c>
      <c r="G177" s="251">
        <f t="shared" si="95"/>
        <v>0</v>
      </c>
      <c r="H177" s="251">
        <f t="shared" si="95"/>
        <v>0</v>
      </c>
      <c r="I177" s="251">
        <f t="shared" si="86"/>
        <v>0</v>
      </c>
      <c r="K177" s="250" t="s">
        <v>87</v>
      </c>
      <c r="L177" s="251">
        <f t="shared" ref="L177:Q177" si="96">L140*L103</f>
        <v>0</v>
      </c>
      <c r="M177" s="251">
        <f t="shared" si="96"/>
        <v>0</v>
      </c>
      <c r="N177" s="251">
        <f t="shared" si="96"/>
        <v>0</v>
      </c>
      <c r="O177" s="251">
        <f t="shared" si="96"/>
        <v>0</v>
      </c>
      <c r="P177" s="251">
        <f t="shared" si="96"/>
        <v>0</v>
      </c>
      <c r="Q177" s="251">
        <f t="shared" si="96"/>
        <v>0</v>
      </c>
      <c r="R177" s="251">
        <f t="shared" si="88"/>
        <v>0</v>
      </c>
    </row>
    <row r="178" spans="2:18" x14ac:dyDescent="0.3">
      <c r="B178" s="250" t="s">
        <v>75</v>
      </c>
      <c r="C178" s="251">
        <f t="shared" ref="C178:H178" si="97">C141*C104</f>
        <v>0</v>
      </c>
      <c r="D178" s="251">
        <f t="shared" si="97"/>
        <v>0</v>
      </c>
      <c r="E178" s="251">
        <f t="shared" si="97"/>
        <v>0</v>
      </c>
      <c r="F178" s="251">
        <f t="shared" si="97"/>
        <v>0</v>
      </c>
      <c r="G178" s="251">
        <f t="shared" si="97"/>
        <v>0</v>
      </c>
      <c r="H178" s="251">
        <f t="shared" si="97"/>
        <v>0</v>
      </c>
      <c r="I178" s="251">
        <f t="shared" si="86"/>
        <v>0</v>
      </c>
      <c r="K178" s="250" t="s">
        <v>75</v>
      </c>
      <c r="L178" s="251">
        <f t="shared" ref="L178:Q178" si="98">L141*L104</f>
        <v>0</v>
      </c>
      <c r="M178" s="251">
        <f t="shared" si="98"/>
        <v>0</v>
      </c>
      <c r="N178" s="251">
        <f t="shared" si="98"/>
        <v>0</v>
      </c>
      <c r="O178" s="251">
        <f t="shared" si="98"/>
        <v>0</v>
      </c>
      <c r="P178" s="251">
        <f t="shared" si="98"/>
        <v>0</v>
      </c>
      <c r="Q178" s="251">
        <f t="shared" si="98"/>
        <v>0</v>
      </c>
      <c r="R178" s="251">
        <f t="shared" si="88"/>
        <v>0</v>
      </c>
    </row>
    <row r="179" spans="2:18" x14ac:dyDescent="0.3">
      <c r="B179" s="250" t="s">
        <v>63</v>
      </c>
      <c r="C179" s="251">
        <f t="shared" ref="C179:H179" si="99">C142*C105</f>
        <v>0</v>
      </c>
      <c r="D179" s="251">
        <f t="shared" si="99"/>
        <v>0</v>
      </c>
      <c r="E179" s="251">
        <f t="shared" si="99"/>
        <v>0</v>
      </c>
      <c r="F179" s="251">
        <f t="shared" si="99"/>
        <v>0</v>
      </c>
      <c r="G179" s="251">
        <f t="shared" si="99"/>
        <v>0</v>
      </c>
      <c r="H179" s="251">
        <f t="shared" si="99"/>
        <v>0</v>
      </c>
      <c r="I179" s="251">
        <f t="shared" si="86"/>
        <v>0</v>
      </c>
      <c r="K179" s="250" t="s">
        <v>63</v>
      </c>
      <c r="L179" s="251">
        <f t="shared" ref="L179:Q179" si="100">L142*L105</f>
        <v>0</v>
      </c>
      <c r="M179" s="251">
        <f t="shared" si="100"/>
        <v>0</v>
      </c>
      <c r="N179" s="251">
        <f t="shared" si="100"/>
        <v>0</v>
      </c>
      <c r="O179" s="251">
        <f t="shared" si="100"/>
        <v>0</v>
      </c>
      <c r="P179" s="251">
        <f t="shared" si="100"/>
        <v>0</v>
      </c>
      <c r="Q179" s="251">
        <f t="shared" si="100"/>
        <v>0</v>
      </c>
      <c r="R179" s="251">
        <f t="shared" si="88"/>
        <v>0</v>
      </c>
    </row>
    <row r="180" spans="2:18" x14ac:dyDescent="0.3">
      <c r="B180" s="250" t="s">
        <v>64</v>
      </c>
      <c r="C180" s="251">
        <f t="shared" ref="C180:H180" si="101">C143*C106</f>
        <v>0</v>
      </c>
      <c r="D180" s="251">
        <f t="shared" si="101"/>
        <v>0</v>
      </c>
      <c r="E180" s="251">
        <f t="shared" si="101"/>
        <v>0</v>
      </c>
      <c r="F180" s="251">
        <f t="shared" si="101"/>
        <v>0</v>
      </c>
      <c r="G180" s="251">
        <f t="shared" si="101"/>
        <v>0</v>
      </c>
      <c r="H180" s="251">
        <f t="shared" si="101"/>
        <v>0</v>
      </c>
      <c r="I180" s="251">
        <f t="shared" si="86"/>
        <v>0</v>
      </c>
      <c r="K180" s="250" t="s">
        <v>64</v>
      </c>
      <c r="L180" s="251">
        <f t="shared" ref="L180:Q180" si="102">L143*L106</f>
        <v>0</v>
      </c>
      <c r="M180" s="251">
        <f t="shared" si="102"/>
        <v>0</v>
      </c>
      <c r="N180" s="251">
        <f t="shared" si="102"/>
        <v>0</v>
      </c>
      <c r="O180" s="251">
        <f t="shared" si="102"/>
        <v>0</v>
      </c>
      <c r="P180" s="251">
        <f t="shared" si="102"/>
        <v>0</v>
      </c>
      <c r="Q180" s="251">
        <f t="shared" si="102"/>
        <v>0</v>
      </c>
      <c r="R180" s="251">
        <f t="shared" si="88"/>
        <v>0</v>
      </c>
    </row>
    <row r="181" spans="2:18" x14ac:dyDescent="0.3">
      <c r="M181" s="166"/>
      <c r="N181" s="166"/>
      <c r="O181" s="166"/>
      <c r="P181" s="166"/>
      <c r="Q181" s="166"/>
      <c r="R181" s="166"/>
    </row>
    <row r="182" spans="2:18" x14ac:dyDescent="0.3">
      <c r="B182" s="249" t="s">
        <v>198</v>
      </c>
      <c r="C182" s="252" t="s">
        <v>145</v>
      </c>
      <c r="D182" s="252" t="s">
        <v>146</v>
      </c>
      <c r="E182" s="252" t="s">
        <v>147</v>
      </c>
      <c r="F182" s="252" t="s">
        <v>148</v>
      </c>
      <c r="G182" s="252" t="s">
        <v>149</v>
      </c>
      <c r="H182" s="252" t="s">
        <v>150</v>
      </c>
      <c r="I182" s="252" t="s">
        <v>86</v>
      </c>
      <c r="K182" s="249" t="s">
        <v>198</v>
      </c>
      <c r="L182" s="252" t="s">
        <v>145</v>
      </c>
      <c r="M182" s="252" t="s">
        <v>146</v>
      </c>
      <c r="N182" s="252" t="s">
        <v>147</v>
      </c>
      <c r="O182" s="252" t="s">
        <v>148</v>
      </c>
      <c r="P182" s="252" t="s">
        <v>149</v>
      </c>
      <c r="Q182" s="252" t="s">
        <v>150</v>
      </c>
      <c r="R182" s="252" t="s">
        <v>86</v>
      </c>
    </row>
    <row r="183" spans="2:18" x14ac:dyDescent="0.3">
      <c r="B183" s="250" t="s">
        <v>199</v>
      </c>
      <c r="C183" s="251">
        <f>SUM(C146:C153)+SUM(C155:C162)+SUM(C164:C171)+SUM(C173:C180)</f>
        <v>0</v>
      </c>
      <c r="D183" s="251">
        <f t="shared" ref="D183:H183" si="103">SUM(D146:D153)+SUM(D155:D162)+SUM(D164:D171)+SUM(D173:D180)</f>
        <v>0</v>
      </c>
      <c r="E183" s="251">
        <f t="shared" si="103"/>
        <v>0</v>
      </c>
      <c r="F183" s="251">
        <f t="shared" si="103"/>
        <v>0</v>
      </c>
      <c r="G183" s="251">
        <f t="shared" si="103"/>
        <v>0</v>
      </c>
      <c r="H183" s="251">
        <f t="shared" si="103"/>
        <v>0</v>
      </c>
      <c r="I183" s="251">
        <f>SUM(C183:H183)</f>
        <v>0</v>
      </c>
      <c r="K183" s="250" t="s">
        <v>199</v>
      </c>
      <c r="L183" s="251">
        <f t="shared" ref="L183:Q183" si="104">SUM(L146:L153)+SUM(L155:L162)+SUM(L164:L171)+SUM(L173:L180)</f>
        <v>0</v>
      </c>
      <c r="M183" s="251">
        <f t="shared" si="104"/>
        <v>0</v>
      </c>
      <c r="N183" s="251">
        <f t="shared" si="104"/>
        <v>0</v>
      </c>
      <c r="O183" s="251">
        <f t="shared" si="104"/>
        <v>0</v>
      </c>
      <c r="P183" s="251">
        <f t="shared" si="104"/>
        <v>0</v>
      </c>
      <c r="Q183" s="251">
        <f t="shared" si="104"/>
        <v>0</v>
      </c>
      <c r="R183" s="251">
        <f>SUM(L183:Q183)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8" sqref="E18"/>
    </sheetView>
  </sheetViews>
  <sheetFormatPr defaultRowHeight="14.4" x14ac:dyDescent="0.3"/>
  <cols>
    <col min="1" max="1" width="22.33203125" style="166" customWidth="1"/>
    <col min="2" max="2" width="24" style="166" customWidth="1"/>
    <col min="3" max="3" width="17.5546875" style="166" bestFit="1" customWidth="1"/>
    <col min="10" max="10" width="11.88671875" style="166" bestFit="1" customWidth="1"/>
  </cols>
  <sheetData>
    <row r="1" spans="1:10" x14ac:dyDescent="0.3">
      <c r="A1" s="14"/>
    </row>
    <row r="3" spans="1:10" x14ac:dyDescent="0.3">
      <c r="I3" t="s">
        <v>152</v>
      </c>
    </row>
    <row r="4" spans="1:10" x14ac:dyDescent="0.3">
      <c r="I4" t="s">
        <v>153</v>
      </c>
    </row>
    <row r="5" spans="1:10" ht="15" customHeight="1" thickBot="1" x14ac:dyDescent="0.35">
      <c r="B5" s="9" t="s">
        <v>86</v>
      </c>
    </row>
    <row r="6" spans="1:10" ht="15" customHeight="1" thickBot="1" x14ac:dyDescent="0.35">
      <c r="A6" s="168" t="s">
        <v>123</v>
      </c>
      <c r="B6" s="73">
        <f>Diskonttaus!B4</f>
        <v>2030</v>
      </c>
      <c r="C6" s="71"/>
      <c r="F6" s="147" t="s">
        <v>96</v>
      </c>
      <c r="G6" s="23" t="s">
        <v>126</v>
      </c>
      <c r="H6" s="23" t="s">
        <v>98</v>
      </c>
      <c r="I6" s="23" t="s">
        <v>100</v>
      </c>
      <c r="J6" s="24" t="s">
        <v>101</v>
      </c>
    </row>
    <row r="7" spans="1:10" x14ac:dyDescent="0.3">
      <c r="B7" s="202" t="s">
        <v>154</v>
      </c>
      <c r="C7" s="111">
        <f>Kayttajahyodyt!I75</f>
        <v>0</v>
      </c>
      <c r="F7" s="227">
        <v>0.46500000000000002</v>
      </c>
      <c r="G7" s="228">
        <v>9.4E-2</v>
      </c>
      <c r="H7" s="228">
        <v>0.36899999999999999</v>
      </c>
      <c r="I7" s="38"/>
      <c r="J7" s="39"/>
    </row>
    <row r="8" spans="1:10" ht="15" customHeight="1" thickBot="1" x14ac:dyDescent="0.35">
      <c r="B8" s="202" t="s">
        <v>80</v>
      </c>
      <c r="C8" s="111">
        <f>J8</f>
        <v>-23083.371537301908</v>
      </c>
      <c r="F8" s="145"/>
      <c r="G8" s="146"/>
      <c r="H8" s="146"/>
      <c r="I8" s="126">
        <v>-76.944571791006354</v>
      </c>
      <c r="J8" s="148">
        <f>I8*300</f>
        <v>-23083.371537301908</v>
      </c>
    </row>
    <row r="9" spans="1:10" ht="15" customHeight="1" thickBot="1" x14ac:dyDescent="0.35">
      <c r="B9" s="49" t="s">
        <v>11</v>
      </c>
      <c r="C9" s="104">
        <f>SUM(C7:C8)</f>
        <v>-23083.371537301908</v>
      </c>
    </row>
    <row r="10" spans="1:10" ht="15" customHeight="1" thickBot="1" x14ac:dyDescent="0.35"/>
    <row r="11" spans="1:10" ht="15" customHeight="1" thickBot="1" x14ac:dyDescent="0.35">
      <c r="B11" s="73">
        <f>Diskonttaus!B6</f>
        <v>2050</v>
      </c>
      <c r="C11" s="71"/>
      <c r="F11" s="147" t="s">
        <v>96</v>
      </c>
      <c r="G11" s="23" t="s">
        <v>126</v>
      </c>
      <c r="H11" s="23" t="s">
        <v>98</v>
      </c>
      <c r="I11" s="23" t="s">
        <v>100</v>
      </c>
      <c r="J11" s="24" t="s">
        <v>101</v>
      </c>
    </row>
    <row r="12" spans="1:10" x14ac:dyDescent="0.3">
      <c r="B12" s="202" t="s">
        <v>154</v>
      </c>
      <c r="C12" s="111">
        <f>Kayttajahyodyt!I82</f>
        <v>0</v>
      </c>
      <c r="F12" s="227">
        <v>0.46500000000000002</v>
      </c>
      <c r="G12" s="228">
        <v>9.4E-2</v>
      </c>
      <c r="H12" s="228">
        <v>0.36899999999999999</v>
      </c>
      <c r="I12" s="38"/>
      <c r="J12" s="39"/>
    </row>
    <row r="13" spans="1:10" ht="15" customHeight="1" thickBot="1" x14ac:dyDescent="0.35">
      <c r="B13" s="202" t="s">
        <v>80</v>
      </c>
      <c r="C13" s="111">
        <f>J13</f>
        <v>-68944.521088468231</v>
      </c>
      <c r="F13" s="145"/>
      <c r="G13" s="146"/>
      <c r="H13" s="146"/>
      <c r="I13" s="126">
        <v>-229.8150702948941</v>
      </c>
      <c r="J13" s="148">
        <f>I13*300</f>
        <v>-68944.521088468231</v>
      </c>
    </row>
    <row r="14" spans="1:10" ht="15" customHeight="1" thickBot="1" x14ac:dyDescent="0.35">
      <c r="B14" s="49" t="s">
        <v>11</v>
      </c>
      <c r="C14" s="104">
        <f>SUM(C12:C13)</f>
        <v>-68944.521088468231</v>
      </c>
    </row>
    <row r="15" spans="1:10" ht="15" customHeight="1" thickBot="1" x14ac:dyDescent="0.35"/>
    <row r="16" spans="1:10" ht="18.600000000000001" customHeight="1" thickBot="1" x14ac:dyDescent="0.4">
      <c r="B16" s="116" t="s">
        <v>78</v>
      </c>
      <c r="C16" s="121">
        <f ca="1">IF(ISNUMBER(Diskonttaus!B20),Diskonttaus!B26*C9+Diskonttaus!B27*C14,Diskonttaus!B26*C9)*Diskonttaus!$B$10</f>
        <v>-527291.61861127976</v>
      </c>
    </row>
    <row r="18" spans="1:3" x14ac:dyDescent="0.3">
      <c r="A18" s="168" t="s">
        <v>155</v>
      </c>
    </row>
    <row r="19" spans="1:3" ht="15" customHeight="1" thickBot="1" x14ac:dyDescent="0.35"/>
    <row r="20" spans="1:3" x14ac:dyDescent="0.3">
      <c r="B20" s="17">
        <f>Diskonttaus!B4</f>
        <v>2030</v>
      </c>
      <c r="C20" s="71"/>
    </row>
    <row r="21" spans="1:3" x14ac:dyDescent="0.3">
      <c r="B21" s="202" t="s">
        <v>76</v>
      </c>
      <c r="C21" s="59"/>
    </row>
    <row r="22" spans="1:3" x14ac:dyDescent="0.3">
      <c r="B22" s="202" t="s">
        <v>77</v>
      </c>
      <c r="C22" s="59"/>
    </row>
    <row r="23" spans="1:3" ht="15" customHeight="1" thickBot="1" x14ac:dyDescent="0.35">
      <c r="B23" s="49" t="s">
        <v>11</v>
      </c>
      <c r="C23" s="107"/>
    </row>
    <row r="24" spans="1:3" ht="15" customHeight="1" thickBot="1" x14ac:dyDescent="0.35"/>
    <row r="25" spans="1:3" x14ac:dyDescent="0.3">
      <c r="B25" s="17">
        <f>Diskonttaus!B6</f>
        <v>2050</v>
      </c>
      <c r="C25" s="71"/>
    </row>
    <row r="26" spans="1:3" x14ac:dyDescent="0.3">
      <c r="B26" s="202" t="s">
        <v>76</v>
      </c>
      <c r="C26" s="59"/>
    </row>
    <row r="27" spans="1:3" x14ac:dyDescent="0.3">
      <c r="B27" s="202" t="s">
        <v>77</v>
      </c>
      <c r="C27" s="59"/>
    </row>
    <row r="28" spans="1:3" ht="15.75" customHeight="1" thickBot="1" x14ac:dyDescent="0.35">
      <c r="B28" s="49" t="s">
        <v>11</v>
      </c>
      <c r="C28" s="107"/>
    </row>
    <row r="29" spans="1:3" ht="15" customHeight="1" thickBot="1" x14ac:dyDescent="0.35">
      <c r="B29" s="108"/>
      <c r="C29" s="151"/>
    </row>
    <row r="30" spans="1:3" ht="18.600000000000001" customHeight="1" thickBot="1" x14ac:dyDescent="0.4">
      <c r="B30" s="116" t="s">
        <v>78</v>
      </c>
      <c r="C30" s="122"/>
    </row>
  </sheetData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workbookViewId="0">
      <selection activeCell="AC9" sqref="AC9"/>
    </sheetView>
  </sheetViews>
  <sheetFormatPr defaultRowHeight="14.4" x14ac:dyDescent="0.3"/>
  <cols>
    <col min="2" max="2" width="48.33203125" style="166" customWidth="1"/>
    <col min="26" max="26" width="13.33203125" style="166" bestFit="1" customWidth="1"/>
    <col min="27" max="27" width="12" style="166" bestFit="1" customWidth="1"/>
  </cols>
  <sheetData>
    <row r="3" spans="2:27" x14ac:dyDescent="0.3">
      <c r="B3" t="s">
        <v>156</v>
      </c>
    </row>
    <row r="6" spans="2:27" ht="18" customHeight="1" x14ac:dyDescent="0.35">
      <c r="B6" s="168" t="s">
        <v>9</v>
      </c>
      <c r="D6" s="163">
        <f>SUM(C41:W41)</f>
        <v>0</v>
      </c>
      <c r="Z6" t="s">
        <v>157</v>
      </c>
      <c r="AA6" s="114" t="s">
        <v>158</v>
      </c>
    </row>
    <row r="7" spans="2:27" x14ac:dyDescent="0.3">
      <c r="Y7" t="s">
        <v>31</v>
      </c>
      <c r="Z7">
        <f>Diskonttaus!B3+Diskonttaus!B7</f>
        <v>2060</v>
      </c>
    </row>
    <row r="8" spans="2:27" ht="15" customHeight="1" thickBot="1" x14ac:dyDescent="0.35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11</v>
      </c>
    </row>
    <row r="9" spans="2:27" x14ac:dyDescent="0.3">
      <c r="B9" t="s">
        <v>159</v>
      </c>
      <c r="C9" s="51"/>
      <c r="D9" s="52"/>
      <c r="E9" s="52"/>
      <c r="F9" s="52"/>
      <c r="G9" s="52"/>
      <c r="H9" s="52"/>
      <c r="I9" s="52"/>
      <c r="J9" s="52"/>
      <c r="K9" s="52"/>
      <c r="L9" s="53"/>
      <c r="N9" s="51"/>
      <c r="O9" s="52"/>
      <c r="P9" s="52"/>
      <c r="Q9" s="52"/>
      <c r="R9" s="52"/>
      <c r="S9" s="52"/>
      <c r="T9" s="52"/>
      <c r="U9" s="52"/>
      <c r="V9" s="52"/>
      <c r="W9" s="53"/>
      <c r="X9" s="163">
        <f t="shared" ref="X9:X22" si="2">SUM(C27:W27)</f>
        <v>0</v>
      </c>
      <c r="Y9" s="163"/>
      <c r="Z9" s="187"/>
      <c r="AA9" s="229">
        <f>Z9*X9/(1+Diskonttaus!$B$8)^(Investointikustannus!$Z$7-Diskonttaus!$B$2)</f>
        <v>0</v>
      </c>
    </row>
    <row r="10" spans="2:27" x14ac:dyDescent="0.3">
      <c r="B10" t="s">
        <v>160</v>
      </c>
      <c r="C10" s="54"/>
      <c r="L10" s="65"/>
      <c r="N10" s="54"/>
      <c r="W10" s="65"/>
      <c r="X10" s="163">
        <f t="shared" si="2"/>
        <v>0</v>
      </c>
      <c r="Y10" s="163"/>
      <c r="Z10" s="188"/>
      <c r="AA10" s="229">
        <f>Z10*X10/(1+Diskonttaus!$B$8)^(Investointikustannus!$Z$7-Diskonttaus!$B$2)</f>
        <v>0</v>
      </c>
    </row>
    <row r="11" spans="2:27" x14ac:dyDescent="0.3">
      <c r="B11" t="s">
        <v>161</v>
      </c>
      <c r="C11" s="54"/>
      <c r="L11" s="65"/>
      <c r="N11" s="54"/>
      <c r="W11" s="65"/>
      <c r="X11" s="163">
        <f t="shared" si="2"/>
        <v>0</v>
      </c>
      <c r="Y11" s="163"/>
      <c r="Z11" s="188"/>
      <c r="AA11" s="229">
        <f>Z11*X11/(1+Diskonttaus!$B$8)^(Investointikustannus!$Z$7-Diskonttaus!$B$2)</f>
        <v>0</v>
      </c>
    </row>
    <row r="12" spans="2:27" x14ac:dyDescent="0.3">
      <c r="B12" t="s">
        <v>162</v>
      </c>
      <c r="C12" s="54"/>
      <c r="L12" s="65"/>
      <c r="N12" s="54"/>
      <c r="W12" s="65"/>
      <c r="X12" s="163">
        <f t="shared" si="2"/>
        <v>0</v>
      </c>
      <c r="Y12" s="163"/>
      <c r="Z12" s="188"/>
      <c r="AA12" s="229">
        <f>Z12*X12/(1+Diskonttaus!$B$8)^(Investointikustannus!$Z$7-Diskonttaus!$B$2)</f>
        <v>0</v>
      </c>
    </row>
    <row r="13" spans="2:27" x14ac:dyDescent="0.3">
      <c r="B13" t="s">
        <v>163</v>
      </c>
      <c r="C13" s="54"/>
      <c r="L13" s="65"/>
      <c r="N13" s="54"/>
      <c r="W13" s="65"/>
      <c r="X13" s="163">
        <f t="shared" si="2"/>
        <v>0</v>
      </c>
      <c r="Y13" s="163"/>
      <c r="Z13" s="188"/>
      <c r="AA13" s="229">
        <f>Z13*X13/(1+Diskonttaus!$B$8)^(Investointikustannus!$Z$7-Diskonttaus!$B$2)</f>
        <v>0</v>
      </c>
    </row>
    <row r="14" spans="2:27" x14ac:dyDescent="0.3">
      <c r="B14" t="s">
        <v>164</v>
      </c>
      <c r="C14" s="54"/>
      <c r="L14" s="65"/>
      <c r="N14" s="54"/>
      <c r="W14" s="65"/>
      <c r="X14" s="163">
        <f t="shared" si="2"/>
        <v>0</v>
      </c>
      <c r="Y14" s="163"/>
      <c r="Z14" s="189"/>
      <c r="AA14" s="163">
        <f>Z14*X14/(1+Diskonttaus!$B$8)^(Investointikustannus!$Z$7-Diskonttaus!$B$2)</f>
        <v>0</v>
      </c>
    </row>
    <row r="15" spans="2:27" x14ac:dyDescent="0.3">
      <c r="B15" t="s">
        <v>165</v>
      </c>
      <c r="C15" s="54"/>
      <c r="L15" s="65"/>
      <c r="N15" s="54"/>
      <c r="W15" s="65"/>
      <c r="X15" s="163">
        <f t="shared" si="2"/>
        <v>0</v>
      </c>
      <c r="Y15" s="163"/>
      <c r="Z15" s="189"/>
      <c r="AA15" s="163">
        <f>Z15*X15/(1+Diskonttaus!$B$8)^(Investointikustannus!$Z$7-Diskonttaus!$B$2)</f>
        <v>0</v>
      </c>
    </row>
    <row r="16" spans="2:27" x14ac:dyDescent="0.3">
      <c r="B16" t="s">
        <v>166</v>
      </c>
      <c r="C16" s="54"/>
      <c r="L16" s="65"/>
      <c r="N16" s="54"/>
      <c r="W16" s="65"/>
      <c r="X16" s="163">
        <f t="shared" si="2"/>
        <v>0</v>
      </c>
      <c r="Y16" s="163"/>
      <c r="Z16" s="189"/>
      <c r="AA16" s="163">
        <f>Z16*X16/(1+Diskonttaus!$B$8)^(Investointikustannus!$Z$7-Diskonttaus!$B$2)</f>
        <v>0</v>
      </c>
    </row>
    <row r="17" spans="2:27" x14ac:dyDescent="0.3">
      <c r="B17" t="s">
        <v>167</v>
      </c>
      <c r="C17" s="54"/>
      <c r="L17" s="65"/>
      <c r="N17" s="54"/>
      <c r="W17" s="65"/>
      <c r="X17" s="163">
        <f t="shared" si="2"/>
        <v>0</v>
      </c>
      <c r="Y17" s="163"/>
      <c r="Z17" s="189"/>
      <c r="AA17" s="163">
        <f>Z17*X17/(1+Diskonttaus!$B$8)^(Investointikustannus!$Z$7-Diskonttaus!$B$2)</f>
        <v>0</v>
      </c>
    </row>
    <row r="18" spans="2:27" x14ac:dyDescent="0.3">
      <c r="B18" t="s">
        <v>168</v>
      </c>
      <c r="C18" s="54"/>
      <c r="L18" s="65"/>
      <c r="N18" s="54"/>
      <c r="W18" s="65"/>
      <c r="X18" s="163">
        <f t="shared" si="2"/>
        <v>0</v>
      </c>
      <c r="Y18" s="163"/>
      <c r="Z18" s="189"/>
      <c r="AA18" s="163">
        <f>Z18*X18/(1+Diskonttaus!$B$8)^(Investointikustannus!$Z$7-Diskonttaus!$B$2)</f>
        <v>0</v>
      </c>
    </row>
    <row r="19" spans="2:27" x14ac:dyDescent="0.3">
      <c r="B19" t="s">
        <v>169</v>
      </c>
      <c r="C19" s="54"/>
      <c r="L19" s="65"/>
      <c r="N19" s="54"/>
      <c r="W19" s="65"/>
      <c r="X19" s="163">
        <f t="shared" si="2"/>
        <v>0</v>
      </c>
      <c r="Y19" s="163"/>
      <c r="Z19" s="189"/>
      <c r="AA19" s="163">
        <f>Z19*X19/(1+Diskonttaus!$B$8)^(Investointikustannus!$Z$7-Diskonttaus!$B$2)</f>
        <v>0</v>
      </c>
    </row>
    <row r="20" spans="2:27" x14ac:dyDescent="0.3">
      <c r="B20" t="s">
        <v>170</v>
      </c>
      <c r="C20" s="54"/>
      <c r="L20" s="65"/>
      <c r="N20" s="54"/>
      <c r="W20" s="65"/>
      <c r="X20" s="163">
        <f t="shared" si="2"/>
        <v>0</v>
      </c>
      <c r="Y20" s="163"/>
      <c r="Z20" s="189"/>
      <c r="AA20" s="163">
        <f>Z20*X20/(1+Diskonttaus!$B$8)^(Investointikustannus!$Z$7-Diskonttaus!$B$2)</f>
        <v>0</v>
      </c>
    </row>
    <row r="21" spans="2:27" x14ac:dyDescent="0.3">
      <c r="B21" t="s">
        <v>171</v>
      </c>
      <c r="C21" s="54"/>
      <c r="L21" s="65"/>
      <c r="N21" s="54"/>
      <c r="W21" s="65"/>
      <c r="X21" s="163">
        <f t="shared" si="2"/>
        <v>0</v>
      </c>
      <c r="Y21" s="163"/>
      <c r="Z21" s="189"/>
      <c r="AA21" s="163">
        <f>Z21*X21/(1+Diskonttaus!$B$8)^(Investointikustannus!$Z$7-Diskonttaus!$B$2)</f>
        <v>0</v>
      </c>
    </row>
    <row r="22" spans="2:27" ht="15" customHeight="1" thickBot="1" x14ac:dyDescent="0.35">
      <c r="B22" t="s">
        <v>172</v>
      </c>
      <c r="C22" s="34"/>
      <c r="D22" s="69"/>
      <c r="E22" s="69"/>
      <c r="F22" s="69"/>
      <c r="G22" s="69"/>
      <c r="H22" s="69"/>
      <c r="I22" s="69"/>
      <c r="J22" s="69"/>
      <c r="K22" s="69"/>
      <c r="L22" s="74"/>
      <c r="N22" s="34"/>
      <c r="O22" s="69"/>
      <c r="P22" s="69"/>
      <c r="Q22" s="69"/>
      <c r="R22" s="69"/>
      <c r="S22" s="69"/>
      <c r="T22" s="69"/>
      <c r="U22" s="69"/>
      <c r="V22" s="69"/>
      <c r="W22" s="74"/>
      <c r="X22" s="163">
        <f t="shared" si="2"/>
        <v>0</v>
      </c>
      <c r="Y22" s="163"/>
      <c r="Z22" s="190"/>
      <c r="AA22" s="163">
        <f>Z22*X22/(1+Diskonttaus!$B$8)^(Investointikustannus!$Z$7-Diskonttaus!$B$2)</f>
        <v>0</v>
      </c>
    </row>
    <row r="23" spans="2:27" ht="18.600000000000001" customHeight="1" thickBot="1" x14ac:dyDescent="0.4">
      <c r="B23" t="s">
        <v>11</v>
      </c>
      <c r="C23">
        <f t="shared" ref="C23:L23" si="3">SUM(C9:C22)</f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N23">
        <f t="shared" ref="N23:W23" si="4">SUM(N9:N22)</f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4"/>
        <v>0</v>
      </c>
      <c r="W23">
        <f t="shared" si="4"/>
        <v>0</v>
      </c>
      <c r="AA23" s="139">
        <f>SUM(AA9:AA22)</f>
        <v>0</v>
      </c>
    </row>
    <row r="26" spans="2:27" x14ac:dyDescent="0.3">
      <c r="B26" t="s">
        <v>173</v>
      </c>
    </row>
    <row r="27" spans="2:27" x14ac:dyDescent="0.3">
      <c r="B27" t="s">
        <v>159</v>
      </c>
      <c r="C27" s="13">
        <f>C9/(1+Diskonttaus!$B$8)^(Investointikustannus!C$8-Diskonttaus!$B$2)*Diskonttaus!$B$10</f>
        <v>0</v>
      </c>
      <c r="D27" s="13">
        <f>D9/(1+Diskonttaus!$B$8)^(Investointikustannus!D$8-Diskonttaus!$B$2)*Diskonttaus!$B$10</f>
        <v>0</v>
      </c>
      <c r="E27" s="13">
        <f>E9/(1+Diskonttaus!$B$8)^(Investointikustannus!E$8-Diskonttaus!$B$2)*Diskonttaus!$B$10</f>
        <v>0</v>
      </c>
      <c r="F27" s="13">
        <f>F9/(1+Diskonttaus!$B$8)^(Investointikustannus!F$8-Diskonttaus!$B$2)*Diskonttaus!$B$10</f>
        <v>0</v>
      </c>
      <c r="G27" s="13">
        <f>G9/(1+Diskonttaus!$B$8)^(Investointikustannus!G$8-Diskonttaus!$B$2)*Diskonttaus!$B$10</f>
        <v>0</v>
      </c>
      <c r="H27" s="13">
        <f>H9/(1+Diskonttaus!$B$8)^(Investointikustannus!H$8-Diskonttaus!$B$2)*Diskonttaus!$B$10</f>
        <v>0</v>
      </c>
      <c r="I27" s="13">
        <f>I9/(1+Diskonttaus!$B$8)^(Investointikustannus!I$8-Diskonttaus!$B$2)*Diskonttaus!$B$10</f>
        <v>0</v>
      </c>
      <c r="J27" s="13">
        <f>J9/(1+Diskonttaus!$B$8)^(Investointikustannus!J$8-Diskonttaus!$B$2)*Diskonttaus!$B$10</f>
        <v>0</v>
      </c>
      <c r="K27" s="13">
        <f>K9/(1+Diskonttaus!$B$8)^(Investointikustannus!K$8-Diskonttaus!$B$2)*Diskonttaus!$B$10</f>
        <v>0</v>
      </c>
      <c r="L27" s="5">
        <f>L9/(1+Diskonttaus!$B$8)^(Investointikustannus!L$8-Diskonttaus!$B$2)*Diskonttaus!$B$10</f>
        <v>0</v>
      </c>
      <c r="N27" s="13">
        <f>N9/(1+Diskonttaus!$B$8)^(Investointikustannus!N$8-Diskonttaus!$B$2)*Diskonttaus!$B$10</f>
        <v>0</v>
      </c>
      <c r="O27" s="13">
        <f>O9/(1+Diskonttaus!$B$8)^(Investointikustannus!O$8-Diskonttaus!$B$2)*Diskonttaus!$B$10</f>
        <v>0</v>
      </c>
      <c r="P27" s="13">
        <f>P9/(1+Diskonttaus!$B$8)^(Investointikustannus!P$8-Diskonttaus!$B$2)*Diskonttaus!$B$10</f>
        <v>0</v>
      </c>
      <c r="Q27" s="13">
        <f>Q9/(1+Diskonttaus!$B$8)^(Investointikustannus!Q$8-Diskonttaus!$B$2)*Diskonttaus!$B$10</f>
        <v>0</v>
      </c>
      <c r="R27" s="13">
        <f>R9/(1+Diskonttaus!$B$8)^(Investointikustannus!R$8-Diskonttaus!$B$2)*Diskonttaus!$B$10</f>
        <v>0</v>
      </c>
      <c r="S27" s="13">
        <f>S9/(1+Diskonttaus!$B$8)^(Investointikustannus!S$8-Diskonttaus!$B$2)*Diskonttaus!$B$10</f>
        <v>0</v>
      </c>
      <c r="T27" s="13">
        <f>T9/(1+Diskonttaus!$B$8)^(Investointikustannus!T$8-Diskonttaus!$B$2)*Diskonttaus!$B$10</f>
        <v>0</v>
      </c>
      <c r="U27" s="13">
        <f>U9/(1+Diskonttaus!$B$8)^(Investointikustannus!U$8-Diskonttaus!$B$2)*Diskonttaus!$B$10</f>
        <v>0</v>
      </c>
      <c r="V27" s="13">
        <f>V9/(1+Diskonttaus!$B$8)^(Investointikustannus!V$8-Diskonttaus!$B$2)*Diskonttaus!$B$10</f>
        <v>0</v>
      </c>
      <c r="W27" s="5">
        <f>W9/(1+Diskonttaus!$B$8)^(Investointikustannus!W$8-Diskonttaus!$B$2)*Diskonttaus!$B$10</f>
        <v>0</v>
      </c>
    </row>
    <row r="28" spans="2:27" x14ac:dyDescent="0.3">
      <c r="B28" t="s">
        <v>160</v>
      </c>
      <c r="C28" s="13">
        <f>C10/(1+Diskonttaus!$B$8)^(Investointikustannus!C$8-Diskonttaus!$B$2)*Diskonttaus!$B$10</f>
        <v>0</v>
      </c>
      <c r="D28" s="13">
        <f>D10/(1+Diskonttaus!$B$8)^(Investointikustannus!D$8-Diskonttaus!$B$2)*Diskonttaus!$B$10</f>
        <v>0</v>
      </c>
      <c r="E28" s="13">
        <f>E10/(1+Diskonttaus!$B$8)^(Investointikustannus!E$8-Diskonttaus!$B$2)*Diskonttaus!$B$10</f>
        <v>0</v>
      </c>
      <c r="F28" s="13">
        <f>F10/(1+Diskonttaus!$B$8)^(Investointikustannus!F$8-Diskonttaus!$B$2)*Diskonttaus!$B$10</f>
        <v>0</v>
      </c>
      <c r="G28" s="13">
        <f>G10/(1+Diskonttaus!$B$8)^(Investointikustannus!G$8-Diskonttaus!$B$2)*Diskonttaus!$B$10</f>
        <v>0</v>
      </c>
      <c r="H28" s="13">
        <f>H10/(1+Diskonttaus!$B$8)^(Investointikustannus!H$8-Diskonttaus!$B$2)*Diskonttaus!$B$10</f>
        <v>0</v>
      </c>
      <c r="I28" s="13">
        <f>I10/(1+Diskonttaus!$B$8)^(Investointikustannus!I$8-Diskonttaus!$B$2)*Diskonttaus!$B$10</f>
        <v>0</v>
      </c>
      <c r="J28" s="13">
        <f>J10/(1+Diskonttaus!$B$8)^(Investointikustannus!J$8-Diskonttaus!$B$2)*Diskonttaus!$B$10</f>
        <v>0</v>
      </c>
      <c r="K28" s="13">
        <f>K10/(1+Diskonttaus!$B$8)^(Investointikustannus!K$8-Diskonttaus!$B$2)*Diskonttaus!$B$10</f>
        <v>0</v>
      </c>
      <c r="L28" s="5">
        <f>L10/(1+Diskonttaus!$B$8)^(Investointikustannus!L$8-Diskonttaus!$B$2)*Diskonttaus!$B$10</f>
        <v>0</v>
      </c>
      <c r="N28" s="13">
        <f>N10/(1+Diskonttaus!$B$8)^(Investointikustannus!N$8-Diskonttaus!$B$2)*Diskonttaus!$B$10</f>
        <v>0</v>
      </c>
      <c r="O28" s="13">
        <f>O10/(1+Diskonttaus!$B$8)^(Investointikustannus!O$8-Diskonttaus!$B$2)*Diskonttaus!$B$10</f>
        <v>0</v>
      </c>
      <c r="P28" s="13">
        <f>P10/(1+Diskonttaus!$B$8)^(Investointikustannus!P$8-Diskonttaus!$B$2)*Diskonttaus!$B$10</f>
        <v>0</v>
      </c>
      <c r="Q28" s="13">
        <f>Q10/(1+Diskonttaus!$B$8)^(Investointikustannus!Q$8-Diskonttaus!$B$2)*Diskonttaus!$B$10</f>
        <v>0</v>
      </c>
      <c r="R28" s="13">
        <f>R10/(1+Diskonttaus!$B$8)^(Investointikustannus!R$8-Diskonttaus!$B$2)*Diskonttaus!$B$10</f>
        <v>0</v>
      </c>
      <c r="S28" s="13">
        <f>S10/(1+Diskonttaus!$B$8)^(Investointikustannus!S$8-Diskonttaus!$B$2)*Diskonttaus!$B$10</f>
        <v>0</v>
      </c>
      <c r="T28" s="13">
        <f>T10/(1+Diskonttaus!$B$8)^(Investointikustannus!T$8-Diskonttaus!$B$2)*Diskonttaus!$B$10</f>
        <v>0</v>
      </c>
      <c r="U28" s="13">
        <f>U10/(1+Diskonttaus!$B$8)^(Investointikustannus!U$8-Diskonttaus!$B$2)*Diskonttaus!$B$10</f>
        <v>0</v>
      </c>
      <c r="V28" s="13">
        <f>V10/(1+Diskonttaus!$B$8)^(Investointikustannus!V$8-Diskonttaus!$B$2)*Diskonttaus!$B$10</f>
        <v>0</v>
      </c>
      <c r="W28" s="5">
        <f>W10/(1+Diskonttaus!$B$8)^(Investointikustannus!W$8-Diskonttaus!$B$2)*Diskonttaus!$B$10</f>
        <v>0</v>
      </c>
    </row>
    <row r="29" spans="2:27" x14ac:dyDescent="0.3">
      <c r="B29" t="s">
        <v>161</v>
      </c>
      <c r="C29" s="13">
        <f>C11/(1+Diskonttaus!$B$8)^(Investointikustannus!C$8-Diskonttaus!$B$2)*Diskonttaus!$B$10</f>
        <v>0</v>
      </c>
      <c r="D29" s="13">
        <f>D11/(1+Diskonttaus!$B$8)^(Investointikustannus!D$8-Diskonttaus!$B$2)*Diskonttaus!$B$10</f>
        <v>0</v>
      </c>
      <c r="E29" s="13">
        <f>E11/(1+Diskonttaus!$B$8)^(Investointikustannus!E$8-Diskonttaus!$B$2)*Diskonttaus!$B$10</f>
        <v>0</v>
      </c>
      <c r="F29" s="13">
        <f>F11/(1+Diskonttaus!$B$8)^(Investointikustannus!F$8-Diskonttaus!$B$2)*Diskonttaus!$B$10</f>
        <v>0</v>
      </c>
      <c r="G29" s="13">
        <f>G11/(1+Diskonttaus!$B$8)^(Investointikustannus!G$8-Diskonttaus!$B$2)*Diskonttaus!$B$10</f>
        <v>0</v>
      </c>
      <c r="H29" s="13">
        <f>H11/(1+Diskonttaus!$B$8)^(Investointikustannus!H$8-Diskonttaus!$B$2)*Diskonttaus!$B$10</f>
        <v>0</v>
      </c>
      <c r="I29" s="13">
        <f>I11/(1+Diskonttaus!$B$8)^(Investointikustannus!I$8-Diskonttaus!$B$2)*Diskonttaus!$B$10</f>
        <v>0</v>
      </c>
      <c r="J29" s="13">
        <f>J11/(1+Diskonttaus!$B$8)^(Investointikustannus!J$8-Diskonttaus!$B$2)*Diskonttaus!$B$10</f>
        <v>0</v>
      </c>
      <c r="K29" s="13">
        <f>K11/(1+Diskonttaus!$B$8)^(Investointikustannus!K$8-Diskonttaus!$B$2)*Diskonttaus!$B$10</f>
        <v>0</v>
      </c>
      <c r="L29" s="5">
        <f>L11/(1+Diskonttaus!$B$8)^(Investointikustannus!L$8-Diskonttaus!$B$2)*Diskonttaus!$B$10</f>
        <v>0</v>
      </c>
      <c r="N29" s="13">
        <f>N11/(1+Diskonttaus!$B$8)^(Investointikustannus!N$8-Diskonttaus!$B$2)*Diskonttaus!$B$10</f>
        <v>0</v>
      </c>
      <c r="O29" s="13">
        <f>O11/(1+Diskonttaus!$B$8)^(Investointikustannus!O$8-Diskonttaus!$B$2)*Diskonttaus!$B$10</f>
        <v>0</v>
      </c>
      <c r="P29" s="13">
        <f>P11/(1+Diskonttaus!$B$8)^(Investointikustannus!P$8-Diskonttaus!$B$2)*Diskonttaus!$B$10</f>
        <v>0</v>
      </c>
      <c r="Q29" s="13">
        <f>Q11/(1+Diskonttaus!$B$8)^(Investointikustannus!Q$8-Diskonttaus!$B$2)*Diskonttaus!$B$10</f>
        <v>0</v>
      </c>
      <c r="R29" s="13">
        <f>R11/(1+Diskonttaus!$B$8)^(Investointikustannus!R$8-Diskonttaus!$B$2)*Diskonttaus!$B$10</f>
        <v>0</v>
      </c>
      <c r="S29" s="13">
        <f>S11/(1+Diskonttaus!$B$8)^(Investointikustannus!S$8-Diskonttaus!$B$2)*Diskonttaus!$B$10</f>
        <v>0</v>
      </c>
      <c r="T29" s="13">
        <f>T11/(1+Diskonttaus!$B$8)^(Investointikustannus!T$8-Diskonttaus!$B$2)*Diskonttaus!$B$10</f>
        <v>0</v>
      </c>
      <c r="U29" s="13">
        <f>U11/(1+Diskonttaus!$B$8)^(Investointikustannus!U$8-Diskonttaus!$B$2)*Diskonttaus!$B$10</f>
        <v>0</v>
      </c>
      <c r="V29" s="13">
        <f>V11/(1+Diskonttaus!$B$8)^(Investointikustannus!V$8-Diskonttaus!$B$2)*Diskonttaus!$B$10</f>
        <v>0</v>
      </c>
      <c r="W29" s="5">
        <f>W11/(1+Diskonttaus!$B$8)^(Investointikustannus!W$8-Diskonttaus!$B$2)*Diskonttaus!$B$10</f>
        <v>0</v>
      </c>
    </row>
    <row r="30" spans="2:27" x14ac:dyDescent="0.3">
      <c r="B30" t="s">
        <v>162</v>
      </c>
      <c r="C30" s="13">
        <f>C12/(1+Diskonttaus!$B$8)^(Investointikustannus!C$8-Diskonttaus!$B$2)*Diskonttaus!$B$10</f>
        <v>0</v>
      </c>
      <c r="D30" s="13">
        <f>D12/(1+Diskonttaus!$B$8)^(Investointikustannus!D$8-Diskonttaus!$B$2)*Diskonttaus!$B$10</f>
        <v>0</v>
      </c>
      <c r="E30" s="13">
        <f>E12/(1+Diskonttaus!$B$8)^(Investointikustannus!E$8-Diskonttaus!$B$2)*Diskonttaus!$B$10</f>
        <v>0</v>
      </c>
      <c r="F30" s="13">
        <f>F12/(1+Diskonttaus!$B$8)^(Investointikustannus!F$8-Diskonttaus!$B$2)*Diskonttaus!$B$10</f>
        <v>0</v>
      </c>
      <c r="G30" s="13">
        <f>G12/(1+Diskonttaus!$B$8)^(Investointikustannus!G$8-Diskonttaus!$B$2)*Diskonttaus!$B$10</f>
        <v>0</v>
      </c>
      <c r="H30" s="13">
        <f>H12/(1+Diskonttaus!$B$8)^(Investointikustannus!H$8-Diskonttaus!$B$2)*Diskonttaus!$B$10</f>
        <v>0</v>
      </c>
      <c r="I30" s="13">
        <f>I12/(1+Diskonttaus!$B$8)^(Investointikustannus!I$8-Diskonttaus!$B$2)*Diskonttaus!$B$10</f>
        <v>0</v>
      </c>
      <c r="J30" s="13">
        <f>J12/(1+Diskonttaus!$B$8)^(Investointikustannus!J$8-Diskonttaus!$B$2)*Diskonttaus!$B$10</f>
        <v>0</v>
      </c>
      <c r="K30" s="13">
        <f>K12/(1+Diskonttaus!$B$8)^(Investointikustannus!K$8-Diskonttaus!$B$2)*Diskonttaus!$B$10</f>
        <v>0</v>
      </c>
      <c r="L30" s="5">
        <f>L12/(1+Diskonttaus!$B$8)^(Investointikustannus!L$8-Diskonttaus!$B$2)*Diskonttaus!$B$10</f>
        <v>0</v>
      </c>
      <c r="N30" s="13">
        <f>N12/(1+Diskonttaus!$B$8)^(Investointikustannus!N$8-Diskonttaus!$B$2)*Diskonttaus!$B$10</f>
        <v>0</v>
      </c>
      <c r="O30" s="13">
        <f>O12/(1+Diskonttaus!$B$8)^(Investointikustannus!O$8-Diskonttaus!$B$2)*Diskonttaus!$B$10</f>
        <v>0</v>
      </c>
      <c r="P30" s="13">
        <f>P12/(1+Diskonttaus!$B$8)^(Investointikustannus!P$8-Diskonttaus!$B$2)*Diskonttaus!$B$10</f>
        <v>0</v>
      </c>
      <c r="Q30" s="13">
        <f>Q12/(1+Diskonttaus!$B$8)^(Investointikustannus!Q$8-Diskonttaus!$B$2)*Diskonttaus!$B$10</f>
        <v>0</v>
      </c>
      <c r="R30" s="13">
        <f>R12/(1+Diskonttaus!$B$8)^(Investointikustannus!R$8-Diskonttaus!$B$2)*Diskonttaus!$B$10</f>
        <v>0</v>
      </c>
      <c r="S30" s="13">
        <f>S12/(1+Diskonttaus!$B$8)^(Investointikustannus!S$8-Diskonttaus!$B$2)*Diskonttaus!$B$10</f>
        <v>0</v>
      </c>
      <c r="T30" s="13">
        <f>T12/(1+Diskonttaus!$B$8)^(Investointikustannus!T$8-Diskonttaus!$B$2)*Diskonttaus!$B$10</f>
        <v>0</v>
      </c>
      <c r="U30" s="13">
        <f>U12/(1+Diskonttaus!$B$8)^(Investointikustannus!U$8-Diskonttaus!$B$2)*Diskonttaus!$B$10</f>
        <v>0</v>
      </c>
      <c r="V30" s="13">
        <f>V12/(1+Diskonttaus!$B$8)^(Investointikustannus!V$8-Diskonttaus!$B$2)*Diskonttaus!$B$10</f>
        <v>0</v>
      </c>
      <c r="W30" s="5">
        <f>W12/(1+Diskonttaus!$B$8)^(Investointikustannus!W$8-Diskonttaus!$B$2)*Diskonttaus!$B$10</f>
        <v>0</v>
      </c>
    </row>
    <row r="31" spans="2:27" x14ac:dyDescent="0.3">
      <c r="B31" t="s">
        <v>163</v>
      </c>
      <c r="C31" s="13">
        <f>C13/(1+Diskonttaus!$B$8)^(Investointikustannus!C$8-Diskonttaus!$B$2)*Diskonttaus!$B$10</f>
        <v>0</v>
      </c>
      <c r="D31" s="13">
        <f>D13/(1+Diskonttaus!$B$8)^(Investointikustannus!D$8-Diskonttaus!$B$2)*Diskonttaus!$B$10</f>
        <v>0</v>
      </c>
      <c r="E31" s="13">
        <f>E13/(1+Diskonttaus!$B$8)^(Investointikustannus!E$8-Diskonttaus!$B$2)*Diskonttaus!$B$10</f>
        <v>0</v>
      </c>
      <c r="F31" s="13">
        <f>F13/(1+Diskonttaus!$B$8)^(Investointikustannus!F$8-Diskonttaus!$B$2)*Diskonttaus!$B$10</f>
        <v>0</v>
      </c>
      <c r="G31" s="13">
        <f>G13/(1+Diskonttaus!$B$8)^(Investointikustannus!G$8-Diskonttaus!$B$2)*Diskonttaus!$B$10</f>
        <v>0</v>
      </c>
      <c r="H31" s="13">
        <f>H13/(1+Diskonttaus!$B$8)^(Investointikustannus!H$8-Diskonttaus!$B$2)*Diskonttaus!$B$10</f>
        <v>0</v>
      </c>
      <c r="I31" s="13">
        <f>I13/(1+Diskonttaus!$B$8)^(Investointikustannus!I$8-Diskonttaus!$B$2)*Diskonttaus!$B$10</f>
        <v>0</v>
      </c>
      <c r="J31" s="13">
        <f>J13/(1+Diskonttaus!$B$8)^(Investointikustannus!J$8-Diskonttaus!$B$2)*Diskonttaus!$B$10</f>
        <v>0</v>
      </c>
      <c r="K31" s="13">
        <f>K13/(1+Diskonttaus!$B$8)^(Investointikustannus!K$8-Diskonttaus!$B$2)*Diskonttaus!$B$10</f>
        <v>0</v>
      </c>
      <c r="L31" s="5">
        <f>L13/(1+Diskonttaus!$B$8)^(Investointikustannus!L$8-Diskonttaus!$B$2)*Diskonttaus!$B$10</f>
        <v>0</v>
      </c>
      <c r="N31" s="13">
        <f>N13/(1+Diskonttaus!$B$8)^(Investointikustannus!N$8-Diskonttaus!$B$2)*Diskonttaus!$B$10</f>
        <v>0</v>
      </c>
      <c r="O31" s="13">
        <f>O13/(1+Diskonttaus!$B$8)^(Investointikustannus!O$8-Diskonttaus!$B$2)*Diskonttaus!$B$10</f>
        <v>0</v>
      </c>
      <c r="P31" s="13">
        <f>P13/(1+Diskonttaus!$B$8)^(Investointikustannus!P$8-Diskonttaus!$B$2)*Diskonttaus!$B$10</f>
        <v>0</v>
      </c>
      <c r="Q31" s="13">
        <f>Q13/(1+Diskonttaus!$B$8)^(Investointikustannus!Q$8-Diskonttaus!$B$2)*Diskonttaus!$B$10</f>
        <v>0</v>
      </c>
      <c r="R31" s="13">
        <f>R13/(1+Diskonttaus!$B$8)^(Investointikustannus!R$8-Diskonttaus!$B$2)*Diskonttaus!$B$10</f>
        <v>0</v>
      </c>
      <c r="S31" s="13">
        <f>S13/(1+Diskonttaus!$B$8)^(Investointikustannus!S$8-Diskonttaus!$B$2)*Diskonttaus!$B$10</f>
        <v>0</v>
      </c>
      <c r="T31" s="13">
        <f>T13/(1+Diskonttaus!$B$8)^(Investointikustannus!T$8-Diskonttaus!$B$2)*Diskonttaus!$B$10</f>
        <v>0</v>
      </c>
      <c r="U31" s="13">
        <f>U13/(1+Diskonttaus!$B$8)^(Investointikustannus!U$8-Diskonttaus!$B$2)*Diskonttaus!$B$10</f>
        <v>0</v>
      </c>
      <c r="V31" s="13">
        <f>V13/(1+Diskonttaus!$B$8)^(Investointikustannus!V$8-Diskonttaus!$B$2)*Diskonttaus!$B$10</f>
        <v>0</v>
      </c>
      <c r="W31" s="5">
        <f>W13/(1+Diskonttaus!$B$8)^(Investointikustannus!W$8-Diskonttaus!$B$2)*Diskonttaus!$B$10</f>
        <v>0</v>
      </c>
    </row>
    <row r="32" spans="2:27" x14ac:dyDescent="0.3">
      <c r="B32" t="s">
        <v>164</v>
      </c>
      <c r="C32" s="13">
        <f>C14/(1+Diskonttaus!$B$8)^(Investointikustannus!C$8-Diskonttaus!$B$2)*Diskonttaus!$B$10</f>
        <v>0</v>
      </c>
      <c r="D32" s="13">
        <f>D14/(1+Diskonttaus!$B$8)^(Investointikustannus!D$8-Diskonttaus!$B$2)*Diskonttaus!$B$10</f>
        <v>0</v>
      </c>
      <c r="E32" s="13">
        <f>E14/(1+Diskonttaus!$B$8)^(Investointikustannus!E$8-Diskonttaus!$B$2)*Diskonttaus!$B$10</f>
        <v>0</v>
      </c>
      <c r="F32" s="13">
        <f>F14/(1+Diskonttaus!$B$8)^(Investointikustannus!F$8-Diskonttaus!$B$2)*Diskonttaus!$B$10</f>
        <v>0</v>
      </c>
      <c r="G32" s="13">
        <f>G14/(1+Diskonttaus!$B$8)^(Investointikustannus!G$8-Diskonttaus!$B$2)*Diskonttaus!$B$10</f>
        <v>0</v>
      </c>
      <c r="H32" s="13">
        <f>H14/(1+Diskonttaus!$B$8)^(Investointikustannus!H$8-Diskonttaus!$B$2)*Diskonttaus!$B$10</f>
        <v>0</v>
      </c>
      <c r="I32" s="13">
        <f>I14/(1+Diskonttaus!$B$8)^(Investointikustannus!I$8-Diskonttaus!$B$2)*Diskonttaus!$B$10</f>
        <v>0</v>
      </c>
      <c r="J32" s="13">
        <f>J14/(1+Diskonttaus!$B$8)^(Investointikustannus!J$8-Diskonttaus!$B$2)*Diskonttaus!$B$10</f>
        <v>0</v>
      </c>
      <c r="K32" s="13">
        <f>K14/(1+Diskonttaus!$B$8)^(Investointikustannus!K$8-Diskonttaus!$B$2)*Diskonttaus!$B$10</f>
        <v>0</v>
      </c>
      <c r="L32" s="5">
        <f>L14/(1+Diskonttaus!$B$8)^(Investointikustannus!L$8-Diskonttaus!$B$2)*Diskonttaus!$B$10</f>
        <v>0</v>
      </c>
      <c r="N32" s="13">
        <f>N14/(1+Diskonttaus!$B$8)^(Investointikustannus!N$8-Diskonttaus!$B$2)*Diskonttaus!$B$10</f>
        <v>0</v>
      </c>
      <c r="O32" s="13">
        <f>O14/(1+Diskonttaus!$B$8)^(Investointikustannus!O$8-Diskonttaus!$B$2)*Diskonttaus!$B$10</f>
        <v>0</v>
      </c>
      <c r="P32" s="13">
        <f>P14/(1+Diskonttaus!$B$8)^(Investointikustannus!P$8-Diskonttaus!$B$2)*Diskonttaus!$B$10</f>
        <v>0</v>
      </c>
      <c r="Q32" s="13">
        <f>Q14/(1+Diskonttaus!$B$8)^(Investointikustannus!Q$8-Diskonttaus!$B$2)*Diskonttaus!$B$10</f>
        <v>0</v>
      </c>
      <c r="R32" s="13">
        <f>R14/(1+Diskonttaus!$B$8)^(Investointikustannus!R$8-Diskonttaus!$B$2)*Diskonttaus!$B$10</f>
        <v>0</v>
      </c>
      <c r="S32" s="13">
        <f>S14/(1+Diskonttaus!$B$8)^(Investointikustannus!S$8-Diskonttaus!$B$2)*Diskonttaus!$B$10</f>
        <v>0</v>
      </c>
      <c r="T32" s="13">
        <f>T14/(1+Diskonttaus!$B$8)^(Investointikustannus!T$8-Diskonttaus!$B$2)*Diskonttaus!$B$10</f>
        <v>0</v>
      </c>
      <c r="U32" s="13">
        <f>U14/(1+Diskonttaus!$B$8)^(Investointikustannus!U$8-Diskonttaus!$B$2)*Diskonttaus!$B$10</f>
        <v>0</v>
      </c>
      <c r="V32" s="13">
        <f>V14/(1+Diskonttaus!$B$8)^(Investointikustannus!V$8-Diskonttaus!$B$2)*Diskonttaus!$B$10</f>
        <v>0</v>
      </c>
      <c r="W32" s="5">
        <f>W14/(1+Diskonttaus!$B$8)^(Investointikustannus!W$8-Diskonttaus!$B$2)*Diskonttaus!$B$10</f>
        <v>0</v>
      </c>
    </row>
    <row r="33" spans="2:23" x14ac:dyDescent="0.3">
      <c r="B33" t="s">
        <v>165</v>
      </c>
      <c r="C33" s="13">
        <f>C15/(1+Diskonttaus!$B$8)^(Investointikustannus!C$8-Diskonttaus!$B$2)*Diskonttaus!$B$10</f>
        <v>0</v>
      </c>
      <c r="D33" s="13">
        <f>D15/(1+Diskonttaus!$B$8)^(Investointikustannus!D$8-Diskonttaus!$B$2)*Diskonttaus!$B$10</f>
        <v>0</v>
      </c>
      <c r="E33" s="13">
        <f>E15/(1+Diskonttaus!$B$8)^(Investointikustannus!E$8-Diskonttaus!$B$2)*Diskonttaus!$B$10</f>
        <v>0</v>
      </c>
      <c r="F33" s="13">
        <f>F15/(1+Diskonttaus!$B$8)^(Investointikustannus!F$8-Diskonttaus!$B$2)*Diskonttaus!$B$10</f>
        <v>0</v>
      </c>
      <c r="G33" s="13">
        <f>G15/(1+Diskonttaus!$B$8)^(Investointikustannus!G$8-Diskonttaus!$B$2)*Diskonttaus!$B$10</f>
        <v>0</v>
      </c>
      <c r="H33" s="13">
        <f>H15/(1+Diskonttaus!$B$8)^(Investointikustannus!H$8-Diskonttaus!$B$2)*Diskonttaus!$B$10</f>
        <v>0</v>
      </c>
      <c r="I33" s="13">
        <f>I15/(1+Diskonttaus!$B$8)^(Investointikustannus!I$8-Diskonttaus!$B$2)*Diskonttaus!$B$10</f>
        <v>0</v>
      </c>
      <c r="J33" s="13">
        <f>J15/(1+Diskonttaus!$B$8)^(Investointikustannus!J$8-Diskonttaus!$B$2)*Diskonttaus!$B$10</f>
        <v>0</v>
      </c>
      <c r="K33" s="13">
        <f>K15/(1+Diskonttaus!$B$8)^(Investointikustannus!K$8-Diskonttaus!$B$2)*Diskonttaus!$B$10</f>
        <v>0</v>
      </c>
      <c r="L33" s="5">
        <f>L15/(1+Diskonttaus!$B$8)^(Investointikustannus!L$8-Diskonttaus!$B$2)*Diskonttaus!$B$10</f>
        <v>0</v>
      </c>
      <c r="N33" s="13">
        <f>N15/(1+Diskonttaus!$B$8)^(Investointikustannus!N$8-Diskonttaus!$B$2)*Diskonttaus!$B$10</f>
        <v>0</v>
      </c>
      <c r="O33" s="13">
        <f>O15/(1+Diskonttaus!$B$8)^(Investointikustannus!O$8-Diskonttaus!$B$2)*Diskonttaus!$B$10</f>
        <v>0</v>
      </c>
      <c r="P33" s="13">
        <f>P15/(1+Diskonttaus!$B$8)^(Investointikustannus!P$8-Diskonttaus!$B$2)*Diskonttaus!$B$10</f>
        <v>0</v>
      </c>
      <c r="Q33" s="13">
        <f>Q15/(1+Diskonttaus!$B$8)^(Investointikustannus!Q$8-Diskonttaus!$B$2)*Diskonttaus!$B$10</f>
        <v>0</v>
      </c>
      <c r="R33" s="13">
        <f>R15/(1+Diskonttaus!$B$8)^(Investointikustannus!R$8-Diskonttaus!$B$2)*Diskonttaus!$B$10</f>
        <v>0</v>
      </c>
      <c r="S33" s="13">
        <f>S15/(1+Diskonttaus!$B$8)^(Investointikustannus!S$8-Diskonttaus!$B$2)*Diskonttaus!$B$10</f>
        <v>0</v>
      </c>
      <c r="T33" s="13">
        <f>T15/(1+Diskonttaus!$B$8)^(Investointikustannus!T$8-Diskonttaus!$B$2)*Diskonttaus!$B$10</f>
        <v>0</v>
      </c>
      <c r="U33" s="13">
        <f>U15/(1+Diskonttaus!$B$8)^(Investointikustannus!U$8-Diskonttaus!$B$2)*Diskonttaus!$B$10</f>
        <v>0</v>
      </c>
      <c r="V33" s="13">
        <f>V15/(1+Diskonttaus!$B$8)^(Investointikustannus!V$8-Diskonttaus!$B$2)*Diskonttaus!$B$10</f>
        <v>0</v>
      </c>
      <c r="W33" s="5">
        <f>W15/(1+Diskonttaus!$B$8)^(Investointikustannus!W$8-Diskonttaus!$B$2)*Diskonttaus!$B$10</f>
        <v>0</v>
      </c>
    </row>
    <row r="34" spans="2:23" x14ac:dyDescent="0.3">
      <c r="B34" t="s">
        <v>166</v>
      </c>
      <c r="C34" s="13">
        <f>C16/(1+Diskonttaus!$B$8)^(Investointikustannus!C$8-Diskonttaus!$B$2)*Diskonttaus!$B$10</f>
        <v>0</v>
      </c>
      <c r="D34" s="13">
        <f>D16/(1+Diskonttaus!$B$8)^(Investointikustannus!D$8-Diskonttaus!$B$2)*Diskonttaus!$B$10</f>
        <v>0</v>
      </c>
      <c r="E34" s="13">
        <f>E16/(1+Diskonttaus!$B$8)^(Investointikustannus!E$8-Diskonttaus!$B$2)*Diskonttaus!$B$10</f>
        <v>0</v>
      </c>
      <c r="F34" s="13">
        <f>F16/(1+Diskonttaus!$B$8)^(Investointikustannus!F$8-Diskonttaus!$B$2)*Diskonttaus!$B$10</f>
        <v>0</v>
      </c>
      <c r="G34" s="13">
        <f>G16/(1+Diskonttaus!$B$8)^(Investointikustannus!G$8-Diskonttaus!$B$2)*Diskonttaus!$B$10</f>
        <v>0</v>
      </c>
      <c r="H34" s="13">
        <f>H16/(1+Diskonttaus!$B$8)^(Investointikustannus!H$8-Diskonttaus!$B$2)*Diskonttaus!$B$10</f>
        <v>0</v>
      </c>
      <c r="I34" s="13">
        <f>I16/(1+Diskonttaus!$B$8)^(Investointikustannus!I$8-Diskonttaus!$B$2)*Diskonttaus!$B$10</f>
        <v>0</v>
      </c>
      <c r="J34" s="13">
        <f>J16/(1+Diskonttaus!$B$8)^(Investointikustannus!J$8-Diskonttaus!$B$2)*Diskonttaus!$B$10</f>
        <v>0</v>
      </c>
      <c r="K34" s="13">
        <f>K16/(1+Diskonttaus!$B$8)^(Investointikustannus!K$8-Diskonttaus!$B$2)*Diskonttaus!$B$10</f>
        <v>0</v>
      </c>
      <c r="L34" s="5">
        <f>L16/(1+Diskonttaus!$B$8)^(Investointikustannus!L$8-Diskonttaus!$B$2)*Diskonttaus!$B$10</f>
        <v>0</v>
      </c>
      <c r="N34" s="13">
        <f>N16/(1+Diskonttaus!$B$8)^(Investointikustannus!N$8-Diskonttaus!$B$2)*Diskonttaus!$B$10</f>
        <v>0</v>
      </c>
      <c r="O34" s="13">
        <f>O16/(1+Diskonttaus!$B$8)^(Investointikustannus!O$8-Diskonttaus!$B$2)*Diskonttaus!$B$10</f>
        <v>0</v>
      </c>
      <c r="P34" s="13">
        <f>P16/(1+Diskonttaus!$B$8)^(Investointikustannus!P$8-Diskonttaus!$B$2)*Diskonttaus!$B$10</f>
        <v>0</v>
      </c>
      <c r="Q34" s="13">
        <f>Q16/(1+Diskonttaus!$B$8)^(Investointikustannus!Q$8-Diskonttaus!$B$2)*Diskonttaus!$B$10</f>
        <v>0</v>
      </c>
      <c r="R34" s="13">
        <f>R16/(1+Diskonttaus!$B$8)^(Investointikustannus!R$8-Diskonttaus!$B$2)*Diskonttaus!$B$10</f>
        <v>0</v>
      </c>
      <c r="S34" s="13">
        <f>S16/(1+Diskonttaus!$B$8)^(Investointikustannus!S$8-Diskonttaus!$B$2)*Diskonttaus!$B$10</f>
        <v>0</v>
      </c>
      <c r="T34" s="13">
        <f>T16/(1+Diskonttaus!$B$8)^(Investointikustannus!T$8-Diskonttaus!$B$2)*Diskonttaus!$B$10</f>
        <v>0</v>
      </c>
      <c r="U34" s="13">
        <f>U16/(1+Diskonttaus!$B$8)^(Investointikustannus!U$8-Diskonttaus!$B$2)*Diskonttaus!$B$10</f>
        <v>0</v>
      </c>
      <c r="V34" s="13">
        <f>V16/(1+Diskonttaus!$B$8)^(Investointikustannus!V$8-Diskonttaus!$B$2)*Diskonttaus!$B$10</f>
        <v>0</v>
      </c>
      <c r="W34" s="5">
        <f>W16/(1+Diskonttaus!$B$8)^(Investointikustannus!W$8-Diskonttaus!$B$2)*Diskonttaus!$B$10</f>
        <v>0</v>
      </c>
    </row>
    <row r="35" spans="2:23" x14ac:dyDescent="0.3">
      <c r="B35" t="s">
        <v>167</v>
      </c>
      <c r="C35" s="13">
        <f>C17/(1+Diskonttaus!$B$8)^(Investointikustannus!C$8-Diskonttaus!$B$2)*Diskonttaus!$B$10</f>
        <v>0</v>
      </c>
      <c r="D35" s="13">
        <f>D17/(1+Diskonttaus!$B$8)^(Investointikustannus!D$8-Diskonttaus!$B$2)*Diskonttaus!$B$10</f>
        <v>0</v>
      </c>
      <c r="E35" s="13">
        <f>E17/(1+Diskonttaus!$B$8)^(Investointikustannus!E$8-Diskonttaus!$B$2)*Diskonttaus!$B$10</f>
        <v>0</v>
      </c>
      <c r="F35" s="13">
        <f>F17/(1+Diskonttaus!$B$8)^(Investointikustannus!F$8-Diskonttaus!$B$2)*Diskonttaus!$B$10</f>
        <v>0</v>
      </c>
      <c r="G35" s="13">
        <f>G17/(1+Diskonttaus!$B$8)^(Investointikustannus!G$8-Diskonttaus!$B$2)*Diskonttaus!$B$10</f>
        <v>0</v>
      </c>
      <c r="H35" s="13">
        <f>H17/(1+Diskonttaus!$B$8)^(Investointikustannus!H$8-Diskonttaus!$B$2)*Diskonttaus!$B$10</f>
        <v>0</v>
      </c>
      <c r="I35" s="13">
        <f>I17/(1+Diskonttaus!$B$8)^(Investointikustannus!I$8-Diskonttaus!$B$2)*Diskonttaus!$B$10</f>
        <v>0</v>
      </c>
      <c r="J35" s="13">
        <f>J17/(1+Diskonttaus!$B$8)^(Investointikustannus!J$8-Diskonttaus!$B$2)*Diskonttaus!$B$10</f>
        <v>0</v>
      </c>
      <c r="K35" s="13">
        <f>K17/(1+Diskonttaus!$B$8)^(Investointikustannus!K$8-Diskonttaus!$B$2)*Diskonttaus!$B$10</f>
        <v>0</v>
      </c>
      <c r="L35" s="5">
        <f>L17/(1+Diskonttaus!$B$8)^(Investointikustannus!L$8-Diskonttaus!$B$2)*Diskonttaus!$B$10</f>
        <v>0</v>
      </c>
      <c r="N35" s="13">
        <f>N17/(1+Diskonttaus!$B$8)^(Investointikustannus!N$8-Diskonttaus!$B$2)*Diskonttaus!$B$10</f>
        <v>0</v>
      </c>
      <c r="O35" s="13">
        <f>O17/(1+Diskonttaus!$B$8)^(Investointikustannus!O$8-Diskonttaus!$B$2)*Diskonttaus!$B$10</f>
        <v>0</v>
      </c>
      <c r="P35" s="13">
        <f>P17/(1+Diskonttaus!$B$8)^(Investointikustannus!P$8-Diskonttaus!$B$2)*Diskonttaus!$B$10</f>
        <v>0</v>
      </c>
      <c r="Q35" s="13">
        <f>Q17/(1+Diskonttaus!$B$8)^(Investointikustannus!Q$8-Diskonttaus!$B$2)*Diskonttaus!$B$10</f>
        <v>0</v>
      </c>
      <c r="R35" s="13">
        <f>R17/(1+Diskonttaus!$B$8)^(Investointikustannus!R$8-Diskonttaus!$B$2)*Diskonttaus!$B$10</f>
        <v>0</v>
      </c>
      <c r="S35" s="13">
        <f>S17/(1+Diskonttaus!$B$8)^(Investointikustannus!S$8-Diskonttaus!$B$2)*Diskonttaus!$B$10</f>
        <v>0</v>
      </c>
      <c r="T35" s="13">
        <f>T17/(1+Diskonttaus!$B$8)^(Investointikustannus!T$8-Diskonttaus!$B$2)*Diskonttaus!$B$10</f>
        <v>0</v>
      </c>
      <c r="U35" s="13">
        <f>U17/(1+Diskonttaus!$B$8)^(Investointikustannus!U$8-Diskonttaus!$B$2)*Diskonttaus!$B$10</f>
        <v>0</v>
      </c>
      <c r="V35" s="13">
        <f>V17/(1+Diskonttaus!$B$8)^(Investointikustannus!V$8-Diskonttaus!$B$2)*Diskonttaus!$B$10</f>
        <v>0</v>
      </c>
      <c r="W35" s="5">
        <f>W17/(1+Diskonttaus!$B$8)^(Investointikustannus!W$8-Diskonttaus!$B$2)*Diskonttaus!$B$10</f>
        <v>0</v>
      </c>
    </row>
    <row r="36" spans="2:23" x14ac:dyDescent="0.3">
      <c r="B36" t="s">
        <v>168</v>
      </c>
      <c r="C36" s="13">
        <f>C18/(1+Diskonttaus!$B$8)^(Investointikustannus!C$8-Diskonttaus!$B$2)*Diskonttaus!$B$10</f>
        <v>0</v>
      </c>
      <c r="D36" s="13">
        <f>D18/(1+Diskonttaus!$B$8)^(Investointikustannus!D$8-Diskonttaus!$B$2)*Diskonttaus!$B$10</f>
        <v>0</v>
      </c>
      <c r="E36" s="13">
        <f>E18/(1+Diskonttaus!$B$8)^(Investointikustannus!E$8-Diskonttaus!$B$2)*Diskonttaus!$B$10</f>
        <v>0</v>
      </c>
      <c r="F36" s="13">
        <f>F18/(1+Diskonttaus!$B$8)^(Investointikustannus!F$8-Diskonttaus!$B$2)*Diskonttaus!$B$10</f>
        <v>0</v>
      </c>
      <c r="G36" s="13">
        <f>G18/(1+Diskonttaus!$B$8)^(Investointikustannus!G$8-Diskonttaus!$B$2)*Diskonttaus!$B$10</f>
        <v>0</v>
      </c>
      <c r="H36" s="13">
        <f>H18/(1+Diskonttaus!$B$8)^(Investointikustannus!H$8-Diskonttaus!$B$2)*Diskonttaus!$B$10</f>
        <v>0</v>
      </c>
      <c r="I36" s="13">
        <f>I18/(1+Diskonttaus!$B$8)^(Investointikustannus!I$8-Diskonttaus!$B$2)*Diskonttaus!$B$10</f>
        <v>0</v>
      </c>
      <c r="J36" s="13">
        <f>J18/(1+Diskonttaus!$B$8)^(Investointikustannus!J$8-Diskonttaus!$B$2)*Diskonttaus!$B$10</f>
        <v>0</v>
      </c>
      <c r="K36" s="13">
        <f>K18/(1+Diskonttaus!$B$8)^(Investointikustannus!K$8-Diskonttaus!$B$2)*Diskonttaus!$B$10</f>
        <v>0</v>
      </c>
      <c r="L36" s="5">
        <f>L18/(1+Diskonttaus!$B$8)^(Investointikustannus!L$8-Diskonttaus!$B$2)*Diskonttaus!$B$10</f>
        <v>0</v>
      </c>
      <c r="N36" s="13">
        <f>N18/(1+Diskonttaus!$B$8)^(Investointikustannus!N$8-Diskonttaus!$B$2)*Diskonttaus!$B$10</f>
        <v>0</v>
      </c>
      <c r="O36" s="13">
        <f>O18/(1+Diskonttaus!$B$8)^(Investointikustannus!O$8-Diskonttaus!$B$2)*Diskonttaus!$B$10</f>
        <v>0</v>
      </c>
      <c r="P36" s="13">
        <f>P18/(1+Diskonttaus!$B$8)^(Investointikustannus!P$8-Diskonttaus!$B$2)*Diskonttaus!$B$10</f>
        <v>0</v>
      </c>
      <c r="Q36" s="13">
        <f>Q18/(1+Diskonttaus!$B$8)^(Investointikustannus!Q$8-Diskonttaus!$B$2)*Diskonttaus!$B$10</f>
        <v>0</v>
      </c>
      <c r="R36" s="13">
        <f>R18/(1+Diskonttaus!$B$8)^(Investointikustannus!R$8-Diskonttaus!$B$2)*Diskonttaus!$B$10</f>
        <v>0</v>
      </c>
      <c r="S36" s="13">
        <f>S18/(1+Diskonttaus!$B$8)^(Investointikustannus!S$8-Diskonttaus!$B$2)*Diskonttaus!$B$10</f>
        <v>0</v>
      </c>
      <c r="T36" s="13">
        <f>T18/(1+Diskonttaus!$B$8)^(Investointikustannus!T$8-Diskonttaus!$B$2)*Diskonttaus!$B$10</f>
        <v>0</v>
      </c>
      <c r="U36" s="13">
        <f>U18/(1+Diskonttaus!$B$8)^(Investointikustannus!U$8-Diskonttaus!$B$2)*Diskonttaus!$B$10</f>
        <v>0</v>
      </c>
      <c r="V36" s="13">
        <f>V18/(1+Diskonttaus!$B$8)^(Investointikustannus!V$8-Diskonttaus!$B$2)*Diskonttaus!$B$10</f>
        <v>0</v>
      </c>
      <c r="W36" s="5">
        <f>W18/(1+Diskonttaus!$B$8)^(Investointikustannus!W$8-Diskonttaus!$B$2)*Diskonttaus!$B$10</f>
        <v>0</v>
      </c>
    </row>
    <row r="37" spans="2:23" x14ac:dyDescent="0.3">
      <c r="B37" t="s">
        <v>169</v>
      </c>
      <c r="C37" s="13">
        <f>C19/(1+Diskonttaus!$B$8)^(Investointikustannus!C$8-Diskonttaus!$B$2)*Diskonttaus!$B$10</f>
        <v>0</v>
      </c>
      <c r="D37" s="13">
        <f>D19/(1+Diskonttaus!$B$8)^(Investointikustannus!D$8-Diskonttaus!$B$2)*Diskonttaus!$B$10</f>
        <v>0</v>
      </c>
      <c r="E37" s="13">
        <f>E19/(1+Diskonttaus!$B$8)^(Investointikustannus!E$8-Diskonttaus!$B$2)*Diskonttaus!$B$10</f>
        <v>0</v>
      </c>
      <c r="F37" s="13">
        <f>F19/(1+Diskonttaus!$B$8)^(Investointikustannus!F$8-Diskonttaus!$B$2)*Diskonttaus!$B$10</f>
        <v>0</v>
      </c>
      <c r="G37" s="13">
        <f>G19/(1+Diskonttaus!$B$8)^(Investointikustannus!G$8-Diskonttaus!$B$2)*Diskonttaus!$B$10</f>
        <v>0</v>
      </c>
      <c r="H37" s="13">
        <f>H19/(1+Diskonttaus!$B$8)^(Investointikustannus!H$8-Diskonttaus!$B$2)*Diskonttaus!$B$10</f>
        <v>0</v>
      </c>
      <c r="I37" s="13">
        <f>I19/(1+Diskonttaus!$B$8)^(Investointikustannus!I$8-Diskonttaus!$B$2)*Diskonttaus!$B$10</f>
        <v>0</v>
      </c>
      <c r="J37" s="13">
        <f>J19/(1+Diskonttaus!$B$8)^(Investointikustannus!J$8-Diskonttaus!$B$2)*Diskonttaus!$B$10</f>
        <v>0</v>
      </c>
      <c r="K37" s="13">
        <f>K19/(1+Diskonttaus!$B$8)^(Investointikustannus!K$8-Diskonttaus!$B$2)*Diskonttaus!$B$10</f>
        <v>0</v>
      </c>
      <c r="L37" s="5">
        <f>L19/(1+Diskonttaus!$B$8)^(Investointikustannus!L$8-Diskonttaus!$B$2)*Diskonttaus!$B$10</f>
        <v>0</v>
      </c>
      <c r="N37" s="13">
        <f>N19/(1+Diskonttaus!$B$8)^(Investointikustannus!N$8-Diskonttaus!$B$2)*Diskonttaus!$B$10</f>
        <v>0</v>
      </c>
      <c r="O37" s="13">
        <f>O19/(1+Diskonttaus!$B$8)^(Investointikustannus!O$8-Diskonttaus!$B$2)*Diskonttaus!$B$10</f>
        <v>0</v>
      </c>
      <c r="P37" s="13">
        <f>P19/(1+Diskonttaus!$B$8)^(Investointikustannus!P$8-Diskonttaus!$B$2)*Diskonttaus!$B$10</f>
        <v>0</v>
      </c>
      <c r="Q37" s="13">
        <f>Q19/(1+Diskonttaus!$B$8)^(Investointikustannus!Q$8-Diskonttaus!$B$2)*Diskonttaus!$B$10</f>
        <v>0</v>
      </c>
      <c r="R37" s="13">
        <f>R19/(1+Diskonttaus!$B$8)^(Investointikustannus!R$8-Diskonttaus!$B$2)*Diskonttaus!$B$10</f>
        <v>0</v>
      </c>
      <c r="S37" s="13">
        <f>S19/(1+Diskonttaus!$B$8)^(Investointikustannus!S$8-Diskonttaus!$B$2)*Diskonttaus!$B$10</f>
        <v>0</v>
      </c>
      <c r="T37" s="13">
        <f>T19/(1+Diskonttaus!$B$8)^(Investointikustannus!T$8-Diskonttaus!$B$2)*Diskonttaus!$B$10</f>
        <v>0</v>
      </c>
      <c r="U37" s="13">
        <f>U19/(1+Diskonttaus!$B$8)^(Investointikustannus!U$8-Diskonttaus!$B$2)*Diskonttaus!$B$10</f>
        <v>0</v>
      </c>
      <c r="V37" s="13">
        <f>V19/(1+Diskonttaus!$B$8)^(Investointikustannus!V$8-Diskonttaus!$B$2)*Diskonttaus!$B$10</f>
        <v>0</v>
      </c>
      <c r="W37" s="5">
        <f>W19/(1+Diskonttaus!$B$8)^(Investointikustannus!W$8-Diskonttaus!$B$2)*Diskonttaus!$B$10</f>
        <v>0</v>
      </c>
    </row>
    <row r="38" spans="2:23" x14ac:dyDescent="0.3">
      <c r="B38" t="s">
        <v>170</v>
      </c>
      <c r="C38" s="13">
        <f>C20/(1+Diskonttaus!$B$8)^(Investointikustannus!C$8-Diskonttaus!$B$2)*Diskonttaus!$B$10</f>
        <v>0</v>
      </c>
      <c r="D38" s="13">
        <f>D20/(1+Diskonttaus!$B$8)^(Investointikustannus!D$8-Diskonttaus!$B$2)*Diskonttaus!$B$10</f>
        <v>0</v>
      </c>
      <c r="E38" s="13">
        <f>E20/(1+Diskonttaus!$B$8)^(Investointikustannus!E$8-Diskonttaus!$B$2)*Diskonttaus!$B$10</f>
        <v>0</v>
      </c>
      <c r="F38" s="13">
        <f>F20/(1+Diskonttaus!$B$8)^(Investointikustannus!F$8-Diskonttaus!$B$2)*Diskonttaus!$B$10</f>
        <v>0</v>
      </c>
      <c r="G38" s="13">
        <f>G20/(1+Diskonttaus!$B$8)^(Investointikustannus!G$8-Diskonttaus!$B$2)*Diskonttaus!$B$10</f>
        <v>0</v>
      </c>
      <c r="H38" s="13">
        <f>H20/(1+Diskonttaus!$B$8)^(Investointikustannus!H$8-Diskonttaus!$B$2)*Diskonttaus!$B$10</f>
        <v>0</v>
      </c>
      <c r="I38" s="13">
        <f>I20/(1+Diskonttaus!$B$8)^(Investointikustannus!I$8-Diskonttaus!$B$2)*Diskonttaus!$B$10</f>
        <v>0</v>
      </c>
      <c r="J38" s="13">
        <f>J20/(1+Diskonttaus!$B$8)^(Investointikustannus!J$8-Diskonttaus!$B$2)*Diskonttaus!$B$10</f>
        <v>0</v>
      </c>
      <c r="K38" s="13">
        <f>K20/(1+Diskonttaus!$B$8)^(Investointikustannus!K$8-Diskonttaus!$B$2)*Diskonttaus!$B$10</f>
        <v>0</v>
      </c>
      <c r="L38" s="5">
        <f>L20/(1+Diskonttaus!$B$8)^(Investointikustannus!L$8-Diskonttaus!$B$2)*Diskonttaus!$B$10</f>
        <v>0</v>
      </c>
      <c r="N38" s="13">
        <f>N20/(1+Diskonttaus!$B$8)^(Investointikustannus!N$8-Diskonttaus!$B$2)*Diskonttaus!$B$10</f>
        <v>0</v>
      </c>
      <c r="O38" s="13">
        <f>O20/(1+Diskonttaus!$B$8)^(Investointikustannus!O$8-Diskonttaus!$B$2)*Diskonttaus!$B$10</f>
        <v>0</v>
      </c>
      <c r="P38" s="13">
        <f>P20/(1+Diskonttaus!$B$8)^(Investointikustannus!P$8-Diskonttaus!$B$2)*Diskonttaus!$B$10</f>
        <v>0</v>
      </c>
      <c r="Q38" s="13">
        <f>Q20/(1+Diskonttaus!$B$8)^(Investointikustannus!Q$8-Diskonttaus!$B$2)*Diskonttaus!$B$10</f>
        <v>0</v>
      </c>
      <c r="R38" s="13">
        <f>R20/(1+Diskonttaus!$B$8)^(Investointikustannus!R$8-Diskonttaus!$B$2)*Diskonttaus!$B$10</f>
        <v>0</v>
      </c>
      <c r="S38" s="13">
        <f>S20/(1+Diskonttaus!$B$8)^(Investointikustannus!S$8-Diskonttaus!$B$2)*Diskonttaus!$B$10</f>
        <v>0</v>
      </c>
      <c r="T38" s="13">
        <f>T20/(1+Diskonttaus!$B$8)^(Investointikustannus!T$8-Diskonttaus!$B$2)*Diskonttaus!$B$10</f>
        <v>0</v>
      </c>
      <c r="U38" s="13">
        <f>U20/(1+Diskonttaus!$B$8)^(Investointikustannus!U$8-Diskonttaus!$B$2)*Diskonttaus!$B$10</f>
        <v>0</v>
      </c>
      <c r="V38" s="13">
        <f>V20/(1+Diskonttaus!$B$8)^(Investointikustannus!V$8-Diskonttaus!$B$2)*Diskonttaus!$B$10</f>
        <v>0</v>
      </c>
      <c r="W38" s="5">
        <f>W20/(1+Diskonttaus!$B$8)^(Investointikustannus!W$8-Diskonttaus!$B$2)*Diskonttaus!$B$10</f>
        <v>0</v>
      </c>
    </row>
    <row r="39" spans="2:23" x14ac:dyDescent="0.3">
      <c r="B39" t="s">
        <v>171</v>
      </c>
      <c r="C39" s="13">
        <f>C21/(1+Diskonttaus!$B$8)^(Investointikustannus!C$8-Diskonttaus!$B$2)*Diskonttaus!$B$10</f>
        <v>0</v>
      </c>
      <c r="D39" s="13">
        <f>D21/(1+Diskonttaus!$B$8)^(Investointikustannus!D$8-Diskonttaus!$B$2)*Diskonttaus!$B$10</f>
        <v>0</v>
      </c>
      <c r="E39" s="13">
        <f>E21/(1+Diskonttaus!$B$8)^(Investointikustannus!E$8-Diskonttaus!$B$2)*Diskonttaus!$B$10</f>
        <v>0</v>
      </c>
      <c r="F39" s="13">
        <f>F21/(1+Diskonttaus!$B$8)^(Investointikustannus!F$8-Diskonttaus!$B$2)*Diskonttaus!$B$10</f>
        <v>0</v>
      </c>
      <c r="G39" s="13">
        <f>G21/(1+Diskonttaus!$B$8)^(Investointikustannus!G$8-Diskonttaus!$B$2)*Diskonttaus!$B$10</f>
        <v>0</v>
      </c>
      <c r="H39" s="13">
        <f>H21/(1+Diskonttaus!$B$8)^(Investointikustannus!H$8-Diskonttaus!$B$2)*Diskonttaus!$B$10</f>
        <v>0</v>
      </c>
      <c r="I39" s="13">
        <f>I21/(1+Diskonttaus!$B$8)^(Investointikustannus!I$8-Diskonttaus!$B$2)*Diskonttaus!$B$10</f>
        <v>0</v>
      </c>
      <c r="J39" s="13">
        <f>J21/(1+Diskonttaus!$B$8)^(Investointikustannus!J$8-Diskonttaus!$B$2)*Diskonttaus!$B$10</f>
        <v>0</v>
      </c>
      <c r="K39" s="13">
        <f>K21/(1+Diskonttaus!$B$8)^(Investointikustannus!K$8-Diskonttaus!$B$2)*Diskonttaus!$B$10</f>
        <v>0</v>
      </c>
      <c r="L39" s="5">
        <f>L21/(1+Diskonttaus!$B$8)^(Investointikustannus!L$8-Diskonttaus!$B$2)*Diskonttaus!$B$10</f>
        <v>0</v>
      </c>
      <c r="N39" s="13">
        <f>N21/(1+Diskonttaus!$B$8)^(Investointikustannus!N$8-Diskonttaus!$B$2)*Diskonttaus!$B$10</f>
        <v>0</v>
      </c>
      <c r="O39" s="13">
        <f>O21/(1+Diskonttaus!$B$8)^(Investointikustannus!O$8-Diskonttaus!$B$2)*Diskonttaus!$B$10</f>
        <v>0</v>
      </c>
      <c r="P39" s="13">
        <f>P21/(1+Diskonttaus!$B$8)^(Investointikustannus!P$8-Diskonttaus!$B$2)*Diskonttaus!$B$10</f>
        <v>0</v>
      </c>
      <c r="Q39" s="13">
        <f>Q21/(1+Diskonttaus!$B$8)^(Investointikustannus!Q$8-Diskonttaus!$B$2)*Diskonttaus!$B$10</f>
        <v>0</v>
      </c>
      <c r="R39" s="13">
        <f>R21/(1+Diskonttaus!$B$8)^(Investointikustannus!R$8-Diskonttaus!$B$2)*Diskonttaus!$B$10</f>
        <v>0</v>
      </c>
      <c r="S39" s="13">
        <f>S21/(1+Diskonttaus!$B$8)^(Investointikustannus!S$8-Diskonttaus!$B$2)*Diskonttaus!$B$10</f>
        <v>0</v>
      </c>
      <c r="T39" s="13">
        <f>T21/(1+Diskonttaus!$B$8)^(Investointikustannus!T$8-Diskonttaus!$B$2)*Diskonttaus!$B$10</f>
        <v>0</v>
      </c>
      <c r="U39" s="13">
        <f>U21/(1+Diskonttaus!$B$8)^(Investointikustannus!U$8-Diskonttaus!$B$2)*Diskonttaus!$B$10</f>
        <v>0</v>
      </c>
      <c r="V39" s="13">
        <f>V21/(1+Diskonttaus!$B$8)^(Investointikustannus!V$8-Diskonttaus!$B$2)*Diskonttaus!$B$10</f>
        <v>0</v>
      </c>
      <c r="W39" s="5">
        <f>W21/(1+Diskonttaus!$B$8)^(Investointikustannus!W$8-Diskonttaus!$B$2)*Diskonttaus!$B$10</f>
        <v>0</v>
      </c>
    </row>
    <row r="40" spans="2:23" x14ac:dyDescent="0.3">
      <c r="B40" t="s">
        <v>172</v>
      </c>
      <c r="C40" s="88">
        <f>C22/(1+Diskonttaus!$B$8)^(Investointikustannus!C$8-Diskonttaus!$B$2)*Diskonttaus!$B$10</f>
        <v>0</v>
      </c>
      <c r="D40" s="88">
        <f>D22/(1+Diskonttaus!$B$8)^(Investointikustannus!D$8-Diskonttaus!$B$2)*Diskonttaus!$B$10</f>
        <v>0</v>
      </c>
      <c r="E40" s="88">
        <f>E22/(1+Diskonttaus!$B$8)^(Investointikustannus!E$8-Diskonttaus!$B$2)*Diskonttaus!$B$10</f>
        <v>0</v>
      </c>
      <c r="F40" s="88">
        <f>F22/(1+Diskonttaus!$B$8)^(Investointikustannus!F$8-Diskonttaus!$B$2)*Diskonttaus!$B$10</f>
        <v>0</v>
      </c>
      <c r="G40" s="88">
        <f>G22/(1+Diskonttaus!$B$8)^(Investointikustannus!G$8-Diskonttaus!$B$2)*Diskonttaus!$B$10</f>
        <v>0</v>
      </c>
      <c r="H40" s="88">
        <f>H22/(1+Diskonttaus!$B$8)^(Investointikustannus!H$8-Diskonttaus!$B$2)*Diskonttaus!$B$10</f>
        <v>0</v>
      </c>
      <c r="I40" s="88">
        <f>I22/(1+Diskonttaus!$B$8)^(Investointikustannus!I$8-Diskonttaus!$B$2)*Diskonttaus!$B$10</f>
        <v>0</v>
      </c>
      <c r="J40" s="88">
        <f>J22/(1+Diskonttaus!$B$8)^(Investointikustannus!J$8-Diskonttaus!$B$2)*Diskonttaus!$B$10</f>
        <v>0</v>
      </c>
      <c r="K40" s="88">
        <f>K22/(1+Diskonttaus!$B$8)^(Investointikustannus!K$8-Diskonttaus!$B$2)*Diskonttaus!$B$10</f>
        <v>0</v>
      </c>
      <c r="L40" s="50">
        <f>L22/(1+Diskonttaus!$B$8)^(Investointikustannus!L$8-Diskonttaus!$B$2)*Diskonttaus!$B$10</f>
        <v>0</v>
      </c>
      <c r="N40" s="88">
        <f>N22/(1+Diskonttaus!$B$8)^(Investointikustannus!N$8-Diskonttaus!$B$2)*Diskonttaus!$B$10</f>
        <v>0</v>
      </c>
      <c r="O40" s="88">
        <f>O22/(1+Diskonttaus!$B$8)^(Investointikustannus!O$8-Diskonttaus!$B$2)*Diskonttaus!$B$10</f>
        <v>0</v>
      </c>
      <c r="P40" s="88">
        <f>P22/(1+Diskonttaus!$B$8)^(Investointikustannus!P$8-Diskonttaus!$B$2)*Diskonttaus!$B$10</f>
        <v>0</v>
      </c>
      <c r="Q40" s="88">
        <f>Q22/(1+Diskonttaus!$B$8)^(Investointikustannus!Q$8-Diskonttaus!$B$2)*Diskonttaus!$B$10</f>
        <v>0</v>
      </c>
      <c r="R40" s="88">
        <f>R22/(1+Diskonttaus!$B$8)^(Investointikustannus!R$8-Diskonttaus!$B$2)*Diskonttaus!$B$10</f>
        <v>0</v>
      </c>
      <c r="S40" s="88">
        <f>S22/(1+Diskonttaus!$B$8)^(Investointikustannus!S$8-Diskonttaus!$B$2)*Diskonttaus!$B$10</f>
        <v>0</v>
      </c>
      <c r="T40" s="88">
        <f>T22/(1+Diskonttaus!$B$8)^(Investointikustannus!T$8-Diskonttaus!$B$2)*Diskonttaus!$B$10</f>
        <v>0</v>
      </c>
      <c r="U40" s="88">
        <f>U22/(1+Diskonttaus!$B$8)^(Investointikustannus!U$8-Diskonttaus!$B$2)*Diskonttaus!$B$10</f>
        <v>0</v>
      </c>
      <c r="V40" s="88">
        <f>V22/(1+Diskonttaus!$B$8)^(Investointikustannus!V$8-Diskonttaus!$B$2)*Diskonttaus!$B$10</f>
        <v>0</v>
      </c>
      <c r="W40" s="50">
        <f>W22/(1+Diskonttaus!$B$8)^(Investointikustannus!W$8-Diskonttaus!$B$2)*Diskonttaus!$B$10</f>
        <v>0</v>
      </c>
    </row>
    <row r="41" spans="2:23" x14ac:dyDescent="0.3">
      <c r="B41" t="s">
        <v>11</v>
      </c>
      <c r="C41" s="163">
        <f t="shared" ref="C41:L41" si="5">SUM(C27:C40)</f>
        <v>0</v>
      </c>
      <c r="D41" s="163">
        <f t="shared" si="5"/>
        <v>0</v>
      </c>
      <c r="E41" s="163">
        <f t="shared" si="5"/>
        <v>0</v>
      </c>
      <c r="F41" s="163">
        <f t="shared" si="5"/>
        <v>0</v>
      </c>
      <c r="G41" s="163">
        <f t="shared" si="5"/>
        <v>0</v>
      </c>
      <c r="H41" s="163">
        <f t="shared" si="5"/>
        <v>0</v>
      </c>
      <c r="I41" s="163">
        <f t="shared" si="5"/>
        <v>0</v>
      </c>
      <c r="J41" s="163">
        <f t="shared" si="5"/>
        <v>0</v>
      </c>
      <c r="K41" s="163">
        <f t="shared" si="5"/>
        <v>0</v>
      </c>
      <c r="L41" s="163">
        <f t="shared" si="5"/>
        <v>0</v>
      </c>
      <c r="N41" s="163">
        <f t="shared" ref="N41:W41" si="6">SUM(N27:N40)</f>
        <v>0</v>
      </c>
      <c r="O41" s="163">
        <f t="shared" si="6"/>
        <v>0</v>
      </c>
      <c r="P41" s="163">
        <f t="shared" si="6"/>
        <v>0</v>
      </c>
      <c r="Q41" s="163">
        <f t="shared" si="6"/>
        <v>0</v>
      </c>
      <c r="R41" s="163">
        <f t="shared" si="6"/>
        <v>0</v>
      </c>
      <c r="S41" s="163">
        <f t="shared" si="6"/>
        <v>0</v>
      </c>
      <c r="T41" s="163">
        <f t="shared" si="6"/>
        <v>0</v>
      </c>
      <c r="U41" s="163">
        <f t="shared" si="6"/>
        <v>0</v>
      </c>
      <c r="V41" s="163">
        <f t="shared" si="6"/>
        <v>0</v>
      </c>
      <c r="W41" s="16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F22" sqref="F22"/>
    </sheetView>
  </sheetViews>
  <sheetFormatPr defaultRowHeight="14.4" x14ac:dyDescent="0.3"/>
  <cols>
    <col min="1" max="1" width="24.88671875" style="166" bestFit="1" customWidth="1"/>
    <col min="2" max="2" width="10.109375" style="166" customWidth="1"/>
    <col min="5" max="5" width="10.5546875" style="166" bestFit="1" customWidth="1"/>
    <col min="6" max="6" width="12.6640625" style="166" bestFit="1" customWidth="1"/>
    <col min="7" max="7" width="12.6640625" style="166" customWidth="1"/>
    <col min="8" max="8" width="9.109375" style="166" customWidth="1"/>
    <col min="9" max="9" width="10.5546875" style="166" bestFit="1" customWidth="1"/>
    <col min="10" max="10" width="12.6640625" style="166" customWidth="1"/>
    <col min="13" max="13" width="11" style="166" bestFit="1" customWidth="1"/>
    <col min="15" max="15" width="9.5546875" style="166" bestFit="1" customWidth="1"/>
    <col min="18" max="18" width="11" style="166" bestFit="1" customWidth="1"/>
    <col min="23" max="24" width="11" style="166" bestFit="1" customWidth="1"/>
    <col min="27" max="27" width="11" style="166" bestFit="1" customWidth="1"/>
  </cols>
  <sheetData>
    <row r="1" spans="1:34" x14ac:dyDescent="0.3">
      <c r="E1" t="s">
        <v>23</v>
      </c>
      <c r="F1" s="214">
        <f>B3</f>
        <v>2030</v>
      </c>
      <c r="G1" s="214"/>
      <c r="I1" t="s">
        <v>23</v>
      </c>
      <c r="J1" s="214">
        <f>B5</f>
        <v>2040</v>
      </c>
      <c r="M1" t="s">
        <v>24</v>
      </c>
      <c r="R1" t="s">
        <v>25</v>
      </c>
      <c r="X1" t="s">
        <v>26</v>
      </c>
      <c r="AB1" t="s">
        <v>27</v>
      </c>
      <c r="AE1" t="s">
        <v>28</v>
      </c>
      <c r="AH1" t="s">
        <v>29</v>
      </c>
    </row>
    <row r="2" spans="1:34" x14ac:dyDescent="0.3">
      <c r="A2" t="s">
        <v>30</v>
      </c>
      <c r="B2" s="149">
        <v>2030</v>
      </c>
      <c r="D2" t="s">
        <v>31</v>
      </c>
      <c r="E2" t="s">
        <v>32</v>
      </c>
      <c r="F2" t="s">
        <v>33</v>
      </c>
      <c r="H2" t="s">
        <v>31</v>
      </c>
      <c r="I2" t="s">
        <v>32</v>
      </c>
      <c r="J2" t="s">
        <v>33</v>
      </c>
      <c r="L2" t="s">
        <v>31</v>
      </c>
      <c r="M2" t="s">
        <v>34</v>
      </c>
      <c r="N2" t="s">
        <v>35</v>
      </c>
      <c r="O2" t="s">
        <v>33</v>
      </c>
      <c r="Q2" t="s">
        <v>31</v>
      </c>
      <c r="R2" t="s">
        <v>34</v>
      </c>
      <c r="S2" t="s">
        <v>35</v>
      </c>
      <c r="T2" t="s">
        <v>33</v>
      </c>
      <c r="V2" t="s">
        <v>31</v>
      </c>
      <c r="W2" t="s">
        <v>34</v>
      </c>
      <c r="X2" t="s">
        <v>33</v>
      </c>
      <c r="Z2" t="s">
        <v>31</v>
      </c>
      <c r="AA2" t="s">
        <v>34</v>
      </c>
      <c r="AB2" t="s">
        <v>33</v>
      </c>
      <c r="AD2" t="s">
        <v>31</v>
      </c>
      <c r="AE2" t="s">
        <v>33</v>
      </c>
      <c r="AG2" t="s">
        <v>31</v>
      </c>
      <c r="AH2" t="s">
        <v>33</v>
      </c>
    </row>
    <row r="3" spans="1:34" x14ac:dyDescent="0.3">
      <c r="A3" t="s">
        <v>36</v>
      </c>
      <c r="B3" s="150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6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3">
      <c r="A4" t="s">
        <v>37</v>
      </c>
      <c r="B4" s="150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6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3">
      <c r="A5" t="s">
        <v>38</v>
      </c>
      <c r="B5" s="150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6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3">
      <c r="A6" t="s">
        <v>39</v>
      </c>
      <c r="B6" s="150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6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3">
      <c r="A7" t="s">
        <v>40</v>
      </c>
      <c r="B7" s="150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6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3">
      <c r="A8" t="s">
        <v>41</v>
      </c>
      <c r="B8" s="169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6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3">
      <c r="A9" t="s">
        <v>42</v>
      </c>
      <c r="B9" s="169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6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3">
      <c r="A10" t="s">
        <v>43</v>
      </c>
      <c r="B10" s="150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6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3">
      <c r="A11" t="s">
        <v>44</v>
      </c>
      <c r="B11" s="180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6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3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6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3">
      <c r="D13" t="s">
        <v>11</v>
      </c>
      <c r="E13">
        <f>SUM(E3:E12)</f>
        <v>0</v>
      </c>
      <c r="F13" s="163">
        <f>SUM(F3:F12)</f>
        <v>0</v>
      </c>
      <c r="G13" s="163"/>
      <c r="H13" t="s">
        <v>11</v>
      </c>
      <c r="I13">
        <f>SUM(I3:I12)</f>
        <v>0</v>
      </c>
      <c r="J13" s="16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3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3">
      <c r="A15" t="s">
        <v>45</v>
      </c>
      <c r="B15" s="5">
        <v>100</v>
      </c>
      <c r="G15" s="163"/>
      <c r="J15" s="16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3">
      <c r="A16" t="s">
        <v>46</v>
      </c>
      <c r="B16" s="7" t="str">
        <f>IF(Kayttajahyodyt!M16=0,"Ennuste 2 puuttuu",Kayttajahyodyt!M16/Kayttajahyodyt!M11*100)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3">
      <c r="A17" t="s">
        <v>47</v>
      </c>
      <c r="B17" s="219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3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3">
      <c r="A19" t="s">
        <v>48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3">
      <c r="A20" t="s">
        <v>49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3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3">
      <c r="A22" t="s">
        <v>50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3">
      <c r="A23" t="s">
        <v>51</v>
      </c>
      <c r="B23" t="str">
        <f>IF(Tuottajahyodyt!L68=0,"Ennuste 2 puuttuu",(Kayttajahyodyt!M29+Kayttajahyodyt!M44+Tuottajahyodyt!F46-Tuottajahyodyt!L68-Julkistaloudelliset!C14)/(Kayttajahyodyt!M24+Kayttajahyodyt!M39+Tuottajahyodyt!F43-Tuottajahyodyt!L60-Julkistaloudelliset!C9)*100)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3">
      <c r="A24" t="s">
        <v>52</v>
      </c>
      <c r="B24" s="220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3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3">
      <c r="A26" t="s">
        <v>53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3">
      <c r="A27" t="s">
        <v>54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3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3">
      <c r="A29" t="s">
        <v>55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3">
      <c r="A30" t="s">
        <v>56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3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3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3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3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3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3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3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3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3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3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3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3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3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3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3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3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3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3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3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3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3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3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3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3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3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3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3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3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3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3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3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3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3">
      <c r="M63" s="163"/>
      <c r="N63" s="163"/>
      <c r="O63" s="163"/>
    </row>
    <row r="64" spans="12:34" x14ac:dyDescent="0.3">
      <c r="M64" s="163"/>
      <c r="N64" s="163"/>
      <c r="O64" s="163"/>
    </row>
    <row r="65" spans="13:15" x14ac:dyDescent="0.3">
      <c r="M65" s="163"/>
      <c r="N65" s="163"/>
      <c r="O65" s="163"/>
    </row>
    <row r="66" spans="13:15" x14ac:dyDescent="0.3">
      <c r="M66" s="163"/>
      <c r="N66" s="163"/>
      <c r="O66" s="163"/>
    </row>
    <row r="67" spans="13:15" x14ac:dyDescent="0.3">
      <c r="M67" s="163"/>
      <c r="N67" s="163"/>
      <c r="O67" s="163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8"/>
  <sheetViews>
    <sheetView zoomScale="73" zoomScaleNormal="73" workbookViewId="0">
      <selection activeCell="B5" sqref="B5"/>
    </sheetView>
  </sheetViews>
  <sheetFormatPr defaultRowHeight="14.4" x14ac:dyDescent="0.3"/>
  <cols>
    <col min="1" max="2" width="20.5546875" style="166" customWidth="1"/>
    <col min="3" max="3" width="16.88671875" style="166" customWidth="1"/>
    <col min="4" max="4" width="22.109375" style="166" bestFit="1" customWidth="1"/>
    <col min="5" max="5" width="18" style="166" bestFit="1" customWidth="1"/>
    <col min="6" max="6" width="24.6640625" style="166" bestFit="1" customWidth="1"/>
    <col min="7" max="7" width="16.5546875" style="166" customWidth="1"/>
    <col min="8" max="8" width="23.109375" style="166" customWidth="1"/>
    <col min="9" max="9" width="16.88671875" style="166" bestFit="1" customWidth="1"/>
    <col min="10" max="10" width="10.88671875" style="166" bestFit="1" customWidth="1"/>
    <col min="11" max="11" width="12.6640625" style="166" bestFit="1" customWidth="1"/>
    <col min="12" max="12" width="15.88671875" style="166" customWidth="1"/>
    <col min="13" max="13" width="17.88671875" style="166" customWidth="1"/>
    <col min="14" max="14" width="19.6640625" style="166" bestFit="1" customWidth="1"/>
    <col min="15" max="15" width="18.44140625" style="166" bestFit="1" customWidth="1"/>
    <col min="16" max="17" width="9.33203125" style="166" bestFit="1" customWidth="1"/>
    <col min="18" max="18" width="10.33203125" style="166" bestFit="1" customWidth="1"/>
    <col min="19" max="19" width="17.88671875" style="166" customWidth="1"/>
    <col min="20" max="20" width="11.88671875" style="166" bestFit="1" customWidth="1"/>
    <col min="21" max="21" width="18.44140625" style="166" bestFit="1" customWidth="1"/>
    <col min="25" max="26" width="11.88671875" style="166" bestFit="1" customWidth="1"/>
  </cols>
  <sheetData>
    <row r="1" spans="1:32" ht="15.75" customHeight="1" thickBot="1" x14ac:dyDescent="0.35">
      <c r="B1" t="s">
        <v>57</v>
      </c>
      <c r="C1" s="9" t="s">
        <v>58</v>
      </c>
      <c r="H1" t="s">
        <v>59</v>
      </c>
    </row>
    <row r="2" spans="1:32" ht="15" customHeight="1" thickBot="1" x14ac:dyDescent="0.35">
      <c r="B2" s="60" t="s">
        <v>60</v>
      </c>
      <c r="C2" s="177" t="s">
        <v>61</v>
      </c>
      <c r="D2" s="177" t="s">
        <v>62</v>
      </c>
      <c r="E2" s="177" t="s">
        <v>63</v>
      </c>
      <c r="F2" s="175" t="s">
        <v>64</v>
      </c>
      <c r="H2" s="55" t="s">
        <v>60</v>
      </c>
      <c r="I2" s="44" t="s">
        <v>61</v>
      </c>
    </row>
    <row r="3" spans="1:32" ht="15" customHeight="1" thickBot="1" x14ac:dyDescent="0.35">
      <c r="A3" t="s">
        <v>65</v>
      </c>
      <c r="B3" s="182">
        <v>7.92</v>
      </c>
      <c r="C3" s="183">
        <v>5.37</v>
      </c>
      <c r="D3" s="183">
        <v>24.6</v>
      </c>
      <c r="E3" s="184">
        <v>35.909999999999997</v>
      </c>
      <c r="F3" s="185">
        <v>40.22</v>
      </c>
      <c r="H3" s="178">
        <v>1.1000000000000001</v>
      </c>
      <c r="I3" s="179">
        <v>1.6</v>
      </c>
    </row>
    <row r="4" spans="1:32" ht="15" customHeight="1" x14ac:dyDescent="0.3">
      <c r="A4" t="s">
        <v>66</v>
      </c>
      <c r="B4" s="181">
        <v>6.28</v>
      </c>
      <c r="C4" s="173">
        <v>4.83</v>
      </c>
      <c r="D4" s="176">
        <v>20.88</v>
      </c>
      <c r="E4" s="173"/>
      <c r="F4" s="174"/>
    </row>
    <row r="5" spans="1:32" ht="15.75" customHeight="1" thickBot="1" x14ac:dyDescent="0.35">
      <c r="A5" t="s">
        <v>67</v>
      </c>
      <c r="B5" s="186">
        <f>(13.67+12.31+11.37+10.95)/4</f>
        <v>12.074999999999999</v>
      </c>
      <c r="C5" s="171">
        <f>B5</f>
        <v>12.074999999999999</v>
      </c>
      <c r="D5" s="171">
        <f>B5</f>
        <v>12.074999999999999</v>
      </c>
      <c r="E5" s="170"/>
      <c r="F5" s="172"/>
    </row>
    <row r="6" spans="1:32" ht="15" customHeight="1" x14ac:dyDescent="0.3">
      <c r="A6" s="168"/>
    </row>
    <row r="7" spans="1:32" ht="15" customHeight="1" thickBot="1" x14ac:dyDescent="0.35">
      <c r="A7" s="9" t="s">
        <v>68</v>
      </c>
    </row>
    <row r="8" spans="1:32" ht="15" customHeight="1" thickBot="1" x14ac:dyDescent="0.35">
      <c r="B8" s="84">
        <f>Diskonttaus!B4</f>
        <v>2030</v>
      </c>
      <c r="C8" s="28" t="s">
        <v>69</v>
      </c>
      <c r="D8" s="28" t="s">
        <v>70</v>
      </c>
      <c r="E8" s="44" t="s">
        <v>71</v>
      </c>
      <c r="F8" s="28" t="s">
        <v>72</v>
      </c>
      <c r="G8" s="44" t="s">
        <v>73</v>
      </c>
      <c r="H8" s="28" t="s">
        <v>74</v>
      </c>
      <c r="I8" s="28" t="s">
        <v>63</v>
      </c>
      <c r="J8" s="28" t="s">
        <v>64</v>
      </c>
      <c r="K8" s="175" t="s">
        <v>75</v>
      </c>
      <c r="M8" s="84" t="s">
        <v>11</v>
      </c>
      <c r="P8" s="161"/>
      <c r="Q8" s="161"/>
      <c r="R8" s="161"/>
      <c r="S8" s="167"/>
      <c r="V8" s="162"/>
      <c r="W8" s="162"/>
      <c r="X8" s="162"/>
      <c r="AB8" s="162"/>
      <c r="AC8" s="162"/>
      <c r="AD8" s="162"/>
    </row>
    <row r="9" spans="1:32" x14ac:dyDescent="0.3">
      <c r="B9" s="48" t="s">
        <v>76</v>
      </c>
      <c r="C9" s="99">
        <f>-ha_tyo!F9*B3*H3</f>
        <v>0</v>
      </c>
      <c r="D9" s="99">
        <f>-ha_muu!F9*C3*I3</f>
        <v>0</v>
      </c>
      <c r="E9" s="112">
        <f>-jl_tyo!F9*B4</f>
        <v>0</v>
      </c>
      <c r="F9" s="112">
        <f>-jl_muu!F9*C4</f>
        <v>0</v>
      </c>
      <c r="G9" s="112">
        <f>-pp_tyo!F9*B5</f>
        <v>0</v>
      </c>
      <c r="H9" s="112">
        <f>-pp_tyo!F9*C5</f>
        <v>0</v>
      </c>
      <c r="I9" s="99">
        <f>-ka!F9*E3</f>
        <v>0</v>
      </c>
      <c r="J9" s="99">
        <f>-yhd!F9*F3</f>
        <v>0</v>
      </c>
      <c r="K9" s="77">
        <f>-pa!F9*D3</f>
        <v>0</v>
      </c>
      <c r="M9" s="191">
        <f>SUM(C9:L9)</f>
        <v>0</v>
      </c>
      <c r="P9" s="167"/>
      <c r="Q9" s="167"/>
      <c r="R9" s="167"/>
      <c r="S9" s="167"/>
      <c r="T9" s="163"/>
      <c r="V9" s="163"/>
      <c r="W9" s="163"/>
      <c r="X9" s="163"/>
      <c r="Y9" s="163"/>
      <c r="Z9" s="163"/>
      <c r="AB9" s="163"/>
      <c r="AC9" s="163"/>
      <c r="AD9" s="163"/>
      <c r="AE9" s="163"/>
      <c r="AF9" s="163"/>
    </row>
    <row r="10" spans="1:32" ht="15" customHeight="1" x14ac:dyDescent="0.3">
      <c r="B10" s="202" t="s">
        <v>77</v>
      </c>
      <c r="C10" s="99">
        <f>-ha_tyo!F10*B3*H3</f>
        <v>0</v>
      </c>
      <c r="D10" s="99">
        <f>-ha_muu!F10*C3*I3</f>
        <v>0</v>
      </c>
      <c r="E10" s="113">
        <f>-jl_tyo!F10*B4</f>
        <v>0</v>
      </c>
      <c r="F10" s="113">
        <f>-jl_muu!F10*C4</f>
        <v>0</v>
      </c>
      <c r="G10" s="112">
        <f>-pp_tyo!F10*B5</f>
        <v>0</v>
      </c>
      <c r="H10" s="112">
        <f>-pp_tyo!F10*C5</f>
        <v>0</v>
      </c>
      <c r="I10" s="100">
        <f>-ka!F10*E3</f>
        <v>0</v>
      </c>
      <c r="J10" s="100">
        <f>-yhd!F10*F3</f>
        <v>0</v>
      </c>
      <c r="K10" s="111">
        <f>-pa!F10*D3</f>
        <v>0</v>
      </c>
      <c r="M10" s="192">
        <f>SUM(C10:L10)</f>
        <v>0</v>
      </c>
      <c r="P10" s="167"/>
      <c r="Q10" s="167"/>
      <c r="R10" s="167"/>
      <c r="S10" s="167"/>
      <c r="T10" s="163"/>
      <c r="V10" s="163"/>
      <c r="W10" s="163"/>
      <c r="X10" s="163"/>
      <c r="Y10" s="163"/>
      <c r="Z10" s="163"/>
      <c r="AB10" s="163"/>
      <c r="AC10" s="163"/>
      <c r="AD10" s="163"/>
      <c r="AE10" s="163"/>
      <c r="AF10" s="163"/>
    </row>
    <row r="11" spans="1:32" ht="15" customHeight="1" thickBot="1" x14ac:dyDescent="0.35">
      <c r="B11" s="49" t="s">
        <v>11</v>
      </c>
      <c r="C11" s="57">
        <f t="shared" ref="C11:K11" si="0">SUM(C9:C10)</f>
        <v>0</v>
      </c>
      <c r="D11" s="57">
        <f t="shared" si="0"/>
        <v>0</v>
      </c>
      <c r="E11" s="58">
        <f t="shared" si="0"/>
        <v>0</v>
      </c>
      <c r="F11" s="58">
        <f t="shared" si="0"/>
        <v>0</v>
      </c>
      <c r="G11" s="58">
        <f t="shared" si="0"/>
        <v>0</v>
      </c>
      <c r="H11" s="58">
        <f t="shared" si="0"/>
        <v>0</v>
      </c>
      <c r="I11" s="57">
        <f t="shared" si="0"/>
        <v>0</v>
      </c>
      <c r="J11" s="57">
        <f t="shared" si="0"/>
        <v>0</v>
      </c>
      <c r="K11" s="72">
        <f t="shared" si="0"/>
        <v>0</v>
      </c>
      <c r="M11" s="193">
        <f>SUM(C11:L11)</f>
        <v>0</v>
      </c>
      <c r="P11" s="163"/>
      <c r="Q11" s="163"/>
      <c r="R11" s="163"/>
      <c r="S11" s="163"/>
      <c r="T11" s="163"/>
      <c r="V11" s="163"/>
      <c r="W11" s="163"/>
      <c r="X11" s="163"/>
      <c r="Y11" s="163"/>
      <c r="Z11" s="163"/>
      <c r="AB11" s="163"/>
      <c r="AC11" s="163"/>
      <c r="AD11" s="163"/>
      <c r="AE11" s="163"/>
      <c r="AF11" s="163"/>
    </row>
    <row r="12" spans="1:32" ht="15" customHeight="1" thickBot="1" x14ac:dyDescent="0.35"/>
    <row r="13" spans="1:32" ht="15" customHeight="1" thickBot="1" x14ac:dyDescent="0.35">
      <c r="B13" s="84">
        <f>Diskonttaus!B6</f>
        <v>2050</v>
      </c>
      <c r="C13" s="28" t="s">
        <v>69</v>
      </c>
      <c r="D13" s="28" t="s">
        <v>70</v>
      </c>
      <c r="E13" s="44" t="s">
        <v>71</v>
      </c>
      <c r="F13" s="28" t="s">
        <v>72</v>
      </c>
      <c r="G13" s="44" t="s">
        <v>73</v>
      </c>
      <c r="H13" s="28" t="s">
        <v>74</v>
      </c>
      <c r="I13" s="28" t="s">
        <v>63</v>
      </c>
      <c r="J13" s="28" t="s">
        <v>64</v>
      </c>
      <c r="K13" s="175" t="s">
        <v>75</v>
      </c>
      <c r="M13" s="84" t="s">
        <v>11</v>
      </c>
      <c r="P13" s="161"/>
      <c r="Q13" s="161"/>
      <c r="R13" s="161"/>
      <c r="S13" s="167"/>
      <c r="V13" s="162"/>
      <c r="W13" s="162"/>
      <c r="X13" s="162"/>
      <c r="AB13" s="162"/>
      <c r="AC13" s="162"/>
      <c r="AD13" s="162"/>
    </row>
    <row r="14" spans="1:32" x14ac:dyDescent="0.3">
      <c r="B14" s="48" t="s">
        <v>76</v>
      </c>
      <c r="C14" s="99">
        <f>-ha_tyo!F14*B3*H3</f>
        <v>0</v>
      </c>
      <c r="D14" s="99">
        <f>-ha_muu!F14*C3*I3</f>
        <v>0</v>
      </c>
      <c r="E14" s="112">
        <f>-jl_tyo!F14*B4</f>
        <v>0</v>
      </c>
      <c r="F14" s="112">
        <f>-jl_muu!F14*C4</f>
        <v>0</v>
      </c>
      <c r="G14" s="112">
        <f>-pp_tyo!F14*B5</f>
        <v>0</v>
      </c>
      <c r="H14" s="112">
        <f>-pp_tyo!F14*C5</f>
        <v>0</v>
      </c>
      <c r="I14" s="99">
        <f>-ka!F14*E3</f>
        <v>0</v>
      </c>
      <c r="J14" s="99">
        <f>-yhd!F14*F3</f>
        <v>0</v>
      </c>
      <c r="K14" s="77">
        <f>-pa!F14*D3</f>
        <v>0</v>
      </c>
      <c r="M14" s="191">
        <f>SUM(C14:L14)</f>
        <v>0</v>
      </c>
      <c r="P14" s="167"/>
      <c r="Q14" s="167"/>
      <c r="R14" s="167"/>
      <c r="S14" s="167"/>
      <c r="T14" s="163"/>
      <c r="V14" s="163"/>
      <c r="W14" s="163"/>
      <c r="X14" s="163"/>
      <c r="Y14" s="163"/>
      <c r="Z14" s="163"/>
      <c r="AB14" s="163"/>
      <c r="AC14" s="163"/>
      <c r="AD14" s="163"/>
      <c r="AE14" s="163"/>
      <c r="AF14" s="163"/>
    </row>
    <row r="15" spans="1:32" ht="15" customHeight="1" x14ac:dyDescent="0.3">
      <c r="B15" s="202" t="s">
        <v>77</v>
      </c>
      <c r="C15" s="99">
        <f>-ha_tyo!F15*B3*H3</f>
        <v>0</v>
      </c>
      <c r="D15" s="99">
        <f>-ha_muu!F15*C3*I3</f>
        <v>0</v>
      </c>
      <c r="E15" s="113">
        <f>-jl_tyo!F15*B4</f>
        <v>0</v>
      </c>
      <c r="F15" s="113">
        <f>-jl_muu!F15*C4</f>
        <v>0</v>
      </c>
      <c r="G15" s="112">
        <f>-pp_tyo!F15*B5</f>
        <v>0</v>
      </c>
      <c r="H15" s="112">
        <f>-pp_tyo!F15*C5</f>
        <v>0</v>
      </c>
      <c r="I15" s="100">
        <f>-ka!F15*E3</f>
        <v>0</v>
      </c>
      <c r="J15" s="100">
        <f>-yhd!F15*F3</f>
        <v>0</v>
      </c>
      <c r="K15" s="77">
        <f>-pa!F15*D3</f>
        <v>0</v>
      </c>
      <c r="M15" s="192">
        <f>SUM(C15:L15)</f>
        <v>0</v>
      </c>
      <c r="P15" s="167"/>
      <c r="Q15" s="167"/>
      <c r="R15" s="167"/>
      <c r="S15" s="167"/>
      <c r="T15" s="163"/>
      <c r="V15" s="163"/>
      <c r="W15" s="163"/>
      <c r="X15" s="163"/>
      <c r="Y15" s="163"/>
      <c r="Z15" s="163"/>
      <c r="AB15" s="163"/>
      <c r="AC15" s="163"/>
      <c r="AD15" s="163"/>
      <c r="AE15" s="163"/>
      <c r="AF15" s="163"/>
    </row>
    <row r="16" spans="1:32" ht="15" customHeight="1" thickBot="1" x14ac:dyDescent="0.35">
      <c r="B16" s="49" t="s">
        <v>11</v>
      </c>
      <c r="C16" s="57">
        <f t="shared" ref="C16:K16" si="1">SUM(C14:C15)</f>
        <v>0</v>
      </c>
      <c r="D16" s="57">
        <f t="shared" si="1"/>
        <v>0</v>
      </c>
      <c r="E16" s="58">
        <f t="shared" si="1"/>
        <v>0</v>
      </c>
      <c r="F16" s="58">
        <f t="shared" si="1"/>
        <v>0</v>
      </c>
      <c r="G16" s="41">
        <f t="shared" si="1"/>
        <v>0</v>
      </c>
      <c r="H16" s="41">
        <f t="shared" si="1"/>
        <v>0</v>
      </c>
      <c r="I16" s="57">
        <f t="shared" si="1"/>
        <v>0</v>
      </c>
      <c r="J16" s="57">
        <f t="shared" si="1"/>
        <v>0</v>
      </c>
      <c r="K16" s="158">
        <f t="shared" si="1"/>
        <v>0</v>
      </c>
      <c r="M16" s="193">
        <f>SUM(C16:L16)</f>
        <v>0</v>
      </c>
      <c r="P16" s="163"/>
      <c r="Q16" s="163"/>
      <c r="R16" s="163"/>
      <c r="S16" s="163"/>
      <c r="T16" s="163"/>
      <c r="V16" s="163"/>
      <c r="W16" s="163"/>
      <c r="X16" s="163"/>
      <c r="Y16" s="163"/>
      <c r="Z16" s="163"/>
      <c r="AB16" s="163"/>
      <c r="AC16" s="163"/>
      <c r="AD16" s="163"/>
      <c r="AE16" s="163"/>
      <c r="AF16" s="163"/>
    </row>
    <row r="17" spans="1:26" ht="15" customHeight="1" thickBot="1" x14ac:dyDescent="0.35"/>
    <row r="18" spans="1:26" ht="21.6" customHeight="1" thickBot="1" x14ac:dyDescent="0.45">
      <c r="B18" s="123" t="s">
        <v>78</v>
      </c>
      <c r="C18" s="167"/>
      <c r="D18" s="167"/>
      <c r="E18" s="167"/>
      <c r="F18" s="167"/>
      <c r="H18" s="167"/>
      <c r="I18" s="167"/>
      <c r="J18" s="167"/>
      <c r="K18" s="167"/>
      <c r="M18" s="194">
        <f ca="1">IF(ISNUMBER(Diskonttaus!B20),Diskonttaus!B19*Kayttajahyodyt!M11+Diskonttaus!B20*Kayttajahyodyt!M16,Diskonttaus!B19*Kayttajahyodyt!M11)</f>
        <v>0</v>
      </c>
    </row>
    <row r="19" spans="1:26" ht="15" customHeight="1" x14ac:dyDescent="0.3"/>
    <row r="20" spans="1:26" ht="15" customHeight="1" thickBot="1" x14ac:dyDescent="0.35">
      <c r="A20" s="9" t="s">
        <v>79</v>
      </c>
      <c r="C20" s="14"/>
      <c r="D20" s="14"/>
      <c r="F20" s="14"/>
      <c r="H20" s="14"/>
      <c r="I20" s="14"/>
      <c r="J20" s="14"/>
      <c r="K20" s="14"/>
    </row>
    <row r="21" spans="1:26" ht="15" customHeight="1" thickBot="1" x14ac:dyDescent="0.35">
      <c r="B21" s="84">
        <f>Diskonttaus!B4</f>
        <v>2030</v>
      </c>
      <c r="C21" s="26" t="s">
        <v>69</v>
      </c>
      <c r="D21" s="53" t="s">
        <v>70</v>
      </c>
      <c r="I21" s="147" t="s">
        <v>63</v>
      </c>
      <c r="J21" s="26" t="s">
        <v>64</v>
      </c>
      <c r="K21" s="53" t="s">
        <v>75</v>
      </c>
      <c r="M21" s="84" t="s">
        <v>11</v>
      </c>
      <c r="P21" s="162"/>
      <c r="Q21" s="162"/>
      <c r="R21" s="162"/>
      <c r="V21" s="162"/>
      <c r="W21" s="162"/>
      <c r="X21" s="162"/>
    </row>
    <row r="22" spans="1:26" x14ac:dyDescent="0.3">
      <c r="B22" s="45" t="s">
        <v>76</v>
      </c>
      <c r="C22" s="62">
        <f>-E61*ha_tyo!F22</f>
        <v>0</v>
      </c>
      <c r="D22" s="98">
        <f>-E61*ha_muu!F22</f>
        <v>0</v>
      </c>
      <c r="E22" s="167"/>
      <c r="F22" s="167"/>
      <c r="G22" s="167"/>
      <c r="H22" s="167"/>
      <c r="I22" s="196">
        <f>-E64*ka!F22</f>
        <v>0</v>
      </c>
      <c r="J22" s="63">
        <f>-E65*yhd!F22</f>
        <v>0</v>
      </c>
      <c r="K22" s="98">
        <f>-E62*pa!F22</f>
        <v>0</v>
      </c>
      <c r="M22" s="191">
        <f>SUM(C22:L22)</f>
        <v>0</v>
      </c>
      <c r="P22" s="163"/>
      <c r="Q22" s="163"/>
      <c r="R22" s="163"/>
      <c r="S22" s="163"/>
      <c r="T22" s="163"/>
      <c r="V22" s="163"/>
      <c r="W22" s="163"/>
      <c r="X22" s="163"/>
      <c r="Y22" s="163"/>
      <c r="Z22" s="163"/>
    </row>
    <row r="23" spans="1:26" ht="15" customHeight="1" x14ac:dyDescent="0.3">
      <c r="B23" s="33" t="s">
        <v>77</v>
      </c>
      <c r="C23" s="64">
        <f>-E61*ha_tyo!F23</f>
        <v>0</v>
      </c>
      <c r="D23" s="56">
        <f>-E61*ha_muu!F23</f>
        <v>0</v>
      </c>
      <c r="E23" s="167"/>
      <c r="F23" s="167"/>
      <c r="G23" s="167"/>
      <c r="H23" s="167"/>
      <c r="I23" s="159">
        <f>-E64*ka!F23</f>
        <v>0</v>
      </c>
      <c r="J23" s="113">
        <f>-E65*yhd!F23</f>
        <v>0</v>
      </c>
      <c r="K23" s="56">
        <f>-E62*pa!F23</f>
        <v>0</v>
      </c>
      <c r="M23" s="192">
        <f>SUM(C23:L23)</f>
        <v>0</v>
      </c>
      <c r="P23" s="163"/>
      <c r="Q23" s="163"/>
      <c r="R23" s="163"/>
      <c r="S23" s="163"/>
      <c r="T23" s="163"/>
      <c r="V23" s="163"/>
      <c r="W23" s="163"/>
      <c r="X23" s="163"/>
      <c r="Y23" s="163"/>
      <c r="Z23" s="163"/>
    </row>
    <row r="24" spans="1:26" ht="15" customHeight="1" thickBot="1" x14ac:dyDescent="0.35">
      <c r="B24" s="46" t="s">
        <v>11</v>
      </c>
      <c r="C24" s="87">
        <f>SUM(C22:C23)</f>
        <v>0</v>
      </c>
      <c r="D24" s="158">
        <f>SUM(D22:D23)</f>
        <v>0</v>
      </c>
      <c r="E24" s="167"/>
      <c r="F24" s="167"/>
      <c r="G24" s="167"/>
      <c r="H24" s="167"/>
      <c r="I24" s="197">
        <f>SUM(I22:I23)</f>
        <v>0</v>
      </c>
      <c r="J24" s="58">
        <f>SUM(J22:J23)</f>
        <v>0</v>
      </c>
      <c r="K24" s="158">
        <f>SUM(K22:K23)</f>
        <v>0</v>
      </c>
      <c r="M24" s="193">
        <f>SUM(C24:L24)</f>
        <v>0</v>
      </c>
      <c r="P24" s="163"/>
      <c r="Q24" s="163"/>
      <c r="R24" s="163"/>
      <c r="S24" s="163"/>
      <c r="T24" s="163"/>
      <c r="V24" s="163"/>
      <c r="W24" s="163"/>
      <c r="X24" s="163"/>
      <c r="Y24" s="163"/>
      <c r="Z24" s="163"/>
    </row>
    <row r="25" spans="1:26" ht="15" customHeight="1" thickBot="1" x14ac:dyDescent="0.35"/>
    <row r="26" spans="1:26" ht="15" customHeight="1" thickBot="1" x14ac:dyDescent="0.35">
      <c r="B26" s="84">
        <f>Diskonttaus!B6</f>
        <v>2050</v>
      </c>
      <c r="C26" s="26" t="s">
        <v>69</v>
      </c>
      <c r="D26" s="53" t="s">
        <v>70</v>
      </c>
      <c r="F26" s="168"/>
      <c r="H26" s="168"/>
      <c r="I26" s="147" t="s">
        <v>63</v>
      </c>
      <c r="J26" s="26" t="s">
        <v>64</v>
      </c>
      <c r="K26" s="53" t="s">
        <v>75</v>
      </c>
      <c r="M26" s="61" t="s">
        <v>11</v>
      </c>
      <c r="P26" s="162"/>
      <c r="Q26" s="162"/>
      <c r="R26" s="162"/>
      <c r="V26" s="162"/>
      <c r="W26" s="162"/>
      <c r="X26" s="162"/>
    </row>
    <row r="27" spans="1:26" x14ac:dyDescent="0.3">
      <c r="B27" s="45" t="s">
        <v>76</v>
      </c>
      <c r="C27" s="62">
        <f>-E61*ha_tyo!F27</f>
        <v>0</v>
      </c>
      <c r="D27" s="98">
        <f>-E61*ha_muu!F27</f>
        <v>0</v>
      </c>
      <c r="F27" s="167"/>
      <c r="H27" s="167"/>
      <c r="I27" s="196">
        <f>-E64*ka!F27</f>
        <v>0</v>
      </c>
      <c r="J27" s="63">
        <f>-E65*yhd!F27</f>
        <v>0</v>
      </c>
      <c r="K27" s="98">
        <f>-E62*pa!F27</f>
        <v>0</v>
      </c>
      <c r="M27" s="191">
        <f>SUM(C27:L27)</f>
        <v>0</v>
      </c>
      <c r="P27" s="163"/>
      <c r="Q27" s="163"/>
      <c r="R27" s="163"/>
      <c r="S27" s="163"/>
      <c r="T27" s="163"/>
      <c r="V27" s="163"/>
      <c r="W27" s="163"/>
      <c r="X27" s="163"/>
      <c r="Y27" s="163"/>
      <c r="Z27" s="163"/>
    </row>
    <row r="28" spans="1:26" ht="15" customHeight="1" x14ac:dyDescent="0.3">
      <c r="B28" s="33" t="s">
        <v>77</v>
      </c>
      <c r="C28" s="64">
        <f>-E61*ha_tyo!F28</f>
        <v>0</v>
      </c>
      <c r="D28" s="56">
        <f>-E61*ha_muu!F28</f>
        <v>0</v>
      </c>
      <c r="F28" s="167"/>
      <c r="H28" s="167"/>
      <c r="I28" s="159">
        <f>-E64*ka!F28</f>
        <v>0</v>
      </c>
      <c r="J28" s="113">
        <f>-E65*yhd!F28</f>
        <v>0</v>
      </c>
      <c r="K28" s="56">
        <f>-E62*pa!F28</f>
        <v>0</v>
      </c>
      <c r="M28" s="192">
        <f>SUM(C28:L28)</f>
        <v>0</v>
      </c>
      <c r="P28" s="163"/>
      <c r="Q28" s="163"/>
      <c r="R28" s="163"/>
      <c r="S28" s="163"/>
      <c r="T28" s="163"/>
      <c r="V28" s="163"/>
      <c r="W28" s="163"/>
      <c r="X28" s="163"/>
      <c r="Y28" s="163"/>
      <c r="Z28" s="163"/>
    </row>
    <row r="29" spans="1:26" ht="15" customHeight="1" thickBot="1" x14ac:dyDescent="0.35">
      <c r="B29" s="46" t="s">
        <v>11</v>
      </c>
      <c r="C29" s="87">
        <f>SUM(C27:C28)</f>
        <v>0</v>
      </c>
      <c r="D29" s="158">
        <f>SUM(D27:D28)</f>
        <v>0</v>
      </c>
      <c r="F29" s="167"/>
      <c r="H29" s="167"/>
      <c r="I29" s="197">
        <f>SUM(I27:I28)</f>
        <v>0</v>
      </c>
      <c r="J29" s="58">
        <f>SUM(J27:J28)</f>
        <v>0</v>
      </c>
      <c r="K29" s="158">
        <f>SUM(K27:K28)</f>
        <v>0</v>
      </c>
      <c r="M29" s="193">
        <f>SUM(C29:L29)</f>
        <v>0</v>
      </c>
      <c r="P29" s="163"/>
      <c r="Q29" s="163"/>
      <c r="R29" s="163"/>
      <c r="S29" s="163"/>
      <c r="T29" s="163"/>
      <c r="V29" s="163"/>
      <c r="W29" s="163"/>
      <c r="X29" s="163"/>
      <c r="Y29" s="163"/>
      <c r="Z29" s="163"/>
    </row>
    <row r="30" spans="1:26" ht="15" customHeight="1" thickBot="1" x14ac:dyDescent="0.35"/>
    <row r="31" spans="1:26" ht="21.6" customHeight="1" thickBot="1" x14ac:dyDescent="0.45">
      <c r="B31" s="123" t="s">
        <v>78</v>
      </c>
      <c r="M31" s="195">
        <f ca="1">IF(ISNUMBER(Diskonttaus!B27),Diskonttaus!B26*Kayttajahyodyt!M24+Diskonttaus!B27*Kayttajahyodyt!M29,Diskonttaus!B26*Kayttajahyodyt!M24)</f>
        <v>0</v>
      </c>
    </row>
    <row r="32" spans="1:26" s="164" customFormat="1" x14ac:dyDescent="0.3"/>
    <row r="34" spans="1:32" ht="15" customHeight="1" x14ac:dyDescent="0.3"/>
    <row r="35" spans="1:32" ht="15" customHeight="1" thickBot="1" x14ac:dyDescent="0.35">
      <c r="A35" s="168" t="s">
        <v>80</v>
      </c>
    </row>
    <row r="36" spans="1:32" ht="15" customHeight="1" thickBot="1" x14ac:dyDescent="0.35">
      <c r="B36" s="84">
        <f>Diskonttaus!B4</f>
        <v>2030</v>
      </c>
      <c r="C36" s="28" t="s">
        <v>69</v>
      </c>
      <c r="D36" s="28" t="s">
        <v>70</v>
      </c>
      <c r="E36" s="44" t="s">
        <v>71</v>
      </c>
      <c r="F36" s="175" t="s">
        <v>72</v>
      </c>
      <c r="I36" s="147" t="s">
        <v>63</v>
      </c>
      <c r="J36" s="26" t="s">
        <v>64</v>
      </c>
      <c r="K36" s="53" t="s">
        <v>75</v>
      </c>
      <c r="M36" s="84" t="s">
        <v>11</v>
      </c>
      <c r="P36" s="162"/>
      <c r="Q36" s="162"/>
      <c r="R36" s="162"/>
      <c r="V36" s="162"/>
      <c r="W36" s="162"/>
      <c r="X36" s="162"/>
      <c r="AB36" s="162"/>
      <c r="AC36" s="162"/>
      <c r="AD36" s="162"/>
    </row>
    <row r="37" spans="1:32" x14ac:dyDescent="0.3">
      <c r="B37" s="48" t="s">
        <v>76</v>
      </c>
      <c r="C37" s="159">
        <f>-ha_tyo!F37</f>
        <v>0</v>
      </c>
      <c r="D37" s="112">
        <f>-ha_muu!F37</f>
        <v>0</v>
      </c>
      <c r="E37" s="112">
        <f>-jl_tyo!F37</f>
        <v>0</v>
      </c>
      <c r="F37" s="77">
        <f>-jl_muu!F37</f>
        <v>0</v>
      </c>
      <c r="H37" s="167"/>
      <c r="I37" s="196">
        <f>-ka!F37</f>
        <v>0</v>
      </c>
      <c r="J37" s="63">
        <f>-yhd!F37</f>
        <v>0</v>
      </c>
      <c r="K37" s="165">
        <f>-pa!F37</f>
        <v>0</v>
      </c>
      <c r="M37" s="191">
        <f>SUM(C37:L37)</f>
        <v>0</v>
      </c>
      <c r="P37" s="163"/>
      <c r="Q37" s="163"/>
      <c r="R37" s="163"/>
      <c r="S37" s="163"/>
      <c r="T37" s="163"/>
      <c r="V37" s="163"/>
      <c r="W37" s="163"/>
      <c r="X37" s="163"/>
      <c r="Y37" s="163"/>
      <c r="Z37" s="163"/>
      <c r="AB37" s="163"/>
      <c r="AC37" s="163"/>
      <c r="AD37" s="163"/>
      <c r="AE37" s="163"/>
      <c r="AF37" s="163"/>
    </row>
    <row r="38" spans="1:32" x14ac:dyDescent="0.3">
      <c r="B38" s="202" t="s">
        <v>77</v>
      </c>
      <c r="C38" s="160">
        <f>-ha_tyo!F38</f>
        <v>0</v>
      </c>
      <c r="D38" s="113">
        <f>-ha_muu!F38</f>
        <v>0</v>
      </c>
      <c r="E38" s="113">
        <f>-jl_tyo!F38</f>
        <v>0</v>
      </c>
      <c r="F38" s="111">
        <f>-jl_muu!F38</f>
        <v>0</v>
      </c>
      <c r="H38" s="167"/>
      <c r="I38" s="160">
        <f>-ka!F38</f>
        <v>0</v>
      </c>
      <c r="J38" s="113">
        <f>-yhd!F38</f>
        <v>0</v>
      </c>
      <c r="K38" s="111">
        <f>-pa!F38</f>
        <v>0</v>
      </c>
      <c r="M38" s="192">
        <f>SUM(C38:L38)</f>
        <v>0</v>
      </c>
      <c r="P38" s="163"/>
      <c r="Q38" s="163"/>
      <c r="R38" s="163"/>
      <c r="S38" s="163"/>
      <c r="T38" s="163"/>
      <c r="V38" s="163"/>
      <c r="W38" s="163"/>
      <c r="X38" s="163"/>
      <c r="Y38" s="163"/>
      <c r="Z38" s="163"/>
      <c r="AB38" s="163"/>
      <c r="AC38" s="163"/>
      <c r="AD38" s="163"/>
      <c r="AE38" s="163"/>
      <c r="AF38" s="163"/>
    </row>
    <row r="39" spans="1:32" ht="15" customHeight="1" thickBot="1" x14ac:dyDescent="0.35">
      <c r="B39" s="49" t="s">
        <v>11</v>
      </c>
      <c r="C39" s="197">
        <f>SUM(C37:C38)</f>
        <v>0</v>
      </c>
      <c r="D39" s="58">
        <f>SUM(D37:D38)</f>
        <v>0</v>
      </c>
      <c r="E39" s="58">
        <f>SUM(E37:E38)</f>
        <v>0</v>
      </c>
      <c r="F39" s="72">
        <f>SUM(F37:F38)</f>
        <v>0</v>
      </c>
      <c r="H39" s="167"/>
      <c r="I39" s="197">
        <f>SUM(I37:I38)</f>
        <v>0</v>
      </c>
      <c r="J39" s="58">
        <f>SUM(J37:J38)</f>
        <v>0</v>
      </c>
      <c r="K39" s="72">
        <f>SUM(K37:K38)</f>
        <v>0</v>
      </c>
      <c r="M39" s="193">
        <f>SUM(C39:L39)</f>
        <v>0</v>
      </c>
      <c r="P39" s="163"/>
      <c r="Q39" s="163"/>
      <c r="R39" s="163"/>
      <c r="S39" s="163"/>
      <c r="T39" s="163"/>
      <c r="V39" s="163"/>
      <c r="W39" s="163"/>
      <c r="X39" s="163"/>
      <c r="Y39" s="163"/>
      <c r="Z39" s="163"/>
      <c r="AB39" s="163"/>
      <c r="AC39" s="163"/>
      <c r="AD39" s="163"/>
      <c r="AE39" s="163"/>
      <c r="AF39" s="163"/>
    </row>
    <row r="40" spans="1:32" ht="15" customHeight="1" thickBot="1" x14ac:dyDescent="0.35"/>
    <row r="41" spans="1:32" ht="15" customHeight="1" thickBot="1" x14ac:dyDescent="0.35">
      <c r="B41" s="84">
        <f>Diskonttaus!B6</f>
        <v>2050</v>
      </c>
      <c r="C41" s="28" t="s">
        <v>69</v>
      </c>
      <c r="D41" s="28" t="s">
        <v>70</v>
      </c>
      <c r="E41" s="44" t="s">
        <v>71</v>
      </c>
      <c r="F41" s="175" t="s">
        <v>72</v>
      </c>
      <c r="I41" s="147" t="s">
        <v>63</v>
      </c>
      <c r="J41" s="26" t="s">
        <v>64</v>
      </c>
      <c r="K41" s="53" t="s">
        <v>75</v>
      </c>
      <c r="M41" s="84" t="s">
        <v>11</v>
      </c>
      <c r="P41" s="162"/>
      <c r="Q41" s="162"/>
      <c r="R41" s="162"/>
      <c r="V41" s="162"/>
      <c r="W41" s="162"/>
      <c r="X41" s="162"/>
      <c r="AB41" s="162"/>
      <c r="AC41" s="162"/>
      <c r="AD41" s="162"/>
    </row>
    <row r="42" spans="1:32" x14ac:dyDescent="0.3">
      <c r="B42" s="48" t="s">
        <v>76</v>
      </c>
      <c r="C42" s="159">
        <f>-ha_tyo!F42</f>
        <v>0</v>
      </c>
      <c r="D42" s="112">
        <f>-ha_muu!F42</f>
        <v>0</v>
      </c>
      <c r="E42" s="112">
        <f>-jl_tyo!F42</f>
        <v>0</v>
      </c>
      <c r="F42" s="77">
        <f>-jl_muu!F42</f>
        <v>0</v>
      </c>
      <c r="H42" s="167"/>
      <c r="I42" s="196">
        <f>-ka!F42</f>
        <v>0</v>
      </c>
      <c r="J42" s="63">
        <f>-yhd!G42</f>
        <v>0</v>
      </c>
      <c r="K42" s="165">
        <f>-pa!F42</f>
        <v>0</v>
      </c>
      <c r="M42" s="191">
        <f>SUM(C42:L42)</f>
        <v>0</v>
      </c>
      <c r="P42" s="163"/>
      <c r="Q42" s="163"/>
      <c r="R42" s="163"/>
      <c r="S42" s="163"/>
      <c r="T42" s="163"/>
      <c r="V42" s="163"/>
      <c r="W42" s="163"/>
      <c r="X42" s="163"/>
      <c r="Y42" s="163"/>
      <c r="Z42" s="163"/>
      <c r="AB42" s="163"/>
      <c r="AC42" s="163"/>
      <c r="AD42" s="163"/>
      <c r="AE42" s="163"/>
      <c r="AF42" s="163"/>
    </row>
    <row r="43" spans="1:32" x14ac:dyDescent="0.3">
      <c r="B43" s="202" t="s">
        <v>77</v>
      </c>
      <c r="C43" s="160">
        <f>-ha_tyo!F43</f>
        <v>0</v>
      </c>
      <c r="D43" s="113">
        <f>-ha_muu!F43</f>
        <v>0</v>
      </c>
      <c r="E43" s="113">
        <f>-jl_tyo!F43</f>
        <v>0</v>
      </c>
      <c r="F43" s="77">
        <f>-jl_muu!F43</f>
        <v>0</v>
      </c>
      <c r="H43" s="167"/>
      <c r="I43" s="159">
        <f>-ka!F43</f>
        <v>0</v>
      </c>
      <c r="J43" s="113">
        <f>-yhd!G43</f>
        <v>0</v>
      </c>
      <c r="K43" s="111">
        <f>-pa!F43</f>
        <v>0</v>
      </c>
      <c r="M43" s="192">
        <f>SUM(C43:L43)</f>
        <v>0</v>
      </c>
      <c r="P43" s="163"/>
      <c r="Q43" s="163"/>
      <c r="R43" s="163"/>
      <c r="S43" s="163"/>
      <c r="T43" s="163"/>
      <c r="V43" s="163"/>
      <c r="W43" s="163"/>
      <c r="X43" s="163"/>
      <c r="Y43" s="163"/>
      <c r="Z43" s="163"/>
      <c r="AB43" s="163"/>
      <c r="AC43" s="163"/>
      <c r="AD43" s="163"/>
      <c r="AE43" s="163"/>
      <c r="AF43" s="163"/>
    </row>
    <row r="44" spans="1:32" ht="15" customHeight="1" thickBot="1" x14ac:dyDescent="0.35">
      <c r="B44" s="49" t="s">
        <v>11</v>
      </c>
      <c r="C44" s="46">
        <f>SUM(C42:C43)</f>
        <v>0</v>
      </c>
      <c r="D44" s="41">
        <f>SUM(D42:D43)</f>
        <v>0</v>
      </c>
      <c r="E44" s="58">
        <f>SUM(E42:E43)</f>
        <v>0</v>
      </c>
      <c r="F44" s="72">
        <f>SUM(F42:F43)</f>
        <v>0</v>
      </c>
      <c r="I44" s="197">
        <f>SUM(I42:I43)</f>
        <v>0</v>
      </c>
      <c r="J44" s="58">
        <f>SUM(J42:J43)</f>
        <v>0</v>
      </c>
      <c r="K44" s="72">
        <f>SUM(K42:K43)</f>
        <v>0</v>
      </c>
      <c r="M44" s="193">
        <f>SUM(C44:L44)</f>
        <v>0</v>
      </c>
      <c r="P44" s="163"/>
      <c r="Q44" s="163"/>
      <c r="R44" s="163"/>
      <c r="S44" s="163"/>
      <c r="T44" s="163"/>
      <c r="V44" s="163"/>
      <c r="W44" s="163"/>
      <c r="X44" s="163"/>
      <c r="Y44" s="163"/>
      <c r="Z44" s="163"/>
      <c r="AB44" s="163"/>
      <c r="AC44" s="163"/>
      <c r="AD44" s="163"/>
      <c r="AE44" s="163"/>
      <c r="AF44" s="163"/>
    </row>
    <row r="45" spans="1:32" ht="15" customHeight="1" thickBot="1" x14ac:dyDescent="0.35"/>
    <row r="46" spans="1:32" ht="21.6" customHeight="1" thickBot="1" x14ac:dyDescent="0.45">
      <c r="B46" s="117" t="s">
        <v>78</v>
      </c>
      <c r="M46" s="195">
        <f ca="1">IF(ISNUMBER(Diskonttaus!B27),Diskonttaus!B26*Kayttajahyodyt!M39+Diskonttaus!B27*Kayttajahyodyt!M44,Diskonttaus!B26*Kayttajahyodyt!M39)</f>
        <v>0</v>
      </c>
    </row>
    <row r="57" spans="2:5" ht="21" customHeight="1" x14ac:dyDescent="0.4">
      <c r="B57" s="110" t="s">
        <v>81</v>
      </c>
    </row>
    <row r="59" spans="2:5" ht="15" customHeight="1" thickBot="1" x14ac:dyDescent="0.35">
      <c r="B59" s="36" t="s">
        <v>82</v>
      </c>
    </row>
    <row r="60" spans="2:5" ht="15" customHeight="1" thickBot="1" x14ac:dyDescent="0.35">
      <c r="B60" s="27" t="s">
        <v>83</v>
      </c>
      <c r="C60" s="26" t="s">
        <v>84</v>
      </c>
      <c r="D60" s="23" t="s">
        <v>85</v>
      </c>
      <c r="E60" s="24" t="s">
        <v>86</v>
      </c>
    </row>
    <row r="61" spans="2:5" x14ac:dyDescent="0.3">
      <c r="B61" s="22" t="s">
        <v>87</v>
      </c>
      <c r="C61" s="131">
        <f>0.01*6.73</f>
        <v>6.7300000000000013E-2</v>
      </c>
      <c r="D61" s="132">
        <f>0.01*6.06</f>
        <v>6.0599999999999994E-2</v>
      </c>
      <c r="E61" s="133">
        <f>C61+D61</f>
        <v>0.12790000000000001</v>
      </c>
    </row>
    <row r="62" spans="2:5" x14ac:dyDescent="0.3">
      <c r="B62" s="33" t="s">
        <v>75</v>
      </c>
      <c r="C62" s="134">
        <f>0.01*10.69</f>
        <v>0.1069</v>
      </c>
      <c r="D62" s="135">
        <f>0.01*8.11</f>
        <v>8.1099999999999992E-2</v>
      </c>
      <c r="E62" s="198">
        <f>C62+D62</f>
        <v>0.188</v>
      </c>
    </row>
    <row r="63" spans="2:5" x14ac:dyDescent="0.3">
      <c r="B63" s="33" t="s">
        <v>88</v>
      </c>
      <c r="C63" s="134">
        <f>0.01*30.9</f>
        <v>0.309</v>
      </c>
      <c r="D63" s="135">
        <f>0.01*13.25</f>
        <v>0.13250000000000001</v>
      </c>
      <c r="E63" s="198">
        <f>C63+D63</f>
        <v>0.4415</v>
      </c>
    </row>
    <row r="64" spans="2:5" x14ac:dyDescent="0.3">
      <c r="B64" s="33" t="s">
        <v>63</v>
      </c>
      <c r="C64" s="134">
        <f>0.01*22.34</f>
        <v>0.22340000000000002</v>
      </c>
      <c r="D64" s="135">
        <f>0.01*9.55</f>
        <v>9.5500000000000015E-2</v>
      </c>
      <c r="E64" s="198">
        <f>C64+D64</f>
        <v>0.31890000000000002</v>
      </c>
    </row>
    <row r="65" spans="2:17 16384:16384" ht="15" customHeight="1" thickBot="1" x14ac:dyDescent="0.35">
      <c r="B65" s="34" t="s">
        <v>89</v>
      </c>
      <c r="C65" s="136">
        <f>0.01*40</f>
        <v>0.4</v>
      </c>
      <c r="D65" s="137">
        <f>0.01*24.74</f>
        <v>0.24739999999999998</v>
      </c>
      <c r="E65" s="199">
        <f>C65+D65</f>
        <v>0.64739999999999998</v>
      </c>
    </row>
    <row r="66" spans="2:17 16384:16384" x14ac:dyDescent="0.3">
      <c r="XFD66" s="35"/>
    </row>
    <row r="68" spans="2:17 16384:16384" ht="15" customHeight="1" thickBot="1" x14ac:dyDescent="0.35"/>
    <row r="69" spans="2:17 16384:16384" ht="15" customHeight="1" thickBot="1" x14ac:dyDescent="0.35">
      <c r="B69" s="27" t="s">
        <v>90</v>
      </c>
      <c r="C69" s="28">
        <f>Diskonttaus!B4</f>
        <v>2030</v>
      </c>
      <c r="D69" s="16"/>
      <c r="E69" s="16"/>
      <c r="H69" s="27" t="s">
        <v>91</v>
      </c>
      <c r="I69" s="28">
        <f>Diskonttaus!B4</f>
        <v>2030</v>
      </c>
      <c r="J69" s="16"/>
      <c r="K69" s="16"/>
      <c r="N69" s="27" t="s">
        <v>92</v>
      </c>
      <c r="O69" s="28">
        <f>Diskonttaus!B4</f>
        <v>2030</v>
      </c>
      <c r="P69" s="16"/>
      <c r="Q69" s="16"/>
    </row>
    <row r="70" spans="2:17 16384:16384" x14ac:dyDescent="0.3">
      <c r="B70" s="17" t="s">
        <v>87</v>
      </c>
      <c r="C70" s="20">
        <f>300*Ulkoisvaikutukset!I8</f>
        <v>0</v>
      </c>
      <c r="D70" s="18"/>
      <c r="E70" s="18"/>
      <c r="H70" s="22" t="s">
        <v>87</v>
      </c>
      <c r="I70" s="90">
        <f>$D61*C70</f>
        <v>0</v>
      </c>
      <c r="J70" s="91"/>
      <c r="K70" s="152"/>
      <c r="N70" s="22" t="s">
        <v>87</v>
      </c>
      <c r="O70" s="90">
        <f>$C61*C70</f>
        <v>0</v>
      </c>
      <c r="P70" s="91"/>
      <c r="Q70" s="152"/>
    </row>
    <row r="71" spans="2:17 16384:16384" x14ac:dyDescent="0.3">
      <c r="B71" s="202" t="s">
        <v>75</v>
      </c>
      <c r="C71" s="31">
        <f>300*(Ulkoisvaikutukset!I9)</f>
        <v>0</v>
      </c>
      <c r="D71" s="32"/>
      <c r="E71" s="32"/>
      <c r="H71" s="33" t="s">
        <v>75</v>
      </c>
      <c r="I71" s="92">
        <f>$D62*C71</f>
        <v>0</v>
      </c>
      <c r="J71" s="93"/>
      <c r="K71" s="153"/>
      <c r="N71" s="33" t="s">
        <v>75</v>
      </c>
      <c r="O71" s="92">
        <f>$C62*C71</f>
        <v>0</v>
      </c>
      <c r="P71" s="93"/>
      <c r="Q71" s="153"/>
    </row>
    <row r="72" spans="2:17 16384:16384" x14ac:dyDescent="0.3">
      <c r="B72" s="202" t="s">
        <v>88</v>
      </c>
      <c r="C72" s="31">
        <f>300*Ulkoisvaikutukset!I4</f>
        <v>0</v>
      </c>
      <c r="D72" s="32"/>
      <c r="E72" s="32"/>
      <c r="H72" s="33" t="s">
        <v>88</v>
      </c>
      <c r="I72" s="92">
        <f>$D63*C72</f>
        <v>0</v>
      </c>
      <c r="J72" s="93"/>
      <c r="K72" s="153"/>
      <c r="N72" s="33" t="s">
        <v>88</v>
      </c>
      <c r="O72" s="92">
        <f>$C63*C72</f>
        <v>0</v>
      </c>
      <c r="P72" s="93"/>
      <c r="Q72" s="153"/>
    </row>
    <row r="73" spans="2:17 16384:16384" x14ac:dyDescent="0.3">
      <c r="B73" s="202" t="s">
        <v>63</v>
      </c>
      <c r="C73" s="31">
        <f>300*Ulkoisvaikutukset!I10</f>
        <v>0</v>
      </c>
      <c r="D73" s="32"/>
      <c r="E73" s="32"/>
      <c r="H73" s="33" t="s">
        <v>63</v>
      </c>
      <c r="I73" s="92">
        <f>$D64*C73</f>
        <v>0</v>
      </c>
      <c r="J73" s="93"/>
      <c r="K73" s="153"/>
      <c r="N73" s="33" t="s">
        <v>63</v>
      </c>
      <c r="O73" s="92">
        <f>$C64*C73</f>
        <v>0</v>
      </c>
      <c r="P73" s="93"/>
      <c r="Q73" s="153"/>
    </row>
    <row r="74" spans="2:17 16384:16384" ht="15" customHeight="1" thickBot="1" x14ac:dyDescent="0.35">
      <c r="B74" s="29" t="s">
        <v>89</v>
      </c>
      <c r="C74" s="21">
        <f>300*Ulkoisvaikutukset!I11</f>
        <v>0</v>
      </c>
      <c r="D74" s="30"/>
      <c r="E74" s="30"/>
      <c r="H74" s="34" t="s">
        <v>89</v>
      </c>
      <c r="I74" s="94">
        <f>$D65*C74</f>
        <v>0</v>
      </c>
      <c r="J74" s="95"/>
      <c r="K74" s="154"/>
      <c r="N74" s="34" t="s">
        <v>89</v>
      </c>
      <c r="O74" s="94">
        <f>$C65*C74</f>
        <v>0</v>
      </c>
      <c r="P74" s="95"/>
      <c r="Q74" s="154"/>
    </row>
    <row r="75" spans="2:17 16384:16384" ht="15" customHeight="1" thickBot="1" x14ac:dyDescent="0.35">
      <c r="H75" s="9" t="s">
        <v>86</v>
      </c>
      <c r="I75" s="96">
        <f>SUM(I70:I74)</f>
        <v>0</v>
      </c>
      <c r="J75" s="96"/>
      <c r="K75" s="96"/>
      <c r="M75" s="20"/>
      <c r="N75" s="9" t="s">
        <v>86</v>
      </c>
      <c r="O75" s="96">
        <f>SUM(O70:O74)</f>
        <v>0</v>
      </c>
      <c r="P75" s="96"/>
      <c r="Q75" s="96"/>
    </row>
    <row r="76" spans="2:17 16384:16384" ht="15" customHeight="1" thickBot="1" x14ac:dyDescent="0.35">
      <c r="B76" s="27" t="s">
        <v>90</v>
      </c>
      <c r="C76" s="28">
        <f>Diskonttaus!B6</f>
        <v>2050</v>
      </c>
      <c r="D76" s="16"/>
      <c r="E76" s="16"/>
      <c r="H76" s="27" t="s">
        <v>91</v>
      </c>
      <c r="I76" s="28">
        <f>Diskonttaus!B6</f>
        <v>2050</v>
      </c>
      <c r="J76" s="16"/>
      <c r="K76" s="16"/>
      <c r="N76" s="27" t="s">
        <v>92</v>
      </c>
      <c r="O76" s="28">
        <f>Diskonttaus!B6</f>
        <v>2050</v>
      </c>
      <c r="P76" s="16"/>
      <c r="Q76" s="16"/>
    </row>
    <row r="77" spans="2:17 16384:16384" x14ac:dyDescent="0.3">
      <c r="B77" s="17" t="s">
        <v>87</v>
      </c>
      <c r="C77" s="20">
        <f>300*Ulkoisvaikutukset!R8</f>
        <v>0</v>
      </c>
      <c r="D77" s="25"/>
      <c r="E77" s="25"/>
      <c r="H77" s="22" t="s">
        <v>87</v>
      </c>
      <c r="I77" s="90">
        <f>$D61*C77</f>
        <v>0</v>
      </c>
      <c r="J77" s="91"/>
      <c r="K77" s="152"/>
      <c r="N77" s="22" t="s">
        <v>87</v>
      </c>
      <c r="O77" s="90">
        <f>$C61*C77</f>
        <v>0</v>
      </c>
      <c r="P77" s="91"/>
      <c r="Q77" s="152"/>
    </row>
    <row r="78" spans="2:17 16384:16384" x14ac:dyDescent="0.3">
      <c r="B78" s="202" t="s">
        <v>75</v>
      </c>
      <c r="C78" s="31">
        <f>300*Ulkoisvaikutukset!R9</f>
        <v>0</v>
      </c>
      <c r="D78" s="8"/>
      <c r="E78" s="8"/>
      <c r="H78" s="33" t="s">
        <v>75</v>
      </c>
      <c r="I78" s="92">
        <f>$D62*C78</f>
        <v>0</v>
      </c>
      <c r="J78" s="93"/>
      <c r="K78" s="153"/>
      <c r="N78" s="33" t="s">
        <v>75</v>
      </c>
      <c r="O78" s="92">
        <f>$C62*C78</f>
        <v>0</v>
      </c>
      <c r="P78" s="93"/>
      <c r="Q78" s="153"/>
    </row>
    <row r="79" spans="2:17 16384:16384" x14ac:dyDescent="0.3">
      <c r="B79" s="202" t="s">
        <v>88</v>
      </c>
      <c r="C79" s="31">
        <f>300*Ulkoisvaikutukset!R4</f>
        <v>0</v>
      </c>
      <c r="D79" s="8"/>
      <c r="E79" s="8"/>
      <c r="H79" s="33" t="s">
        <v>88</v>
      </c>
      <c r="I79" s="92">
        <f>$D63*C79</f>
        <v>0</v>
      </c>
      <c r="J79" s="93"/>
      <c r="K79" s="153"/>
      <c r="N79" s="33" t="s">
        <v>88</v>
      </c>
      <c r="O79" s="92">
        <f>$C63*C79</f>
        <v>0</v>
      </c>
      <c r="P79" s="93"/>
      <c r="Q79" s="153"/>
    </row>
    <row r="80" spans="2:17 16384:16384" x14ac:dyDescent="0.3">
      <c r="B80" s="202" t="s">
        <v>63</v>
      </c>
      <c r="C80" s="31">
        <f>300*Ulkoisvaikutukset!R10</f>
        <v>0</v>
      </c>
      <c r="D80" s="8"/>
      <c r="E80" s="8"/>
      <c r="H80" s="33" t="s">
        <v>63</v>
      </c>
      <c r="I80" s="92">
        <f>$D64*C80</f>
        <v>0</v>
      </c>
      <c r="J80" s="93"/>
      <c r="K80" s="153"/>
      <c r="N80" s="33" t="s">
        <v>63</v>
      </c>
      <c r="O80" s="92">
        <f>$C64*C80</f>
        <v>0</v>
      </c>
      <c r="P80" s="93"/>
      <c r="Q80" s="153"/>
    </row>
    <row r="81" spans="2:17" ht="15" customHeight="1" thickBot="1" x14ac:dyDescent="0.35">
      <c r="B81" s="29" t="s">
        <v>89</v>
      </c>
      <c r="C81" s="21">
        <f>300*Ulkoisvaikutukset!R11</f>
        <v>0</v>
      </c>
      <c r="D81" s="19"/>
      <c r="E81" s="19"/>
      <c r="H81" s="34" t="s">
        <v>89</v>
      </c>
      <c r="I81" s="94">
        <f>$D65*C81</f>
        <v>0</v>
      </c>
      <c r="J81" s="95"/>
      <c r="K81" s="154"/>
      <c r="N81" s="34" t="s">
        <v>89</v>
      </c>
      <c r="O81" s="94">
        <f>$C65*C81</f>
        <v>0</v>
      </c>
      <c r="P81" s="95"/>
      <c r="Q81" s="154"/>
    </row>
    <row r="82" spans="2:17" x14ac:dyDescent="0.3">
      <c r="B82" s="9"/>
      <c r="C82" s="89"/>
      <c r="D82" s="20"/>
      <c r="E82" s="20"/>
      <c r="G82" s="20"/>
      <c r="H82" s="9" t="s">
        <v>86</v>
      </c>
      <c r="I82" s="96">
        <f>SUM(I77:I81)</f>
        <v>0</v>
      </c>
      <c r="J82" s="96"/>
      <c r="K82" s="96"/>
      <c r="M82" s="20"/>
      <c r="N82" s="9" t="s">
        <v>86</v>
      </c>
      <c r="O82" s="96">
        <f>SUM(O77:O81)</f>
        <v>0</v>
      </c>
      <c r="P82" s="96"/>
      <c r="Q82" s="96"/>
    </row>
    <row r="85" spans="2:17" x14ac:dyDescent="0.3">
      <c r="B85" s="9" t="s">
        <v>93</v>
      </c>
    </row>
    <row r="88" spans="2:17" x14ac:dyDescent="0.3">
      <c r="B88" s="14"/>
    </row>
    <row r="92" spans="2:17" x14ac:dyDescent="0.3">
      <c r="B92" s="20"/>
    </row>
    <row r="93" spans="2:17" x14ac:dyDescent="0.3">
      <c r="B93" s="20"/>
    </row>
    <row r="98" s="102" customFormat="1" x14ac:dyDescent="0.3"/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3"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87</v>
      </c>
      <c r="B1" t="s">
        <v>94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0.45600000000000002</v>
      </c>
      <c r="C4" s="222">
        <v>0.10199999999999999</v>
      </c>
      <c r="D4" s="223">
        <v>0.433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87</v>
      </c>
      <c r="B1" t="s">
        <v>104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0.48799999999999999</v>
      </c>
      <c r="C4" s="222">
        <v>8.8999999999999996E-2</v>
      </c>
      <c r="D4" s="223">
        <v>0.28899999999999998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69">
        <f>B42+B43</f>
        <v>0</v>
      </c>
      <c r="C44" s="270">
        <f>C42+C43</f>
        <v>0</v>
      </c>
      <c r="D44" s="270">
        <f>D42+D43</f>
        <v>0</v>
      </c>
      <c r="E44" s="205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105</v>
      </c>
      <c r="B1" t="s">
        <v>94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0.44500000000000001</v>
      </c>
      <c r="C4" s="222">
        <v>0.10299999999999999</v>
      </c>
      <c r="D4" s="223">
        <v>0.41399999999999998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105</v>
      </c>
      <c r="B1" t="s">
        <v>104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0.57099999999999995</v>
      </c>
      <c r="C4" s="222">
        <v>0.11700000000000001</v>
      </c>
      <c r="D4" s="223">
        <v>0.373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9" sqref="B9:D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67</v>
      </c>
      <c r="B1" t="s">
        <v>94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0.54200000000000004</v>
      </c>
      <c r="C4" s="222">
        <v>0.109</v>
      </c>
      <c r="D4" s="223">
        <v>0.5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>
        <v>0</v>
      </c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>
        <v>0</v>
      </c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>
        <v>0</v>
      </c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>
        <v>0</v>
      </c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>
        <v>0</v>
      </c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>
        <v>0</v>
      </c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>
        <v>0</v>
      </c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>
        <v>0</v>
      </c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>
        <v>0</v>
      </c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>
        <v>0</v>
      </c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>
        <v>0</v>
      </c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>
        <v>0</v>
      </c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6" workbookViewId="0">
      <selection activeCell="E42" sqref="E42:E43"/>
    </sheetView>
  </sheetViews>
  <sheetFormatPr defaultRowHeight="14.4" x14ac:dyDescent="0.3"/>
  <cols>
    <col min="1" max="1" width="18.44140625" style="166" bestFit="1" customWidth="1"/>
    <col min="2" max="5" width="9.33203125" style="166" customWidth="1"/>
    <col min="6" max="6" width="11.88671875" style="166" bestFit="1" customWidth="1"/>
  </cols>
  <sheetData>
    <row r="1" spans="1:6" x14ac:dyDescent="0.3">
      <c r="A1" t="s">
        <v>67</v>
      </c>
      <c r="B1" t="s">
        <v>104</v>
      </c>
    </row>
    <row r="2" spans="1:6" ht="15.75" customHeight="1" thickBot="1" x14ac:dyDescent="0.35">
      <c r="B2" t="s">
        <v>95</v>
      </c>
    </row>
    <row r="3" spans="1:6" ht="15.75" customHeight="1" thickBot="1" x14ac:dyDescent="0.35">
      <c r="B3" s="147" t="s">
        <v>96</v>
      </c>
      <c r="C3" s="23" t="s">
        <v>97</v>
      </c>
      <c r="D3" s="24" t="s">
        <v>98</v>
      </c>
    </row>
    <row r="4" spans="1:6" ht="15.75" customHeight="1" thickBot="1" x14ac:dyDescent="0.35">
      <c r="B4" s="221">
        <v>0.72499999999999998</v>
      </c>
      <c r="C4" s="222">
        <v>0.10299999999999999</v>
      </c>
      <c r="D4" s="223">
        <v>0.33200000000000002</v>
      </c>
    </row>
    <row r="6" spans="1:6" x14ac:dyDescent="0.3">
      <c r="A6" t="s">
        <v>99</v>
      </c>
    </row>
    <row r="7" spans="1:6" ht="15.75" customHeight="1" thickBot="1" x14ac:dyDescent="0.35"/>
    <row r="8" spans="1:6" x14ac:dyDescent="0.3">
      <c r="A8" s="208">
        <v>2030</v>
      </c>
      <c r="B8" s="147" t="s">
        <v>96</v>
      </c>
      <c r="C8" s="23" t="s">
        <v>97</v>
      </c>
      <c r="D8" s="23" t="s">
        <v>98</v>
      </c>
      <c r="E8" s="24" t="s">
        <v>100</v>
      </c>
      <c r="F8" s="53" t="s">
        <v>101</v>
      </c>
    </row>
    <row r="9" spans="1:6" x14ac:dyDescent="0.3">
      <c r="A9" s="209" t="s">
        <v>76</v>
      </c>
      <c r="B9" s="265"/>
      <c r="C9" s="266"/>
      <c r="D9" s="266"/>
      <c r="E9" s="124"/>
      <c r="F9" s="78">
        <f>E9/60*Diskonttaus!$B$11</f>
        <v>0</v>
      </c>
    </row>
    <row r="10" spans="1:6" ht="15.75" customHeight="1" thickBot="1" x14ac:dyDescent="0.35">
      <c r="A10" s="210" t="s">
        <v>77</v>
      </c>
      <c r="B10" s="267"/>
      <c r="C10" s="268"/>
      <c r="D10" s="268"/>
      <c r="E10" s="203"/>
      <c r="F10" s="79">
        <f>E10/60*Diskonttaus!$B$11</f>
        <v>0</v>
      </c>
    </row>
    <row r="11" spans="1:6" ht="15.75" customHeight="1" thickBot="1" x14ac:dyDescent="0.35">
      <c r="A11" s="211" t="s">
        <v>11</v>
      </c>
      <c r="B11" s="269">
        <f>B9+B10</f>
        <v>0</v>
      </c>
      <c r="C11" s="270">
        <f>C9+C10</f>
        <v>0</v>
      </c>
      <c r="D11" s="270">
        <f>D9+D10</f>
        <v>0</v>
      </c>
      <c r="E11" s="205">
        <f>B11/B$4+C11/C$4+D11/D$4</f>
        <v>0</v>
      </c>
      <c r="F11" s="207">
        <f>E11/60*Diskonttaus!$B$11</f>
        <v>0</v>
      </c>
    </row>
    <row r="12" spans="1:6" ht="15.75" customHeight="1" thickBot="1" x14ac:dyDescent="0.35">
      <c r="A12" s="214"/>
      <c r="B12" s="271"/>
      <c r="C12" s="271"/>
      <c r="D12" s="271"/>
    </row>
    <row r="13" spans="1:6" x14ac:dyDescent="0.3">
      <c r="A13" s="208">
        <v>2050</v>
      </c>
      <c r="B13" s="272" t="s">
        <v>96</v>
      </c>
      <c r="C13" s="273" t="s">
        <v>97</v>
      </c>
      <c r="D13" s="273" t="s">
        <v>98</v>
      </c>
      <c r="E13" s="23" t="s">
        <v>100</v>
      </c>
      <c r="F13" s="53" t="s">
        <v>101</v>
      </c>
    </row>
    <row r="14" spans="1:6" x14ac:dyDescent="0.3">
      <c r="A14" s="33" t="s">
        <v>76</v>
      </c>
      <c r="B14" s="265"/>
      <c r="C14" s="266"/>
      <c r="D14" s="266"/>
      <c r="E14" s="124"/>
      <c r="F14" s="78">
        <f>E14/60*Diskonttaus!$B$11</f>
        <v>0</v>
      </c>
    </row>
    <row r="15" spans="1:6" ht="15.75" customHeight="1" thickBot="1" x14ac:dyDescent="0.35">
      <c r="A15" s="85" t="s">
        <v>77</v>
      </c>
      <c r="B15" s="267"/>
      <c r="C15" s="268"/>
      <c r="D15" s="268"/>
      <c r="E15" s="203"/>
      <c r="F15" s="79">
        <f>E15/60*Diskonttaus!$B$11</f>
        <v>0</v>
      </c>
    </row>
    <row r="16" spans="1:6" ht="15.75" customHeight="1" thickBot="1" x14ac:dyDescent="0.35">
      <c r="A16" s="60" t="s">
        <v>11</v>
      </c>
      <c r="B16" s="269">
        <f>B14+B15</f>
        <v>0</v>
      </c>
      <c r="C16" s="270">
        <f>C14+C15</f>
        <v>0</v>
      </c>
      <c r="D16" s="270">
        <f>D14+D15</f>
        <v>0</v>
      </c>
      <c r="E16" s="205">
        <f>B16/B$4+C16/C$4+D16/D$4</f>
        <v>0</v>
      </c>
      <c r="F16" s="207">
        <f>E16/60*Diskonttaus!$B$11</f>
        <v>0</v>
      </c>
    </row>
    <row r="17" spans="1:6" x14ac:dyDescent="0.3">
      <c r="B17" s="271"/>
      <c r="C17" s="271"/>
      <c r="D17" s="271"/>
    </row>
    <row r="18" spans="1:6" x14ac:dyDescent="0.3">
      <c r="B18" s="271"/>
      <c r="C18" s="271"/>
      <c r="D18" s="271"/>
    </row>
    <row r="19" spans="1:6" x14ac:dyDescent="0.3">
      <c r="A19" t="s">
        <v>102</v>
      </c>
      <c r="B19" s="271"/>
      <c r="C19" s="271"/>
      <c r="D19" s="271"/>
    </row>
    <row r="20" spans="1:6" ht="15.75" customHeight="1" thickBot="1" x14ac:dyDescent="0.35">
      <c r="B20" s="271"/>
      <c r="C20" s="271"/>
      <c r="D20" s="271"/>
    </row>
    <row r="21" spans="1:6" x14ac:dyDescent="0.3">
      <c r="A21" s="208">
        <v>2030</v>
      </c>
      <c r="B21" s="272" t="s">
        <v>96</v>
      </c>
      <c r="C21" s="273" t="s">
        <v>97</v>
      </c>
      <c r="D21" s="273" t="s">
        <v>98</v>
      </c>
      <c r="E21" s="23" t="s">
        <v>100</v>
      </c>
      <c r="F21" s="53" t="s">
        <v>101</v>
      </c>
    </row>
    <row r="22" spans="1:6" x14ac:dyDescent="0.3">
      <c r="A22" s="209" t="s">
        <v>76</v>
      </c>
      <c r="B22" s="274"/>
      <c r="C22" s="232"/>
      <c r="D22" s="232"/>
      <c r="E22" s="125"/>
      <c r="F22" s="78">
        <f>E22*Diskonttaus!$B$11</f>
        <v>0</v>
      </c>
    </row>
    <row r="23" spans="1:6" ht="15.75" customHeight="1" thickBot="1" x14ac:dyDescent="0.35">
      <c r="A23" s="213" t="s">
        <v>77</v>
      </c>
      <c r="B23" s="275"/>
      <c r="C23" s="260"/>
      <c r="D23" s="260"/>
      <c r="E23" s="212"/>
      <c r="F23" s="79">
        <f>E23*Diskonttaus!$B$11</f>
        <v>0</v>
      </c>
    </row>
    <row r="24" spans="1:6" ht="15.75" customHeight="1" thickBot="1" x14ac:dyDescent="0.35">
      <c r="A24" s="211" t="s">
        <v>11</v>
      </c>
      <c r="B24" s="269">
        <f>B22+B23</f>
        <v>0</v>
      </c>
      <c r="C24" s="270">
        <f>C22+C23</f>
        <v>0</v>
      </c>
      <c r="D24" s="270">
        <f>D22+D23</f>
        <v>0</v>
      </c>
      <c r="E24" s="205">
        <f>B24/B$4+C24/C$4+D24/D$4</f>
        <v>0</v>
      </c>
      <c r="F24" s="207">
        <f>E24*Diskonttaus!$B$11</f>
        <v>0</v>
      </c>
    </row>
    <row r="25" spans="1:6" ht="15.75" customHeight="1" thickBot="1" x14ac:dyDescent="0.35">
      <c r="A25" s="214"/>
      <c r="B25" s="271"/>
      <c r="C25" s="271"/>
      <c r="D25" s="271"/>
    </row>
    <row r="26" spans="1:6" x14ac:dyDescent="0.3">
      <c r="A26" s="208">
        <v>2050</v>
      </c>
      <c r="B26" s="272" t="s">
        <v>96</v>
      </c>
      <c r="C26" s="273" t="s">
        <v>97</v>
      </c>
      <c r="D26" s="273" t="s">
        <v>98</v>
      </c>
      <c r="E26" s="23" t="s">
        <v>100</v>
      </c>
      <c r="F26" s="53" t="s">
        <v>101</v>
      </c>
    </row>
    <row r="27" spans="1:6" x14ac:dyDescent="0.3">
      <c r="A27" s="33" t="s">
        <v>76</v>
      </c>
      <c r="B27" s="274"/>
      <c r="C27" s="232"/>
      <c r="D27" s="232"/>
      <c r="E27" s="125"/>
      <c r="F27" s="78">
        <f>E27*Diskonttaus!$B$11</f>
        <v>0</v>
      </c>
    </row>
    <row r="28" spans="1:6" ht="15.75" customHeight="1" thickBot="1" x14ac:dyDescent="0.35">
      <c r="A28" s="85" t="s">
        <v>77</v>
      </c>
      <c r="B28" s="275"/>
      <c r="C28" s="260"/>
      <c r="D28" s="260"/>
      <c r="E28" s="212"/>
      <c r="F28" s="79">
        <f>E28*Diskonttaus!$B$11</f>
        <v>0</v>
      </c>
    </row>
    <row r="29" spans="1:6" ht="15.75" customHeight="1" thickBot="1" x14ac:dyDescent="0.35">
      <c r="A29" s="60" t="s">
        <v>11</v>
      </c>
      <c r="B29" s="269">
        <f>B27+B28</f>
        <v>0</v>
      </c>
      <c r="C29" s="270">
        <f>C27+C28</f>
        <v>0</v>
      </c>
      <c r="D29" s="270">
        <f>D27+D28</f>
        <v>0</v>
      </c>
      <c r="E29" s="205">
        <f>B29/B$4+C29/C$4+D29/D$4</f>
        <v>0</v>
      </c>
      <c r="F29" s="207">
        <f>E29*Diskonttaus!$B$11</f>
        <v>0</v>
      </c>
    </row>
    <row r="30" spans="1:6" x14ac:dyDescent="0.3">
      <c r="B30" s="271"/>
      <c r="C30" s="271"/>
      <c r="D30" s="271"/>
    </row>
    <row r="31" spans="1:6" x14ac:dyDescent="0.3">
      <c r="B31" s="271"/>
      <c r="C31" s="271"/>
      <c r="D31" s="271"/>
    </row>
    <row r="32" spans="1:6" x14ac:dyDescent="0.3">
      <c r="A32" s="164"/>
      <c r="B32" s="276"/>
      <c r="C32" s="276"/>
      <c r="D32" s="276"/>
      <c r="E32" s="164"/>
      <c r="F32" s="164"/>
    </row>
    <row r="33" spans="1:6" x14ac:dyDescent="0.3">
      <c r="B33" s="271"/>
      <c r="C33" s="271"/>
      <c r="D33" s="271"/>
    </row>
    <row r="34" spans="1:6" x14ac:dyDescent="0.3">
      <c r="A34" t="s">
        <v>103</v>
      </c>
      <c r="B34" s="271"/>
      <c r="C34" s="271"/>
      <c r="D34" s="271"/>
    </row>
    <row r="35" spans="1:6" ht="15.75" customHeight="1" thickBot="1" x14ac:dyDescent="0.35">
      <c r="B35" s="271"/>
      <c r="C35" s="271"/>
      <c r="D35" s="271"/>
    </row>
    <row r="36" spans="1:6" ht="15.75" customHeight="1" thickBot="1" x14ac:dyDescent="0.35">
      <c r="A36" s="215">
        <v>2030</v>
      </c>
      <c r="B36" s="277" t="s">
        <v>96</v>
      </c>
      <c r="C36" s="278" t="s">
        <v>97</v>
      </c>
      <c r="D36" s="278" t="s">
        <v>98</v>
      </c>
      <c r="E36" s="44" t="s">
        <v>100</v>
      </c>
      <c r="F36" s="175" t="s">
        <v>101</v>
      </c>
    </row>
    <row r="37" spans="1:6" x14ac:dyDescent="0.3">
      <c r="A37" s="216" t="s">
        <v>76</v>
      </c>
      <c r="B37" s="274"/>
      <c r="C37" s="232"/>
      <c r="D37" s="232"/>
      <c r="E37" s="125"/>
      <c r="F37" s="78">
        <f>E37*Diskonttaus!$B$11</f>
        <v>0</v>
      </c>
    </row>
    <row r="38" spans="1:6" ht="15.75" customHeight="1" thickBot="1" x14ac:dyDescent="0.35">
      <c r="A38" s="217" t="s">
        <v>77</v>
      </c>
      <c r="B38" s="275"/>
      <c r="C38" s="260"/>
      <c r="D38" s="260"/>
      <c r="E38" s="212"/>
      <c r="F38" s="79">
        <f>E38*Diskonttaus!$B$11</f>
        <v>0</v>
      </c>
    </row>
    <row r="39" spans="1:6" ht="15.75" customHeight="1" thickBot="1" x14ac:dyDescent="0.35">
      <c r="A39" s="218" t="s">
        <v>11</v>
      </c>
      <c r="B39" s="269">
        <f>B37+B38</f>
        <v>0</v>
      </c>
      <c r="C39" s="270">
        <f>C37+C38</f>
        <v>0</v>
      </c>
      <c r="D39" s="270">
        <f>D37+D38</f>
        <v>0</v>
      </c>
      <c r="E39" s="205">
        <f>B39/B$4+C39/C$4+D39/D$4</f>
        <v>0</v>
      </c>
      <c r="F39" s="207">
        <f>E39*Diskonttaus!$B$11</f>
        <v>0</v>
      </c>
    </row>
    <row r="40" spans="1:6" ht="15.75" customHeight="1" thickBot="1" x14ac:dyDescent="0.35">
      <c r="A40" s="214"/>
      <c r="B40" s="271"/>
      <c r="C40" s="271"/>
      <c r="D40" s="271"/>
    </row>
    <row r="41" spans="1:6" ht="15.75" customHeight="1" thickBot="1" x14ac:dyDescent="0.35">
      <c r="A41" s="215">
        <v>2050</v>
      </c>
      <c r="B41" s="277" t="s">
        <v>96</v>
      </c>
      <c r="C41" s="278" t="s">
        <v>97</v>
      </c>
      <c r="D41" s="278" t="s">
        <v>98</v>
      </c>
      <c r="E41" s="44" t="s">
        <v>100</v>
      </c>
      <c r="F41" s="175" t="s">
        <v>101</v>
      </c>
    </row>
    <row r="42" spans="1:6" x14ac:dyDescent="0.3">
      <c r="A42" s="216" t="s">
        <v>76</v>
      </c>
      <c r="B42" s="274"/>
      <c r="C42" s="232"/>
      <c r="D42" s="232"/>
      <c r="E42" s="125"/>
      <c r="F42" s="78">
        <f>E42*Diskonttaus!$B$11</f>
        <v>0</v>
      </c>
    </row>
    <row r="43" spans="1:6" ht="15.75" customHeight="1" thickBot="1" x14ac:dyDescent="0.35">
      <c r="A43" s="217" t="s">
        <v>77</v>
      </c>
      <c r="B43" s="275"/>
      <c r="C43" s="260"/>
      <c r="D43" s="260"/>
      <c r="E43" s="212"/>
      <c r="F43" s="79">
        <f>E43*Diskonttaus!$B$11</f>
        <v>0</v>
      </c>
    </row>
    <row r="44" spans="1:6" ht="15.75" customHeight="1" thickBot="1" x14ac:dyDescent="0.35">
      <c r="A44" s="84" t="s">
        <v>11</v>
      </c>
      <c r="B44" s="204">
        <f>B42+B43</f>
        <v>0</v>
      </c>
      <c r="C44" s="205">
        <f>C42+C43</f>
        <v>0</v>
      </c>
      <c r="D44" s="205">
        <f>D42+D43</f>
        <v>0</v>
      </c>
      <c r="E44" s="206">
        <f>B44/B$4+C44/C$4+D44/D$4</f>
        <v>0</v>
      </c>
      <c r="F44" s="207">
        <f>E44*Diskonttaus!$B$11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Yhteenveto</vt:lpstr>
      <vt:lpstr>Diskonttaus</vt:lpstr>
      <vt:lpstr>Kayttajahyodyt</vt:lpstr>
      <vt:lpstr>ha_tyo</vt:lpstr>
      <vt:lpstr>ha_muu</vt:lpstr>
      <vt:lpstr>jl_tyo</vt:lpstr>
      <vt:lpstr>jl_muu</vt:lpstr>
      <vt:lpstr>pp_tyo</vt:lpstr>
      <vt:lpstr>pp_muu</vt:lpstr>
      <vt:lpstr>ka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creator>West Jens</dc:creator>
  <cp:lastModifiedBy>Supponen, Atte</cp:lastModifiedBy>
  <dcterms:created xsi:type="dcterms:W3CDTF">2017-05-16T09:24:51Z</dcterms:created>
  <dcterms:modified xsi:type="dcterms:W3CDTF">2020-12-17T12:18:02Z</dcterms:modified>
</cp:coreProperties>
</file>