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ämäTyökirja"/>
  <mc:AlternateContent xmlns:mc="http://schemas.openxmlformats.org/markup-compatibility/2006">
    <mc:Choice Requires="x15">
      <x15ac:absPath xmlns:x15ac="http://schemas.microsoft.com/office/spreadsheetml/2010/11/ac" url="C:\helmet-model-system\Scripts\"/>
    </mc:Choice>
  </mc:AlternateContent>
  <xr:revisionPtr revIDLastSave="0" documentId="13_ncr:1_{64294E90-41D4-423A-96EB-FA133C6D25EB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Yhteenveto" sheetId="1" r:id="rId1"/>
    <sheet name="Diskonttaus" sheetId="2" r:id="rId2"/>
    <sheet name="Kayttajahyodyt" sheetId="3" r:id="rId3"/>
    <sheet name="ha_tyo" sheetId="8" state="hidden" r:id="rId4"/>
    <sheet name="ha_muu" sheetId="11" state="hidden" r:id="rId5"/>
    <sheet name="jl_tyo" sheetId="10" state="hidden" r:id="rId6"/>
    <sheet name="jl_muu" sheetId="12" state="hidden" r:id="rId7"/>
    <sheet name="pp_tyo" sheetId="13" state="hidden" r:id="rId8"/>
    <sheet name="pp_muu" sheetId="14" state="hidden" r:id="rId9"/>
    <sheet name="ka" sheetId="15" state="hidden" r:id="rId10"/>
    <sheet name="yhd" sheetId="16" state="hidden" r:id="rId11"/>
    <sheet name="pa" sheetId="9" state="hidden" r:id="rId12"/>
    <sheet name="Tuottajahyodyt" sheetId="4" r:id="rId13"/>
    <sheet name="Ulkoisvaikutukset" sheetId="5" r:id="rId14"/>
    <sheet name="Julkistaloudelliset" sheetId="6" r:id="rId15"/>
    <sheet name="Investointikustannus" sheetId="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7" i="4" l="1"/>
  <c r="L84" i="4"/>
  <c r="L85" i="4"/>
  <c r="L86" i="4"/>
  <c r="L83" i="4"/>
  <c r="L82" i="4"/>
  <c r="L79" i="4"/>
  <c r="L78" i="4"/>
  <c r="L77" i="4"/>
  <c r="L76" i="4"/>
  <c r="L75" i="4"/>
  <c r="L74" i="4"/>
  <c r="L73" i="4"/>
  <c r="F81" i="4"/>
  <c r="F72" i="4"/>
  <c r="B77" i="4"/>
  <c r="B78" i="4"/>
  <c r="L88" i="4" l="1"/>
  <c r="B58" i="4"/>
  <c r="B57" i="4"/>
  <c r="B76" i="4" l="1"/>
  <c r="B59" i="4"/>
  <c r="J13" i="6"/>
  <c r="J8" i="6"/>
  <c r="G64" i="4"/>
  <c r="G63" i="4"/>
  <c r="G56" i="4"/>
  <c r="G55" i="4"/>
  <c r="F46" i="4"/>
  <c r="F43" i="4"/>
  <c r="H20" i="4"/>
  <c r="G20" i="4"/>
  <c r="H19" i="4"/>
  <c r="G19" i="4"/>
  <c r="H18" i="4"/>
  <c r="G18" i="4"/>
  <c r="H17" i="4"/>
  <c r="G17" i="4"/>
  <c r="H16" i="4"/>
  <c r="G16" i="4"/>
  <c r="H12" i="4"/>
  <c r="G12" i="4"/>
  <c r="H11" i="4"/>
  <c r="G11" i="4"/>
  <c r="H10" i="4"/>
  <c r="G10" i="4"/>
  <c r="H9" i="4"/>
  <c r="H8" i="4"/>
  <c r="G9" i="4"/>
  <c r="G8" i="4"/>
  <c r="I17" i="4"/>
  <c r="I18" i="4"/>
  <c r="I19" i="4"/>
  <c r="I20" i="4"/>
  <c r="I16" i="4"/>
  <c r="I9" i="4"/>
  <c r="I10" i="4"/>
  <c r="I11" i="4"/>
  <c r="I12" i="4"/>
  <c r="I8" i="4"/>
  <c r="E37" i="5"/>
  <c r="E24" i="5"/>
  <c r="F10" i="5"/>
  <c r="E91" i="5"/>
  <c r="E87" i="5"/>
  <c r="E88" i="5"/>
  <c r="E89" i="5"/>
  <c r="E90" i="5"/>
  <c r="E86" i="5"/>
  <c r="D44" i="9" l="1"/>
  <c r="C44" i="9"/>
  <c r="B44" i="9"/>
  <c r="E44" i="9" s="1"/>
  <c r="F44" i="9" s="1"/>
  <c r="E43" i="9"/>
  <c r="F43" i="9" s="1"/>
  <c r="E42" i="9"/>
  <c r="F42" i="9" s="1"/>
  <c r="D39" i="9"/>
  <c r="E39" i="9" s="1"/>
  <c r="F39" i="9" s="1"/>
  <c r="C39" i="9"/>
  <c r="B39" i="9"/>
  <c r="E38" i="9"/>
  <c r="F38" i="9" s="1"/>
  <c r="E37" i="9"/>
  <c r="F37" i="9" s="1"/>
  <c r="E29" i="9"/>
  <c r="F29" i="9" s="1"/>
  <c r="D29" i="9"/>
  <c r="C29" i="9"/>
  <c r="B29" i="9"/>
  <c r="E28" i="9"/>
  <c r="F28" i="9" s="1"/>
  <c r="E27" i="9"/>
  <c r="F27" i="9" s="1"/>
  <c r="D24" i="9"/>
  <c r="C24" i="9"/>
  <c r="B24" i="9"/>
  <c r="E24" i="9" s="1"/>
  <c r="F24" i="9" s="1"/>
  <c r="E23" i="9"/>
  <c r="F23" i="9" s="1"/>
  <c r="E22" i="9"/>
  <c r="F22" i="9" s="1"/>
  <c r="D16" i="9"/>
  <c r="C16" i="9"/>
  <c r="B16" i="9"/>
  <c r="E16" i="9" s="1"/>
  <c r="F16" i="9" s="1"/>
  <c r="E15" i="9"/>
  <c r="F15" i="9" s="1"/>
  <c r="F14" i="9"/>
  <c r="E14" i="9"/>
  <c r="D11" i="9"/>
  <c r="C11" i="9"/>
  <c r="E11" i="9" s="1"/>
  <c r="F11" i="9" s="1"/>
  <c r="B11" i="9"/>
  <c r="E10" i="9"/>
  <c r="F10" i="9" s="1"/>
  <c r="F9" i="9"/>
  <c r="E9" i="9"/>
  <c r="D44" i="16"/>
  <c r="C44" i="16"/>
  <c r="E44" i="16" s="1"/>
  <c r="F44" i="16" s="1"/>
  <c r="B44" i="16"/>
  <c r="E43" i="16"/>
  <c r="F43" i="16" s="1"/>
  <c r="E42" i="16"/>
  <c r="F42" i="16" s="1"/>
  <c r="D39" i="16"/>
  <c r="C39" i="16"/>
  <c r="B39" i="16"/>
  <c r="E39" i="16" s="1"/>
  <c r="F39" i="16" s="1"/>
  <c r="E38" i="16"/>
  <c r="F38" i="16" s="1"/>
  <c r="E37" i="16"/>
  <c r="F37" i="16" s="1"/>
  <c r="E29" i="16"/>
  <c r="F29" i="16" s="1"/>
  <c r="D29" i="16"/>
  <c r="C29" i="16"/>
  <c r="B29" i="16"/>
  <c r="E28" i="16"/>
  <c r="F28" i="16" s="1"/>
  <c r="F27" i="16"/>
  <c r="E27" i="16"/>
  <c r="D24" i="16"/>
  <c r="C24" i="16"/>
  <c r="B24" i="16"/>
  <c r="E24" i="16" s="1"/>
  <c r="F24" i="16" s="1"/>
  <c r="E23" i="16"/>
  <c r="F23" i="16" s="1"/>
  <c r="E22" i="16"/>
  <c r="F22" i="16" s="1"/>
  <c r="D16" i="16"/>
  <c r="C16" i="16"/>
  <c r="E16" i="16" s="1"/>
  <c r="F16" i="16" s="1"/>
  <c r="B16" i="16"/>
  <c r="E15" i="16"/>
  <c r="F15" i="16" s="1"/>
  <c r="F14" i="16"/>
  <c r="E14" i="16"/>
  <c r="D11" i="16"/>
  <c r="C11" i="16"/>
  <c r="B11" i="16"/>
  <c r="E11" i="16" s="1"/>
  <c r="F11" i="16" s="1"/>
  <c r="E10" i="16"/>
  <c r="F10" i="16" s="1"/>
  <c r="E9" i="16"/>
  <c r="F9" i="16" s="1"/>
  <c r="D44" i="15"/>
  <c r="C44" i="15"/>
  <c r="B44" i="15"/>
  <c r="E44" i="15" s="1"/>
  <c r="F44" i="15" s="1"/>
  <c r="E43" i="15"/>
  <c r="F43" i="15" s="1"/>
  <c r="E42" i="15"/>
  <c r="F42" i="15" s="1"/>
  <c r="D39" i="15"/>
  <c r="E39" i="15" s="1"/>
  <c r="F39" i="15" s="1"/>
  <c r="C39" i="15"/>
  <c r="B39" i="15"/>
  <c r="E38" i="15"/>
  <c r="F38" i="15" s="1"/>
  <c r="E37" i="15"/>
  <c r="F37" i="15" s="1"/>
  <c r="E29" i="15"/>
  <c r="F29" i="15" s="1"/>
  <c r="D29" i="15"/>
  <c r="C29" i="15"/>
  <c r="B29" i="15"/>
  <c r="E28" i="15"/>
  <c r="F28" i="15" s="1"/>
  <c r="E27" i="15"/>
  <c r="F27" i="15" s="1"/>
  <c r="D24" i="15"/>
  <c r="C24" i="15"/>
  <c r="B24" i="15"/>
  <c r="E24" i="15" s="1"/>
  <c r="F24" i="15" s="1"/>
  <c r="E23" i="15"/>
  <c r="F23" i="15" s="1"/>
  <c r="E22" i="15"/>
  <c r="F22" i="15" s="1"/>
  <c r="D16" i="15"/>
  <c r="C16" i="15"/>
  <c r="B16" i="15"/>
  <c r="E16" i="15" s="1"/>
  <c r="F16" i="15" s="1"/>
  <c r="E15" i="15"/>
  <c r="F15" i="15" s="1"/>
  <c r="E14" i="15"/>
  <c r="F14" i="15" s="1"/>
  <c r="D11" i="15"/>
  <c r="E11" i="15" s="1"/>
  <c r="F11" i="15" s="1"/>
  <c r="C11" i="15"/>
  <c r="B11" i="15"/>
  <c r="E10" i="15"/>
  <c r="F10" i="15" s="1"/>
  <c r="E9" i="15"/>
  <c r="F9" i="15" s="1"/>
  <c r="D44" i="14"/>
  <c r="C44" i="14"/>
  <c r="B44" i="14"/>
  <c r="E44" i="14" s="1"/>
  <c r="F44" i="14" s="1"/>
  <c r="E43" i="14"/>
  <c r="F43" i="14" s="1"/>
  <c r="E42" i="14"/>
  <c r="F42" i="14" s="1"/>
  <c r="D39" i="14"/>
  <c r="E39" i="14" s="1"/>
  <c r="F39" i="14" s="1"/>
  <c r="C39" i="14"/>
  <c r="B39" i="14"/>
  <c r="E38" i="14"/>
  <c r="F38" i="14" s="1"/>
  <c r="E37" i="14"/>
  <c r="F37" i="14" s="1"/>
  <c r="E29" i="14"/>
  <c r="F29" i="14" s="1"/>
  <c r="D29" i="14"/>
  <c r="C29" i="14"/>
  <c r="B29" i="14"/>
  <c r="E28" i="14"/>
  <c r="F28" i="14" s="1"/>
  <c r="E27" i="14"/>
  <c r="F27" i="14" s="1"/>
  <c r="D24" i="14"/>
  <c r="C24" i="14"/>
  <c r="B24" i="14"/>
  <c r="E24" i="14" s="1"/>
  <c r="F24" i="14" s="1"/>
  <c r="E23" i="14"/>
  <c r="F23" i="14" s="1"/>
  <c r="E22" i="14"/>
  <c r="F22" i="14" s="1"/>
  <c r="D16" i="14"/>
  <c r="C16" i="14"/>
  <c r="B16" i="14"/>
  <c r="E16" i="14" s="1"/>
  <c r="F16" i="14" s="1"/>
  <c r="E15" i="14"/>
  <c r="F15" i="14" s="1"/>
  <c r="E14" i="14"/>
  <c r="F14" i="14" s="1"/>
  <c r="D11" i="14"/>
  <c r="E11" i="14" s="1"/>
  <c r="F11" i="14" s="1"/>
  <c r="C11" i="14"/>
  <c r="B11" i="14"/>
  <c r="E10" i="14"/>
  <c r="F10" i="14" s="1"/>
  <c r="E9" i="14"/>
  <c r="F9" i="14" s="1"/>
  <c r="D44" i="13"/>
  <c r="C44" i="13"/>
  <c r="B44" i="13"/>
  <c r="E44" i="13" s="1"/>
  <c r="F44" i="13" s="1"/>
  <c r="E43" i="13"/>
  <c r="F43" i="13" s="1"/>
  <c r="E42" i="13"/>
  <c r="F42" i="13" s="1"/>
  <c r="D39" i="13"/>
  <c r="C39" i="13"/>
  <c r="E39" i="13" s="1"/>
  <c r="F39" i="13" s="1"/>
  <c r="B39" i="13"/>
  <c r="E38" i="13"/>
  <c r="F38" i="13" s="1"/>
  <c r="E37" i="13"/>
  <c r="F37" i="13" s="1"/>
  <c r="D29" i="13"/>
  <c r="E29" i="13" s="1"/>
  <c r="F29" i="13" s="1"/>
  <c r="C29" i="13"/>
  <c r="B29" i="13"/>
  <c r="E28" i="13"/>
  <c r="F28" i="13" s="1"/>
  <c r="E27" i="13"/>
  <c r="F27" i="13" s="1"/>
  <c r="E24" i="13"/>
  <c r="F24" i="13" s="1"/>
  <c r="D24" i="13"/>
  <c r="C24" i="13"/>
  <c r="B24" i="13"/>
  <c r="E23" i="13"/>
  <c r="F23" i="13" s="1"/>
  <c r="E22" i="13"/>
  <c r="F22" i="13" s="1"/>
  <c r="D16" i="13"/>
  <c r="C16" i="13"/>
  <c r="B16" i="13"/>
  <c r="E16" i="13" s="1"/>
  <c r="F16" i="13" s="1"/>
  <c r="E15" i="13"/>
  <c r="F15" i="13" s="1"/>
  <c r="E14" i="13"/>
  <c r="F14" i="13" s="1"/>
  <c r="D11" i="13"/>
  <c r="C11" i="13"/>
  <c r="E11" i="13" s="1"/>
  <c r="F11" i="13" s="1"/>
  <c r="B11" i="13"/>
  <c r="E10" i="13"/>
  <c r="F10" i="13" s="1"/>
  <c r="E9" i="13"/>
  <c r="F9" i="13" s="1"/>
  <c r="D44" i="12"/>
  <c r="C44" i="12"/>
  <c r="B44" i="12"/>
  <c r="E44" i="12" s="1"/>
  <c r="F44" i="12" s="1"/>
  <c r="E43" i="12"/>
  <c r="F43" i="12" s="1"/>
  <c r="E42" i="12"/>
  <c r="F42" i="12" s="1"/>
  <c r="D39" i="12"/>
  <c r="E39" i="12" s="1"/>
  <c r="F39" i="12" s="1"/>
  <c r="C39" i="12"/>
  <c r="B39" i="12"/>
  <c r="E38" i="12"/>
  <c r="F38" i="12" s="1"/>
  <c r="E37" i="12"/>
  <c r="F37" i="12" s="1"/>
  <c r="E29" i="12"/>
  <c r="F29" i="12" s="1"/>
  <c r="D29" i="12"/>
  <c r="C29" i="12"/>
  <c r="B29" i="12"/>
  <c r="E28" i="12"/>
  <c r="F28" i="12" s="1"/>
  <c r="E27" i="12"/>
  <c r="F27" i="12" s="1"/>
  <c r="D24" i="12"/>
  <c r="C24" i="12"/>
  <c r="B24" i="12"/>
  <c r="E24" i="12" s="1"/>
  <c r="F24" i="12" s="1"/>
  <c r="E23" i="12"/>
  <c r="F23" i="12" s="1"/>
  <c r="E22" i="12"/>
  <c r="F22" i="12" s="1"/>
  <c r="D16" i="12"/>
  <c r="C16" i="12"/>
  <c r="B16" i="12"/>
  <c r="E16" i="12" s="1"/>
  <c r="F16" i="12" s="1"/>
  <c r="E15" i="12"/>
  <c r="F15" i="12" s="1"/>
  <c r="E14" i="12"/>
  <c r="F14" i="12" s="1"/>
  <c r="D11" i="12"/>
  <c r="C11" i="12"/>
  <c r="E11" i="12" s="1"/>
  <c r="F11" i="12" s="1"/>
  <c r="B11" i="12"/>
  <c r="E10" i="12"/>
  <c r="F10" i="12" s="1"/>
  <c r="E9" i="12"/>
  <c r="F9" i="12" s="1"/>
  <c r="D44" i="10"/>
  <c r="C44" i="10"/>
  <c r="B44" i="10"/>
  <c r="E44" i="10" s="1"/>
  <c r="F44" i="10" s="1"/>
  <c r="E43" i="10"/>
  <c r="F43" i="10" s="1"/>
  <c r="E42" i="10"/>
  <c r="F42" i="10" s="1"/>
  <c r="D39" i="10"/>
  <c r="C39" i="10"/>
  <c r="E39" i="10" s="1"/>
  <c r="F39" i="10" s="1"/>
  <c r="B39" i="10"/>
  <c r="E38" i="10"/>
  <c r="F38" i="10" s="1"/>
  <c r="E37" i="10"/>
  <c r="F37" i="10" s="1"/>
  <c r="D29" i="10"/>
  <c r="E29" i="10" s="1"/>
  <c r="F29" i="10" s="1"/>
  <c r="C29" i="10"/>
  <c r="B29" i="10"/>
  <c r="E28" i="10"/>
  <c r="F28" i="10" s="1"/>
  <c r="E27" i="10"/>
  <c r="F27" i="10" s="1"/>
  <c r="E24" i="10"/>
  <c r="F24" i="10" s="1"/>
  <c r="D24" i="10"/>
  <c r="C24" i="10"/>
  <c r="B24" i="10"/>
  <c r="F23" i="10"/>
  <c r="E23" i="10"/>
  <c r="E22" i="10"/>
  <c r="F22" i="10" s="1"/>
  <c r="D16" i="10"/>
  <c r="C16" i="10"/>
  <c r="B16" i="10"/>
  <c r="E16" i="10" s="1"/>
  <c r="F16" i="10" s="1"/>
  <c r="E15" i="10"/>
  <c r="F15" i="10" s="1"/>
  <c r="E14" i="10"/>
  <c r="F14" i="10" s="1"/>
  <c r="D11" i="10"/>
  <c r="C11" i="10"/>
  <c r="E11" i="10" s="1"/>
  <c r="F11" i="10" s="1"/>
  <c r="B11" i="10"/>
  <c r="E10" i="10"/>
  <c r="F10" i="10" s="1"/>
  <c r="E9" i="10"/>
  <c r="F9" i="10" s="1"/>
  <c r="D44" i="11"/>
  <c r="C44" i="11"/>
  <c r="B44" i="11"/>
  <c r="E44" i="11" s="1"/>
  <c r="F44" i="11" s="1"/>
  <c r="F43" i="11"/>
  <c r="E43" i="11"/>
  <c r="E42" i="11"/>
  <c r="F42" i="11" s="1"/>
  <c r="D39" i="11"/>
  <c r="C39" i="11"/>
  <c r="B39" i="11"/>
  <c r="E39" i="11" s="1"/>
  <c r="F39" i="11" s="1"/>
  <c r="F38" i="11"/>
  <c r="E38" i="11"/>
  <c r="E37" i="11"/>
  <c r="F37" i="11" s="1"/>
  <c r="D29" i="11"/>
  <c r="C29" i="11"/>
  <c r="B29" i="11"/>
  <c r="E29" i="11" s="1"/>
  <c r="F29" i="11" s="1"/>
  <c r="E28" i="11"/>
  <c r="F28" i="11" s="1"/>
  <c r="E27" i="11"/>
  <c r="F27" i="11" s="1"/>
  <c r="D24" i="11"/>
  <c r="C24" i="11"/>
  <c r="E24" i="11" s="1"/>
  <c r="F24" i="11" s="1"/>
  <c r="B24" i="11"/>
  <c r="E23" i="11"/>
  <c r="F23" i="11" s="1"/>
  <c r="F22" i="11"/>
  <c r="E22" i="11"/>
  <c r="D16" i="11"/>
  <c r="E16" i="11" s="1"/>
  <c r="F16" i="11" s="1"/>
  <c r="C16" i="11"/>
  <c r="B16" i="11"/>
  <c r="E15" i="11"/>
  <c r="F15" i="11" s="1"/>
  <c r="E14" i="11"/>
  <c r="F14" i="11" s="1"/>
  <c r="E11" i="11"/>
  <c r="F11" i="11" s="1"/>
  <c r="D11" i="11"/>
  <c r="C11" i="11"/>
  <c r="B11" i="11"/>
  <c r="E10" i="11"/>
  <c r="F10" i="11" s="1"/>
  <c r="E9" i="11"/>
  <c r="F9" i="11" s="1"/>
  <c r="E43" i="8"/>
  <c r="F43" i="8" s="1"/>
  <c r="E44" i="8"/>
  <c r="F44" i="8" s="1"/>
  <c r="E42" i="8"/>
  <c r="F42" i="8" s="1"/>
  <c r="E38" i="8"/>
  <c r="F38" i="8" s="1"/>
  <c r="E39" i="8"/>
  <c r="F39" i="8" s="1"/>
  <c r="E37" i="8"/>
  <c r="F37" i="8" s="1"/>
  <c r="E28" i="8"/>
  <c r="F28" i="8" s="1"/>
  <c r="E29" i="8"/>
  <c r="F29" i="8" s="1"/>
  <c r="E27" i="8"/>
  <c r="F27" i="8" s="1"/>
  <c r="E23" i="8"/>
  <c r="F23" i="8" s="1"/>
  <c r="E24" i="8"/>
  <c r="F24" i="8" s="1"/>
  <c r="E22" i="8"/>
  <c r="F22" i="8" s="1"/>
  <c r="E15" i="8"/>
  <c r="F15" i="8" s="1"/>
  <c r="E16" i="8"/>
  <c r="F16" i="8" s="1"/>
  <c r="E14" i="8"/>
  <c r="F14" i="8" s="1"/>
  <c r="E11" i="8"/>
  <c r="F11" i="8" s="1"/>
  <c r="E10" i="8"/>
  <c r="F10" i="8" s="1"/>
  <c r="E9" i="8"/>
  <c r="F9" i="8" s="1"/>
  <c r="C12" i="4" l="1"/>
  <c r="B12" i="4"/>
  <c r="D65" i="3"/>
  <c r="C65" i="3"/>
  <c r="D64" i="3"/>
  <c r="C64" i="3"/>
  <c r="D62" i="3"/>
  <c r="D61" i="3"/>
  <c r="C62" i="3"/>
  <c r="C61" i="3"/>
  <c r="I6" i="2"/>
  <c r="I10" i="2"/>
  <c r="H15" i="3"/>
  <c r="H14" i="3"/>
  <c r="G15" i="3"/>
  <c r="G14" i="3"/>
  <c r="H10" i="3"/>
  <c r="H9" i="3"/>
  <c r="G10" i="3"/>
  <c r="G9" i="3"/>
  <c r="D5" i="3"/>
  <c r="C5" i="3"/>
  <c r="B5" i="3"/>
  <c r="E65" i="3" l="1"/>
  <c r="E64" i="3"/>
  <c r="D63" i="3"/>
  <c r="C63" i="3"/>
  <c r="E62" i="3"/>
  <c r="E61" i="3"/>
  <c r="E63" i="3" l="1"/>
  <c r="J43" i="3" l="1"/>
  <c r="J42" i="3"/>
  <c r="J44" i="3" s="1"/>
  <c r="J37" i="3"/>
  <c r="I22" i="3"/>
  <c r="J38" i="3"/>
  <c r="J28" i="3"/>
  <c r="J27" i="3"/>
  <c r="J23" i="3"/>
  <c r="J22" i="3"/>
  <c r="J15" i="3"/>
  <c r="J14" i="3"/>
  <c r="J10" i="3"/>
  <c r="J9" i="3"/>
  <c r="I43" i="3"/>
  <c r="I42" i="3"/>
  <c r="I44" i="3" s="1"/>
  <c r="I38" i="3"/>
  <c r="I37" i="3"/>
  <c r="I28" i="3"/>
  <c r="I27" i="3"/>
  <c r="I23" i="3"/>
  <c r="I15" i="3"/>
  <c r="I14" i="3"/>
  <c r="I16" i="3" s="1"/>
  <c r="I10" i="3"/>
  <c r="I9" i="3"/>
  <c r="J39" i="3" l="1"/>
  <c r="I11" i="3"/>
  <c r="I39" i="3"/>
  <c r="J16" i="3"/>
  <c r="J11" i="3"/>
  <c r="H11" i="3" l="1"/>
  <c r="H16" i="3"/>
  <c r="F43" i="3"/>
  <c r="F42" i="3"/>
  <c r="F38" i="3"/>
  <c r="F37" i="3"/>
  <c r="F39" i="3" s="1"/>
  <c r="F15" i="3"/>
  <c r="F14" i="3"/>
  <c r="F16" i="3" s="1"/>
  <c r="F10" i="3"/>
  <c r="F9" i="3"/>
  <c r="D43" i="3"/>
  <c r="D42" i="3"/>
  <c r="D38" i="3"/>
  <c r="D37" i="3"/>
  <c r="D15" i="3"/>
  <c r="D14" i="3"/>
  <c r="D10" i="3"/>
  <c r="D9" i="3"/>
  <c r="F44" i="3" l="1"/>
  <c r="D16" i="3"/>
  <c r="D44" i="3"/>
  <c r="D39" i="3"/>
  <c r="D11" i="3"/>
  <c r="F11" i="3"/>
  <c r="E43" i="3"/>
  <c r="E42" i="3"/>
  <c r="E38" i="3"/>
  <c r="E37" i="3"/>
  <c r="E15" i="3"/>
  <c r="E14" i="3"/>
  <c r="E10" i="3"/>
  <c r="E9" i="3"/>
  <c r="K43" i="3"/>
  <c r="K42" i="3"/>
  <c r="K38" i="3"/>
  <c r="K37" i="3"/>
  <c r="K28" i="3"/>
  <c r="K27" i="3"/>
  <c r="K23" i="3"/>
  <c r="K22" i="3"/>
  <c r="K15" i="3"/>
  <c r="K14" i="3"/>
  <c r="K10" i="3"/>
  <c r="K9" i="3"/>
  <c r="K39" i="3" l="1"/>
  <c r="K44" i="3"/>
  <c r="D44" i="8"/>
  <c r="C44" i="8"/>
  <c r="B44" i="8"/>
  <c r="C43" i="3"/>
  <c r="C42" i="3"/>
  <c r="D39" i="8"/>
  <c r="C39" i="8"/>
  <c r="B39" i="8"/>
  <c r="C38" i="3"/>
  <c r="C37" i="3"/>
  <c r="D29" i="8"/>
  <c r="C29" i="8"/>
  <c r="B29" i="8"/>
  <c r="D24" i="8"/>
  <c r="C24" i="8"/>
  <c r="B24" i="8"/>
  <c r="D16" i="8"/>
  <c r="C16" i="8"/>
  <c r="B16" i="8"/>
  <c r="C15" i="3"/>
  <c r="C14" i="3"/>
  <c r="D11" i="8"/>
  <c r="C11" i="8"/>
  <c r="B11" i="8"/>
  <c r="C10" i="3"/>
  <c r="C9" i="3"/>
  <c r="W23" i="7" l="1"/>
  <c r="V23" i="7"/>
  <c r="U23" i="7"/>
  <c r="T23" i="7"/>
  <c r="S23" i="7"/>
  <c r="R23" i="7"/>
  <c r="Q23" i="7"/>
  <c r="P23" i="7"/>
  <c r="O23" i="7"/>
  <c r="N23" i="7"/>
  <c r="L23" i="7"/>
  <c r="K23" i="7"/>
  <c r="J23" i="7"/>
  <c r="I23" i="7"/>
  <c r="H23" i="7"/>
  <c r="G23" i="7"/>
  <c r="F23" i="7"/>
  <c r="E23" i="7"/>
  <c r="D23" i="7"/>
  <c r="C23" i="7"/>
  <c r="N8" i="7"/>
  <c r="C8" i="7"/>
  <c r="D8" i="7" s="1"/>
  <c r="E8" i="7" s="1"/>
  <c r="F8" i="7" s="1"/>
  <c r="G8" i="7" s="1"/>
  <c r="Z7" i="7"/>
  <c r="B25" i="6"/>
  <c r="B20" i="6"/>
  <c r="I13" i="6"/>
  <c r="C13" i="6" s="1"/>
  <c r="B11" i="6"/>
  <c r="I8" i="6"/>
  <c r="C8" i="6" s="1"/>
  <c r="B6" i="6"/>
  <c r="M82" i="5"/>
  <c r="L82" i="5"/>
  <c r="M81" i="5"/>
  <c r="L81" i="5"/>
  <c r="M80" i="5"/>
  <c r="L80" i="5"/>
  <c r="M79" i="5"/>
  <c r="L79" i="5"/>
  <c r="L83" i="5"/>
  <c r="C11" i="5" s="1"/>
  <c r="M74" i="5"/>
  <c r="L74" i="5"/>
  <c r="M73" i="5"/>
  <c r="L73" i="5"/>
  <c r="M72" i="5"/>
  <c r="L72" i="5"/>
  <c r="M71" i="5"/>
  <c r="M75" i="5" s="1"/>
  <c r="D10" i="5" s="1"/>
  <c r="L71" i="5"/>
  <c r="L75" i="5" s="1"/>
  <c r="C10" i="5" s="1"/>
  <c r="M66" i="5"/>
  <c r="L66" i="5"/>
  <c r="M65" i="5"/>
  <c r="L65" i="5"/>
  <c r="M64" i="5"/>
  <c r="L64" i="5"/>
  <c r="M63" i="5"/>
  <c r="M67" i="5" s="1"/>
  <c r="D4" i="5" s="1"/>
  <c r="L63" i="5"/>
  <c r="L67" i="5" s="1"/>
  <c r="C4" i="5" s="1"/>
  <c r="M58" i="5"/>
  <c r="L58" i="5"/>
  <c r="M57" i="5"/>
  <c r="L57" i="5"/>
  <c r="M56" i="5"/>
  <c r="L56" i="5"/>
  <c r="M55" i="5"/>
  <c r="M59" i="5" s="1"/>
  <c r="D9" i="5" s="1"/>
  <c r="L55" i="5"/>
  <c r="M50" i="5"/>
  <c r="L50" i="5"/>
  <c r="M49" i="5"/>
  <c r="L49" i="5"/>
  <c r="M48" i="5"/>
  <c r="L48" i="5"/>
  <c r="M47" i="5"/>
  <c r="M51" i="5" s="1"/>
  <c r="D8" i="5" s="1"/>
  <c r="L47" i="5"/>
  <c r="O35" i="5"/>
  <c r="C81" i="3" s="1"/>
  <c r="O34" i="5"/>
  <c r="C80" i="3" s="1"/>
  <c r="O33" i="5"/>
  <c r="C78" i="3" s="1"/>
  <c r="O32" i="5"/>
  <c r="C77" i="3" s="1"/>
  <c r="I77" i="3" s="1"/>
  <c r="O31" i="5"/>
  <c r="D31" i="5"/>
  <c r="G6" i="5"/>
  <c r="H6" i="5"/>
  <c r="I6" i="5"/>
  <c r="J6" i="5"/>
  <c r="K6" i="5"/>
  <c r="L6" i="5"/>
  <c r="O30" i="5"/>
  <c r="D30" i="5"/>
  <c r="N29" i="5"/>
  <c r="O29" i="5" s="1"/>
  <c r="O28" i="5"/>
  <c r="L64" i="4" s="1"/>
  <c r="H26" i="5"/>
  <c r="B26" i="5"/>
  <c r="O22" i="5"/>
  <c r="O21" i="5"/>
  <c r="O20" i="5"/>
  <c r="C71" i="3" s="1"/>
  <c r="O19" i="5"/>
  <c r="C70" i="3" s="1"/>
  <c r="O18" i="5"/>
  <c r="D18" i="5"/>
  <c r="O17" i="5"/>
  <c r="D17" i="5"/>
  <c r="N16" i="5"/>
  <c r="D16" i="5" s="1"/>
  <c r="O15" i="5"/>
  <c r="L56" i="4" s="1"/>
  <c r="H13" i="5"/>
  <c r="B13" i="5"/>
  <c r="F62" i="4"/>
  <c r="G67" i="4"/>
  <c r="G58" i="4"/>
  <c r="F54" i="4"/>
  <c r="E46" i="4"/>
  <c r="A45" i="4"/>
  <c r="E43" i="4"/>
  <c r="A42" i="4"/>
  <c r="C36" i="4"/>
  <c r="B34" i="4"/>
  <c r="C32" i="4"/>
  <c r="B30" i="4"/>
  <c r="N20" i="4"/>
  <c r="M20" i="4"/>
  <c r="G66" i="4"/>
  <c r="N18" i="4"/>
  <c r="M18" i="4"/>
  <c r="G65" i="4"/>
  <c r="L65" i="4" s="1"/>
  <c r="N17" i="4"/>
  <c r="M17" i="4"/>
  <c r="L17" i="4"/>
  <c r="N16" i="4"/>
  <c r="N19" i="4"/>
  <c r="M16" i="4"/>
  <c r="L16" i="4"/>
  <c r="K15" i="4"/>
  <c r="N12" i="4"/>
  <c r="M12" i="4"/>
  <c r="G59" i="4"/>
  <c r="L59" i="4" s="1"/>
  <c r="M11" i="4"/>
  <c r="M19" i="4"/>
  <c r="N10" i="4"/>
  <c r="L10" i="4"/>
  <c r="M10" i="4"/>
  <c r="N9" i="4"/>
  <c r="M9" i="4"/>
  <c r="L9" i="4"/>
  <c r="N8" i="4"/>
  <c r="L8" i="4"/>
  <c r="M8" i="4"/>
  <c r="K7" i="4"/>
  <c r="O76" i="3"/>
  <c r="I76" i="3"/>
  <c r="C76" i="3"/>
  <c r="C74" i="3"/>
  <c r="I74" i="3" s="1"/>
  <c r="C73" i="3"/>
  <c r="O73" i="3" s="1"/>
  <c r="O69" i="3"/>
  <c r="I69" i="3"/>
  <c r="C69" i="3"/>
  <c r="M42" i="3"/>
  <c r="B41" i="3"/>
  <c r="E39" i="3"/>
  <c r="B36" i="3"/>
  <c r="B26" i="3"/>
  <c r="B21" i="3"/>
  <c r="G16" i="3"/>
  <c r="K16" i="3"/>
  <c r="B13" i="3"/>
  <c r="G11" i="3"/>
  <c r="E11" i="3"/>
  <c r="B8" i="3"/>
  <c r="I3" i="2"/>
  <c r="I4" i="2"/>
  <c r="I5" i="2"/>
  <c r="I7" i="2"/>
  <c r="I8" i="2"/>
  <c r="I9" i="2"/>
  <c r="I11" i="2"/>
  <c r="I12" i="2"/>
  <c r="E12" i="2"/>
  <c r="E11" i="2"/>
  <c r="E10" i="2"/>
  <c r="E9" i="2"/>
  <c r="E8" i="2"/>
  <c r="E7" i="2"/>
  <c r="E6" i="2"/>
  <c r="E5" i="2"/>
  <c r="Q3" i="2"/>
  <c r="Q4" i="2" s="1"/>
  <c r="E4" i="2"/>
  <c r="F4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L3" i="2"/>
  <c r="AE3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AH3" i="2"/>
  <c r="H3" i="2"/>
  <c r="H4" i="2" s="1"/>
  <c r="H5" i="2" s="1"/>
  <c r="J3" i="2"/>
  <c r="E3" i="2"/>
  <c r="E13" i="2" s="1"/>
  <c r="D3" i="2"/>
  <c r="D4" i="2" s="1"/>
  <c r="D5" i="2" s="1"/>
  <c r="F3" i="2"/>
  <c r="J1" i="2"/>
  <c r="F1" i="2"/>
  <c r="L19" i="4"/>
  <c r="L11" i="4"/>
  <c r="L12" i="4"/>
  <c r="M38" i="3"/>
  <c r="E16" i="3"/>
  <c r="M15" i="3"/>
  <c r="K11" i="3"/>
  <c r="M10" i="3"/>
  <c r="M9" i="3"/>
  <c r="C11" i="3"/>
  <c r="M14" i="3"/>
  <c r="C16" i="3"/>
  <c r="N11" i="4"/>
  <c r="E44" i="3"/>
  <c r="O8" i="7"/>
  <c r="M43" i="3"/>
  <c r="O80" i="3"/>
  <c r="C39" i="3"/>
  <c r="C44" i="3"/>
  <c r="M37" i="3"/>
  <c r="O74" i="3"/>
  <c r="L18" i="4"/>
  <c r="P8" i="7"/>
  <c r="Q8" i="7" s="1"/>
  <c r="R8" i="7" s="1"/>
  <c r="S8" i="7" s="1"/>
  <c r="T8" i="7" s="1"/>
  <c r="U8" i="7" s="1"/>
  <c r="O77" i="3"/>
  <c r="L59" i="5" l="1"/>
  <c r="C9" i="5" s="1"/>
  <c r="D20" i="5" s="1"/>
  <c r="O16" i="4"/>
  <c r="O10" i="4"/>
  <c r="N21" i="4"/>
  <c r="O11" i="4"/>
  <c r="N13" i="4"/>
  <c r="C20" i="5"/>
  <c r="C22" i="5"/>
  <c r="D29" i="5"/>
  <c r="C16" i="5"/>
  <c r="C15" i="5"/>
  <c r="C31" i="5"/>
  <c r="C32" i="5"/>
  <c r="C17" i="5"/>
  <c r="O71" i="3"/>
  <c r="I71" i="3"/>
  <c r="Q5" i="2"/>
  <c r="AH4" i="2"/>
  <c r="L55" i="4"/>
  <c r="C72" i="3"/>
  <c r="I72" i="3" s="1"/>
  <c r="C35" i="5"/>
  <c r="L20" i="4"/>
  <c r="L21" i="4" s="1"/>
  <c r="O19" i="4"/>
  <c r="G57" i="4"/>
  <c r="L57" i="4" s="1"/>
  <c r="C30" i="5"/>
  <c r="C19" i="5"/>
  <c r="O18" i="4"/>
  <c r="O8" i="4"/>
  <c r="L66" i="4"/>
  <c r="C28" i="5"/>
  <c r="C34" i="5"/>
  <c r="L4" i="2"/>
  <c r="C21" i="5"/>
  <c r="C18" i="5"/>
  <c r="C29" i="5"/>
  <c r="O16" i="5"/>
  <c r="O17" i="4"/>
  <c r="C33" i="5"/>
  <c r="M83" i="5"/>
  <c r="D11" i="5" s="1"/>
  <c r="U28" i="7"/>
  <c r="U32" i="7"/>
  <c r="U36" i="7"/>
  <c r="U40" i="7"/>
  <c r="U30" i="7"/>
  <c r="U38" i="7"/>
  <c r="U29" i="7"/>
  <c r="U33" i="7"/>
  <c r="U37" i="7"/>
  <c r="U34" i="7"/>
  <c r="U35" i="7"/>
  <c r="U39" i="7"/>
  <c r="U27" i="7"/>
  <c r="U31" i="7"/>
  <c r="V8" i="7"/>
  <c r="G27" i="7"/>
  <c r="G31" i="7"/>
  <c r="G35" i="7"/>
  <c r="G39" i="7"/>
  <c r="G28" i="7"/>
  <c r="G32" i="7"/>
  <c r="G36" i="7"/>
  <c r="G40" i="7"/>
  <c r="G29" i="7"/>
  <c r="G37" i="7"/>
  <c r="G30" i="7"/>
  <c r="G38" i="7"/>
  <c r="G34" i="7"/>
  <c r="G33" i="7"/>
  <c r="H8" i="7"/>
  <c r="L13" i="4"/>
  <c r="O9" i="4"/>
  <c r="S30" i="7"/>
  <c r="S34" i="7"/>
  <c r="S38" i="7"/>
  <c r="S32" i="7"/>
  <c r="S40" i="7"/>
  <c r="S27" i="7"/>
  <c r="S31" i="7"/>
  <c r="S35" i="7"/>
  <c r="S39" i="7"/>
  <c r="S28" i="7"/>
  <c r="S36" i="7"/>
  <c r="S37" i="7"/>
  <c r="S33" i="7"/>
  <c r="S29" i="7"/>
  <c r="F5" i="2"/>
  <c r="D6" i="2"/>
  <c r="L67" i="4"/>
  <c r="R27" i="7"/>
  <c r="R31" i="7"/>
  <c r="R35" i="7"/>
  <c r="R39" i="7"/>
  <c r="R29" i="7"/>
  <c r="R33" i="7"/>
  <c r="R28" i="7"/>
  <c r="R32" i="7"/>
  <c r="R36" i="7"/>
  <c r="R40" i="7"/>
  <c r="R37" i="7"/>
  <c r="R30" i="7"/>
  <c r="R34" i="7"/>
  <c r="R38" i="7"/>
  <c r="J5" i="2"/>
  <c r="H6" i="2"/>
  <c r="T29" i="7"/>
  <c r="T33" i="7"/>
  <c r="T37" i="7"/>
  <c r="T27" i="7"/>
  <c r="T31" i="7"/>
  <c r="T39" i="7"/>
  <c r="T30" i="7"/>
  <c r="T34" i="7"/>
  <c r="T38" i="7"/>
  <c r="T35" i="7"/>
  <c r="T28" i="7"/>
  <c r="T32" i="7"/>
  <c r="T40" i="7"/>
  <c r="T36" i="7"/>
  <c r="F28" i="7"/>
  <c r="F32" i="7"/>
  <c r="F36" i="7"/>
  <c r="F40" i="7"/>
  <c r="F29" i="7"/>
  <c r="F33" i="7"/>
  <c r="F37" i="7"/>
  <c r="F30" i="7"/>
  <c r="F38" i="7"/>
  <c r="F31" i="7"/>
  <c r="F39" i="7"/>
  <c r="F34" i="7"/>
  <c r="F27" i="7"/>
  <c r="F35" i="7"/>
  <c r="M21" i="4"/>
  <c r="L58" i="4"/>
  <c r="L63" i="4"/>
  <c r="C79" i="3"/>
  <c r="I79" i="3" s="1"/>
  <c r="C29" i="7"/>
  <c r="C33" i="7"/>
  <c r="C37" i="7"/>
  <c r="C27" i="7"/>
  <c r="C38" i="7"/>
  <c r="C30" i="7"/>
  <c r="C34" i="7"/>
  <c r="C35" i="7"/>
  <c r="C36" i="7"/>
  <c r="C31" i="7"/>
  <c r="C32" i="7"/>
  <c r="C28" i="7"/>
  <c r="C39" i="7"/>
  <c r="C40" i="7"/>
  <c r="D30" i="7"/>
  <c r="D34" i="7"/>
  <c r="D38" i="7"/>
  <c r="D27" i="7"/>
  <c r="D31" i="7"/>
  <c r="D35" i="7"/>
  <c r="D39" i="7"/>
  <c r="D32" i="7"/>
  <c r="D40" i="7"/>
  <c r="D33" i="7"/>
  <c r="D28" i="7"/>
  <c r="D36" i="7"/>
  <c r="D29" i="7"/>
  <c r="D37" i="7"/>
  <c r="O30" i="7"/>
  <c r="O34" i="7"/>
  <c r="O38" i="7"/>
  <c r="O36" i="7"/>
  <c r="O27" i="7"/>
  <c r="O31" i="7"/>
  <c r="O35" i="7"/>
  <c r="O39" i="7"/>
  <c r="O28" i="7"/>
  <c r="O32" i="7"/>
  <c r="O40" i="7"/>
  <c r="O29" i="7"/>
  <c r="O37" i="7"/>
  <c r="O33" i="7"/>
  <c r="J4" i="2"/>
  <c r="N29" i="7"/>
  <c r="N33" i="7"/>
  <c r="N37" i="7"/>
  <c r="N27" i="7"/>
  <c r="N30" i="7"/>
  <c r="N34" i="7"/>
  <c r="N38" i="7"/>
  <c r="N31" i="7"/>
  <c r="N28" i="7"/>
  <c r="N39" i="7"/>
  <c r="N32" i="7"/>
  <c r="N40" i="7"/>
  <c r="N35" i="7"/>
  <c r="N36" i="7"/>
  <c r="Q28" i="7"/>
  <c r="Q32" i="7"/>
  <c r="Q36" i="7"/>
  <c r="Q40" i="7"/>
  <c r="Q34" i="7"/>
  <c r="Q29" i="7"/>
  <c r="Q33" i="7"/>
  <c r="Q37" i="7"/>
  <c r="Q30" i="7"/>
  <c r="Q38" i="7"/>
  <c r="Q39" i="7"/>
  <c r="Q31" i="7"/>
  <c r="Q27" i="7"/>
  <c r="Q35" i="7"/>
  <c r="P29" i="7"/>
  <c r="P33" i="7"/>
  <c r="P37" i="7"/>
  <c r="P35" i="7"/>
  <c r="P30" i="7"/>
  <c r="P34" i="7"/>
  <c r="P38" i="7"/>
  <c r="P27" i="7"/>
  <c r="P31" i="7"/>
  <c r="P39" i="7"/>
  <c r="P32" i="7"/>
  <c r="P36" i="7"/>
  <c r="P28" i="7"/>
  <c r="P40" i="7"/>
  <c r="E29" i="7"/>
  <c r="E33" i="7"/>
  <c r="E37" i="7"/>
  <c r="E30" i="7"/>
  <c r="E34" i="7"/>
  <c r="E38" i="7"/>
  <c r="E31" i="7"/>
  <c r="E39" i="7"/>
  <c r="E32" i="7"/>
  <c r="E40" i="7"/>
  <c r="E36" i="7"/>
  <c r="E27" i="7"/>
  <c r="E35" i="7"/>
  <c r="E28" i="7"/>
  <c r="O20" i="4"/>
  <c r="O12" i="4"/>
  <c r="L51" i="5"/>
  <c r="C8" i="5" s="1"/>
  <c r="D19" i="5" s="1"/>
  <c r="M13" i="4"/>
  <c r="D35" i="5"/>
  <c r="D22" i="5"/>
  <c r="D34" i="5"/>
  <c r="D21" i="5"/>
  <c r="D28" i="5"/>
  <c r="D15" i="5"/>
  <c r="D32" i="5"/>
  <c r="I13" i="2"/>
  <c r="I80" i="3"/>
  <c r="J24" i="3"/>
  <c r="J29" i="3"/>
  <c r="I24" i="3"/>
  <c r="D22" i="3"/>
  <c r="D28" i="3"/>
  <c r="D27" i="3"/>
  <c r="D23" i="3"/>
  <c r="O78" i="3"/>
  <c r="I78" i="3"/>
  <c r="O81" i="3"/>
  <c r="I73" i="3"/>
  <c r="I70" i="3"/>
  <c r="O70" i="3"/>
  <c r="M39" i="3"/>
  <c r="C28" i="3"/>
  <c r="C27" i="3"/>
  <c r="C23" i="3"/>
  <c r="C22" i="3"/>
  <c r="I81" i="3"/>
  <c r="M16" i="3"/>
  <c r="B16" i="2" s="1"/>
  <c r="B30" i="2" s="1"/>
  <c r="M11" i="3"/>
  <c r="M44" i="3"/>
  <c r="D33" i="5" l="1"/>
  <c r="D36" i="5" s="1"/>
  <c r="D37" i="5" s="1"/>
  <c r="O13" i="4"/>
  <c r="O21" i="4"/>
  <c r="O72" i="3"/>
  <c r="L60" i="4"/>
  <c r="C36" i="5"/>
  <c r="C37" i="5" s="1"/>
  <c r="C23" i="5"/>
  <c r="C24" i="5" s="1"/>
  <c r="D23" i="5"/>
  <c r="D24" i="5" s="1"/>
  <c r="Q41" i="7"/>
  <c r="O41" i="7"/>
  <c r="O79" i="3"/>
  <c r="O82" i="3" s="1"/>
  <c r="L68" i="4"/>
  <c r="B23" i="2" s="1"/>
  <c r="B24" i="2" s="1"/>
  <c r="F41" i="7"/>
  <c r="U41" i="7"/>
  <c r="L5" i="2"/>
  <c r="AE4" i="2"/>
  <c r="Q6" i="2"/>
  <c r="AH5" i="2"/>
  <c r="E41" i="7"/>
  <c r="H30" i="7"/>
  <c r="H34" i="7"/>
  <c r="H38" i="7"/>
  <c r="H27" i="7"/>
  <c r="H31" i="7"/>
  <c r="H35" i="7"/>
  <c r="H39" i="7"/>
  <c r="H28" i="7"/>
  <c r="H36" i="7"/>
  <c r="H29" i="7"/>
  <c r="H37" i="7"/>
  <c r="H32" i="7"/>
  <c r="H40" i="7"/>
  <c r="H33" i="7"/>
  <c r="I8" i="7"/>
  <c r="D41" i="7"/>
  <c r="C41" i="7"/>
  <c r="R41" i="7"/>
  <c r="S41" i="7"/>
  <c r="V27" i="7"/>
  <c r="V31" i="7"/>
  <c r="V35" i="7"/>
  <c r="V39" i="7"/>
  <c r="V37" i="7"/>
  <c r="V28" i="7"/>
  <c r="V32" i="7"/>
  <c r="V36" i="7"/>
  <c r="V40" i="7"/>
  <c r="V29" i="7"/>
  <c r="V33" i="7"/>
  <c r="V30" i="7"/>
  <c r="V34" i="7"/>
  <c r="V38" i="7"/>
  <c r="W8" i="7"/>
  <c r="P41" i="7"/>
  <c r="N41" i="7"/>
  <c r="T41" i="7"/>
  <c r="J6" i="2"/>
  <c r="H7" i="2"/>
  <c r="G41" i="7"/>
  <c r="D7" i="2"/>
  <c r="F6" i="2"/>
  <c r="I29" i="3"/>
  <c r="I82" i="3"/>
  <c r="C12" i="6" s="1"/>
  <c r="C14" i="6" s="1"/>
  <c r="D29" i="3"/>
  <c r="D24" i="3"/>
  <c r="B17" i="2"/>
  <c r="I75" i="3"/>
  <c r="C7" i="6" s="1"/>
  <c r="C9" i="6" s="1"/>
  <c r="O75" i="3"/>
  <c r="K29" i="3"/>
  <c r="C24" i="3"/>
  <c r="M22" i="3"/>
  <c r="M23" i="3"/>
  <c r="C29" i="3"/>
  <c r="M27" i="3"/>
  <c r="K24" i="3"/>
  <c r="M28" i="3"/>
  <c r="B20" i="2"/>
  <c r="B27" i="2"/>
  <c r="F24" i="5" l="1"/>
  <c r="F37" i="5"/>
  <c r="AA3" i="2"/>
  <c r="AB3" i="2" s="1"/>
  <c r="AA4" i="2"/>
  <c r="AB4" i="2" s="1"/>
  <c r="AE5" i="2"/>
  <c r="L6" i="2"/>
  <c r="AA6" i="2"/>
  <c r="AB6" i="2" s="1"/>
  <c r="W3" i="2"/>
  <c r="X3" i="2" s="1"/>
  <c r="AH6" i="2"/>
  <c r="Q7" i="2"/>
  <c r="AA7" i="2" s="1"/>
  <c r="AB7" i="2" s="1"/>
  <c r="AA5" i="2"/>
  <c r="AB5" i="2" s="1"/>
  <c r="W5" i="2"/>
  <c r="X5" i="2" s="1"/>
  <c r="W4" i="2"/>
  <c r="X4" i="2" s="1"/>
  <c r="V41" i="7"/>
  <c r="H41" i="7"/>
  <c r="I29" i="7"/>
  <c r="I33" i="7"/>
  <c r="I37" i="7"/>
  <c r="I30" i="7"/>
  <c r="I34" i="7"/>
  <c r="I38" i="7"/>
  <c r="I27" i="7"/>
  <c r="I35" i="7"/>
  <c r="I28" i="7"/>
  <c r="I36" i="7"/>
  <c r="I39" i="7"/>
  <c r="I31" i="7"/>
  <c r="I32" i="7"/>
  <c r="I40" i="7"/>
  <c r="J8" i="7"/>
  <c r="D8" i="2"/>
  <c r="F7" i="2"/>
  <c r="H8" i="2"/>
  <c r="J7" i="2"/>
  <c r="W30" i="7"/>
  <c r="W34" i="7"/>
  <c r="W38" i="7"/>
  <c r="W36" i="7"/>
  <c r="W27" i="7"/>
  <c r="W31" i="7"/>
  <c r="W35" i="7"/>
  <c r="W39" i="7"/>
  <c r="W28" i="7"/>
  <c r="W32" i="7"/>
  <c r="W40" i="7"/>
  <c r="W33" i="7"/>
  <c r="W37" i="7"/>
  <c r="W29" i="7"/>
  <c r="M29" i="3"/>
  <c r="R3" i="2"/>
  <c r="S3" i="2" s="1"/>
  <c r="T3" i="2" s="1"/>
  <c r="R7" i="2"/>
  <c r="S7" i="2" s="1"/>
  <c r="T7" i="2" s="1"/>
  <c r="M4" i="2"/>
  <c r="N4" i="2" s="1"/>
  <c r="O4" i="2" s="1"/>
  <c r="R4" i="2"/>
  <c r="S4" i="2" s="1"/>
  <c r="T4" i="2" s="1"/>
  <c r="R6" i="2"/>
  <c r="S6" i="2" s="1"/>
  <c r="T6" i="2" s="1"/>
  <c r="R5" i="2"/>
  <c r="S5" i="2" s="1"/>
  <c r="T5" i="2" s="1"/>
  <c r="M3" i="2"/>
  <c r="N3" i="2" s="1"/>
  <c r="O3" i="2" s="1"/>
  <c r="M6" i="2"/>
  <c r="N6" i="2" s="1"/>
  <c r="O6" i="2" s="1"/>
  <c r="M5" i="2"/>
  <c r="N5" i="2" s="1"/>
  <c r="O5" i="2" s="1"/>
  <c r="M24" i="3"/>
  <c r="AE6" i="2" l="1"/>
  <c r="L7" i="2"/>
  <c r="W6" i="2"/>
  <c r="X6" i="2" s="1"/>
  <c r="Q8" i="2"/>
  <c r="AH7" i="2"/>
  <c r="J28" i="7"/>
  <c r="J32" i="7"/>
  <c r="J36" i="7"/>
  <c r="J40" i="7"/>
  <c r="J29" i="7"/>
  <c r="J33" i="7"/>
  <c r="J37" i="7"/>
  <c r="J34" i="7"/>
  <c r="J27" i="7"/>
  <c r="J35" i="7"/>
  <c r="J30" i="7"/>
  <c r="J31" i="7"/>
  <c r="J39" i="7"/>
  <c r="J38" i="7"/>
  <c r="K8" i="7"/>
  <c r="I41" i="7"/>
  <c r="W41" i="7"/>
  <c r="F8" i="2"/>
  <c r="D9" i="2"/>
  <c r="H9" i="2"/>
  <c r="J8" i="2"/>
  <c r="Q9" i="2" l="1"/>
  <c r="R8" i="2"/>
  <c r="S8" i="2" s="1"/>
  <c r="T8" i="2" s="1"/>
  <c r="AA8" i="2"/>
  <c r="AB8" i="2" s="1"/>
  <c r="AH8" i="2"/>
  <c r="L8" i="2"/>
  <c r="AE7" i="2"/>
  <c r="W7" i="2"/>
  <c r="X7" i="2" s="1"/>
  <c r="M7" i="2"/>
  <c r="N7" i="2" s="1"/>
  <c r="O7" i="2" s="1"/>
  <c r="J41" i="7"/>
  <c r="D10" i="2"/>
  <c r="F9" i="2"/>
  <c r="J9" i="2"/>
  <c r="H10" i="2"/>
  <c r="K27" i="7"/>
  <c r="K31" i="7"/>
  <c r="K35" i="7"/>
  <c r="K39" i="7"/>
  <c r="K28" i="7"/>
  <c r="K32" i="7"/>
  <c r="K36" i="7"/>
  <c r="K40" i="7"/>
  <c r="K33" i="7"/>
  <c r="K34" i="7"/>
  <c r="K37" i="7"/>
  <c r="K29" i="7"/>
  <c r="K30" i="7"/>
  <c r="K38" i="7"/>
  <c r="L8" i="7"/>
  <c r="L9" i="2" l="1"/>
  <c r="AE8" i="2"/>
  <c r="M8" i="2"/>
  <c r="N8" i="2" s="1"/>
  <c r="O8" i="2" s="1"/>
  <c r="W8" i="2"/>
  <c r="X8" i="2" s="1"/>
  <c r="R9" i="2"/>
  <c r="S9" i="2" s="1"/>
  <c r="T9" i="2" s="1"/>
  <c r="AH9" i="2"/>
  <c r="Q10" i="2"/>
  <c r="AA9" i="2"/>
  <c r="AB9" i="2" s="1"/>
  <c r="H11" i="2"/>
  <c r="J10" i="2"/>
  <c r="D11" i="2"/>
  <c r="F10" i="2"/>
  <c r="L30" i="7"/>
  <c r="X12" i="7" s="1"/>
  <c r="AA12" i="7" s="1"/>
  <c r="L34" i="7"/>
  <c r="L38" i="7"/>
  <c r="X20" i="7" s="1"/>
  <c r="AA20" i="7" s="1"/>
  <c r="L27" i="7"/>
  <c r="X9" i="7" s="1"/>
  <c r="AA9" i="7" s="1"/>
  <c r="L31" i="7"/>
  <c r="X13" i="7" s="1"/>
  <c r="AA13" i="7" s="1"/>
  <c r="L35" i="7"/>
  <c r="X17" i="7" s="1"/>
  <c r="AA17" i="7" s="1"/>
  <c r="L39" i="7"/>
  <c r="X21" i="7" s="1"/>
  <c r="AA21" i="7" s="1"/>
  <c r="L32" i="7"/>
  <c r="X14" i="7" s="1"/>
  <c r="AA14" i="7" s="1"/>
  <c r="L40" i="7"/>
  <c r="X22" i="7" s="1"/>
  <c r="AA22" i="7" s="1"/>
  <c r="L37" i="7"/>
  <c r="L33" i="7"/>
  <c r="X15" i="7" s="1"/>
  <c r="AA15" i="7" s="1"/>
  <c r="L28" i="7"/>
  <c r="X10" i="7" s="1"/>
  <c r="AA10" i="7" s="1"/>
  <c r="L36" i="7"/>
  <c r="X18" i="7" s="1"/>
  <c r="AA18" i="7" s="1"/>
  <c r="L29" i="7"/>
  <c r="X11" i="7" s="1"/>
  <c r="AA11" i="7" s="1"/>
  <c r="X19" i="7"/>
  <c r="AA19" i="7" s="1"/>
  <c r="X16" i="7"/>
  <c r="AA16" i="7" s="1"/>
  <c r="K41" i="7"/>
  <c r="AA23" i="7" l="1"/>
  <c r="E28" i="1" s="1"/>
  <c r="AH10" i="2"/>
  <c r="Q11" i="2"/>
  <c r="R10" i="2"/>
  <c r="S10" i="2" s="1"/>
  <c r="T10" i="2" s="1"/>
  <c r="AA10" i="2"/>
  <c r="AB10" i="2" s="1"/>
  <c r="AE9" i="2"/>
  <c r="L10" i="2"/>
  <c r="W9" i="2"/>
  <c r="X9" i="2" s="1"/>
  <c r="M9" i="2"/>
  <c r="N9" i="2" s="1"/>
  <c r="O9" i="2" s="1"/>
  <c r="F11" i="2"/>
  <c r="D12" i="2"/>
  <c r="F12" i="2" s="1"/>
  <c r="F13" i="2" s="1"/>
  <c r="L41" i="7"/>
  <c r="D6" i="7" s="1"/>
  <c r="H12" i="2"/>
  <c r="J12" i="2" s="1"/>
  <c r="J13" i="2" s="1"/>
  <c r="J11" i="2"/>
  <c r="AE10" i="2" l="1"/>
  <c r="L11" i="2"/>
  <c r="M10" i="2"/>
  <c r="N10" i="2" s="1"/>
  <c r="O10" i="2" s="1"/>
  <c r="W10" i="2"/>
  <c r="X10" i="2" s="1"/>
  <c r="Q12" i="2"/>
  <c r="AH11" i="2"/>
  <c r="AA11" i="2"/>
  <c r="AB11" i="2" s="1"/>
  <c r="R11" i="2"/>
  <c r="S11" i="2" s="1"/>
  <c r="T11" i="2" s="1"/>
  <c r="H16" i="1"/>
  <c r="H17" i="1" s="1"/>
  <c r="L12" i="2" l="1"/>
  <c r="AE11" i="2"/>
  <c r="W11" i="2"/>
  <c r="X11" i="2" s="1"/>
  <c r="M11" i="2"/>
  <c r="N11" i="2" s="1"/>
  <c r="O11" i="2" s="1"/>
  <c r="AH12" i="2"/>
  <c r="Q13" i="2"/>
  <c r="AA12" i="2"/>
  <c r="AB12" i="2" s="1"/>
  <c r="R12" i="2"/>
  <c r="S12" i="2" s="1"/>
  <c r="T12" i="2" s="1"/>
  <c r="AA13" i="2" l="1"/>
  <c r="AB13" i="2" s="1"/>
  <c r="R13" i="2"/>
  <c r="S13" i="2" s="1"/>
  <c r="T13" i="2" s="1"/>
  <c r="Q14" i="2"/>
  <c r="AH13" i="2"/>
  <c r="AE12" i="2"/>
  <c r="L13" i="2"/>
  <c r="W12" i="2"/>
  <c r="X12" i="2" s="1"/>
  <c r="M12" i="2"/>
  <c r="N12" i="2" s="1"/>
  <c r="O12" i="2" s="1"/>
  <c r="AH14" i="2" l="1"/>
  <c r="Q15" i="2"/>
  <c r="AA14" i="2"/>
  <c r="AB14" i="2" s="1"/>
  <c r="R14" i="2"/>
  <c r="S14" i="2" s="1"/>
  <c r="T14" i="2" s="1"/>
  <c r="AE13" i="2"/>
  <c r="L14" i="2"/>
  <c r="W13" i="2"/>
  <c r="X13" i="2" s="1"/>
  <c r="M13" i="2"/>
  <c r="N13" i="2" s="1"/>
  <c r="O13" i="2" s="1"/>
  <c r="W14" i="2" l="1"/>
  <c r="X14" i="2" s="1"/>
  <c r="AE14" i="2"/>
  <c r="L15" i="2"/>
  <c r="M14" i="2"/>
  <c r="N14" i="2" s="1"/>
  <c r="O14" i="2" s="1"/>
  <c r="AH15" i="2"/>
  <c r="Q16" i="2"/>
  <c r="AA15" i="2"/>
  <c r="AB15" i="2" s="1"/>
  <c r="R15" i="2"/>
  <c r="S15" i="2" s="1"/>
  <c r="T15" i="2" s="1"/>
  <c r="M15" i="2" l="1"/>
  <c r="N15" i="2" s="1"/>
  <c r="O15" i="2" s="1"/>
  <c r="L16" i="2"/>
  <c r="AE15" i="2"/>
  <c r="W15" i="2"/>
  <c r="X15" i="2" s="1"/>
  <c r="Q17" i="2"/>
  <c r="AH16" i="2"/>
  <c r="AA16" i="2"/>
  <c r="AB16" i="2" s="1"/>
  <c r="R16" i="2"/>
  <c r="S16" i="2" s="1"/>
  <c r="T16" i="2" s="1"/>
  <c r="L17" i="2" l="1"/>
  <c r="AE16" i="2"/>
  <c r="W16" i="2"/>
  <c r="X16" i="2" s="1"/>
  <c r="M16" i="2"/>
  <c r="N16" i="2" s="1"/>
  <c r="O16" i="2" s="1"/>
  <c r="Q18" i="2"/>
  <c r="AA17" i="2"/>
  <c r="AB17" i="2" s="1"/>
  <c r="AH17" i="2"/>
  <c r="R17" i="2"/>
  <c r="S17" i="2" s="1"/>
  <c r="T17" i="2" s="1"/>
  <c r="AH18" i="2" l="1"/>
  <c r="Q19" i="2"/>
  <c r="AA18" i="2"/>
  <c r="AB18" i="2" s="1"/>
  <c r="R18" i="2"/>
  <c r="S18" i="2" s="1"/>
  <c r="T18" i="2" s="1"/>
  <c r="M17" i="2"/>
  <c r="N17" i="2" s="1"/>
  <c r="O17" i="2" s="1"/>
  <c r="AE17" i="2"/>
  <c r="L18" i="2"/>
  <c r="W17" i="2"/>
  <c r="X17" i="2" s="1"/>
  <c r="AE18" i="2" l="1"/>
  <c r="L19" i="2"/>
  <c r="W18" i="2"/>
  <c r="X18" i="2" s="1"/>
  <c r="M18" i="2"/>
  <c r="N18" i="2" s="1"/>
  <c r="O18" i="2" s="1"/>
  <c r="Q20" i="2"/>
  <c r="AH19" i="2"/>
  <c r="AA19" i="2"/>
  <c r="AB19" i="2" s="1"/>
  <c r="R19" i="2"/>
  <c r="S19" i="2" s="1"/>
  <c r="T19" i="2" s="1"/>
  <c r="AH20" i="2" l="1"/>
  <c r="Q21" i="2"/>
  <c r="AA20" i="2"/>
  <c r="AB20" i="2" s="1"/>
  <c r="R20" i="2"/>
  <c r="S20" i="2" s="1"/>
  <c r="T20" i="2" s="1"/>
  <c r="W19" i="2"/>
  <c r="X19" i="2" s="1"/>
  <c r="M19" i="2"/>
  <c r="N19" i="2" s="1"/>
  <c r="O19" i="2" s="1"/>
  <c r="AE19" i="2"/>
  <c r="L20" i="2"/>
  <c r="L21" i="2" l="1"/>
  <c r="AE20" i="2"/>
  <c r="W20" i="2"/>
  <c r="X20" i="2" s="1"/>
  <c r="M20" i="2"/>
  <c r="N20" i="2" s="1"/>
  <c r="O20" i="2" s="1"/>
  <c r="AH21" i="2"/>
  <c r="AA21" i="2"/>
  <c r="AB21" i="2" s="1"/>
  <c r="R21" i="2"/>
  <c r="S21" i="2" s="1"/>
  <c r="T21" i="2" s="1"/>
  <c r="Q22" i="2"/>
  <c r="Q23" i="2" l="1"/>
  <c r="AH22" i="2"/>
  <c r="R22" i="2"/>
  <c r="S22" i="2" s="1"/>
  <c r="T22" i="2" s="1"/>
  <c r="AA22" i="2"/>
  <c r="AB22" i="2" s="1"/>
  <c r="AE21" i="2"/>
  <c r="L22" i="2"/>
  <c r="W21" i="2"/>
  <c r="X21" i="2" s="1"/>
  <c r="M21" i="2"/>
  <c r="N21" i="2" s="1"/>
  <c r="O21" i="2" s="1"/>
  <c r="L23" i="2" l="1"/>
  <c r="AE22" i="2"/>
  <c r="W22" i="2"/>
  <c r="X22" i="2" s="1"/>
  <c r="M22" i="2"/>
  <c r="N22" i="2" s="1"/>
  <c r="O22" i="2" s="1"/>
  <c r="Q24" i="2"/>
  <c r="AA23" i="2"/>
  <c r="AB23" i="2" s="1"/>
  <c r="AH23" i="2"/>
  <c r="R23" i="2"/>
  <c r="S23" i="2" s="1"/>
  <c r="T23" i="2" s="1"/>
  <c r="AH24" i="2" l="1"/>
  <c r="Q25" i="2"/>
  <c r="AA24" i="2"/>
  <c r="AB24" i="2" s="1"/>
  <c r="R24" i="2"/>
  <c r="S24" i="2" s="1"/>
  <c r="T24" i="2" s="1"/>
  <c r="AE23" i="2"/>
  <c r="L24" i="2"/>
  <c r="M23" i="2"/>
  <c r="N23" i="2" s="1"/>
  <c r="O23" i="2" s="1"/>
  <c r="W23" i="2"/>
  <c r="X23" i="2" s="1"/>
  <c r="L25" i="2" l="1"/>
  <c r="AE24" i="2"/>
  <c r="W24" i="2"/>
  <c r="X24" i="2" s="1"/>
  <c r="M24" i="2"/>
  <c r="N24" i="2" s="1"/>
  <c r="O24" i="2" s="1"/>
  <c r="Q26" i="2"/>
  <c r="AH25" i="2"/>
  <c r="R25" i="2"/>
  <c r="S25" i="2" s="1"/>
  <c r="T25" i="2" s="1"/>
  <c r="AA25" i="2"/>
  <c r="AB25" i="2" s="1"/>
  <c r="Q27" i="2" l="1"/>
  <c r="AH26" i="2"/>
  <c r="AA26" i="2"/>
  <c r="AB26" i="2" s="1"/>
  <c r="R26" i="2"/>
  <c r="S26" i="2" s="1"/>
  <c r="T26" i="2" s="1"/>
  <c r="AE25" i="2"/>
  <c r="L26" i="2"/>
  <c r="W25" i="2"/>
  <c r="X25" i="2" s="1"/>
  <c r="M25" i="2"/>
  <c r="N25" i="2" s="1"/>
  <c r="O25" i="2" s="1"/>
  <c r="L27" i="2" l="1"/>
  <c r="AE26" i="2"/>
  <c r="W26" i="2"/>
  <c r="X26" i="2" s="1"/>
  <c r="M26" i="2"/>
  <c r="N26" i="2" s="1"/>
  <c r="O26" i="2" s="1"/>
  <c r="Q28" i="2"/>
  <c r="AA27" i="2"/>
  <c r="AB27" i="2" s="1"/>
  <c r="R27" i="2"/>
  <c r="S27" i="2" s="1"/>
  <c r="T27" i="2" s="1"/>
  <c r="AH27" i="2"/>
  <c r="R28" i="2" l="1"/>
  <c r="S28" i="2" s="1"/>
  <c r="T28" i="2" s="1"/>
  <c r="Q29" i="2"/>
  <c r="AH28" i="2"/>
  <c r="AA28" i="2"/>
  <c r="AB28" i="2" s="1"/>
  <c r="L28" i="2"/>
  <c r="W27" i="2"/>
  <c r="X27" i="2" s="1"/>
  <c r="M27" i="2"/>
  <c r="N27" i="2" s="1"/>
  <c r="O27" i="2" s="1"/>
  <c r="AE27" i="2"/>
  <c r="AA29" i="2" l="1"/>
  <c r="AB29" i="2" s="1"/>
  <c r="R29" i="2"/>
  <c r="S29" i="2" s="1"/>
  <c r="T29" i="2" s="1"/>
  <c r="AH29" i="2"/>
  <c r="Q30" i="2"/>
  <c r="L29" i="2"/>
  <c r="AE28" i="2"/>
  <c r="W28" i="2"/>
  <c r="X28" i="2" s="1"/>
  <c r="M28" i="2"/>
  <c r="N28" i="2" s="1"/>
  <c r="O28" i="2" s="1"/>
  <c r="AH30" i="2" l="1"/>
  <c r="Q31" i="2"/>
  <c r="AA30" i="2"/>
  <c r="AB30" i="2" s="1"/>
  <c r="R30" i="2"/>
  <c r="S30" i="2" s="1"/>
  <c r="T30" i="2" s="1"/>
  <c r="AE29" i="2"/>
  <c r="W29" i="2"/>
  <c r="X29" i="2" s="1"/>
  <c r="M29" i="2"/>
  <c r="N29" i="2" s="1"/>
  <c r="O29" i="2" s="1"/>
  <c r="L30" i="2"/>
  <c r="AH31" i="2" l="1"/>
  <c r="AA31" i="2"/>
  <c r="AB31" i="2" s="1"/>
  <c r="Q32" i="2"/>
  <c r="R31" i="2"/>
  <c r="S31" i="2" s="1"/>
  <c r="T31" i="2" s="1"/>
  <c r="L31" i="2"/>
  <c r="AE30" i="2"/>
  <c r="W30" i="2"/>
  <c r="X30" i="2" s="1"/>
  <c r="M30" i="2"/>
  <c r="N30" i="2" s="1"/>
  <c r="O30" i="2" s="1"/>
  <c r="AH32" i="2" l="1"/>
  <c r="AA32" i="2"/>
  <c r="AB32" i="2" s="1"/>
  <c r="Q33" i="2"/>
  <c r="R32" i="2"/>
  <c r="S32" i="2" s="1"/>
  <c r="T32" i="2" s="1"/>
  <c r="AE31" i="2"/>
  <c r="L32" i="2"/>
  <c r="W31" i="2"/>
  <c r="X31" i="2" s="1"/>
  <c r="M31" i="2"/>
  <c r="N31" i="2" s="1"/>
  <c r="O31" i="2" s="1"/>
  <c r="Q34" i="2" l="1"/>
  <c r="AH33" i="2"/>
  <c r="AA33" i="2"/>
  <c r="AB33" i="2" s="1"/>
  <c r="R33" i="2"/>
  <c r="S33" i="2" s="1"/>
  <c r="T33" i="2" s="1"/>
  <c r="L33" i="2"/>
  <c r="AE32" i="2"/>
  <c r="B29" i="2" s="1"/>
  <c r="O23" i="4" s="1"/>
  <c r="E20" i="1" s="1"/>
  <c r="W32" i="2"/>
  <c r="X32" i="2" s="1"/>
  <c r="B26" i="2" s="1"/>
  <c r="L90" i="4" s="1"/>
  <c r="M32" i="2"/>
  <c r="N32" i="2" s="1"/>
  <c r="O32" i="2" s="1"/>
  <c r="B19" i="2" s="1"/>
  <c r="C38" i="4" l="1"/>
  <c r="E21" i="1" s="1"/>
  <c r="M18" i="3"/>
  <c r="E40" i="5"/>
  <c r="E25" i="1" s="1"/>
  <c r="D40" i="5"/>
  <c r="E24" i="1" s="1"/>
  <c r="F40" i="5"/>
  <c r="C40" i="5"/>
  <c r="E23" i="1" s="1"/>
  <c r="C16" i="6"/>
  <c r="E26" i="1" s="1"/>
  <c r="M46" i="3"/>
  <c r="E19" i="1" s="1"/>
  <c r="F48" i="4"/>
  <c r="E22" i="1" s="1"/>
  <c r="M31" i="3"/>
  <c r="L70" i="4"/>
  <c r="E16" i="1" s="1"/>
  <c r="AE33" i="2"/>
  <c r="W33" i="2"/>
  <c r="X33" i="2" s="1"/>
  <c r="M33" i="2"/>
  <c r="N33" i="2" s="1"/>
  <c r="O33" i="2" s="1"/>
  <c r="L34" i="2"/>
  <c r="Q35" i="2"/>
  <c r="AA34" i="2"/>
  <c r="AB34" i="2" s="1"/>
  <c r="AH34" i="2"/>
  <c r="R34" i="2"/>
  <c r="S34" i="2" s="1"/>
  <c r="T34" i="2" s="1"/>
  <c r="Q36" i="2" l="1"/>
  <c r="AH35" i="2"/>
  <c r="AA35" i="2"/>
  <c r="AB35" i="2" s="1"/>
  <c r="R35" i="2"/>
  <c r="S35" i="2" s="1"/>
  <c r="T35" i="2" s="1"/>
  <c r="W34" i="2"/>
  <c r="X34" i="2" s="1"/>
  <c r="M34" i="2"/>
  <c r="N34" i="2" s="1"/>
  <c r="O34" i="2" s="1"/>
  <c r="L35" i="2"/>
  <c r="AE34" i="2"/>
  <c r="E17" i="1"/>
  <c r="E12" i="1" s="1"/>
  <c r="L36" i="2" l="1"/>
  <c r="AE35" i="2"/>
  <c r="W35" i="2"/>
  <c r="X35" i="2" s="1"/>
  <c r="M35" i="2"/>
  <c r="N35" i="2" s="1"/>
  <c r="O35" i="2" s="1"/>
  <c r="E29" i="1"/>
  <c r="R36" i="2"/>
  <c r="S36" i="2" s="1"/>
  <c r="T36" i="2" s="1"/>
  <c r="AH36" i="2"/>
  <c r="Q37" i="2"/>
  <c r="AA36" i="2"/>
  <c r="AB36" i="2" s="1"/>
  <c r="AA37" i="2" l="1"/>
  <c r="AB37" i="2" s="1"/>
  <c r="Q38" i="2"/>
  <c r="R37" i="2"/>
  <c r="S37" i="2" s="1"/>
  <c r="T37" i="2" s="1"/>
  <c r="AH37" i="2"/>
  <c r="E6" i="1"/>
  <c r="E9" i="1"/>
  <c r="L37" i="2"/>
  <c r="W36" i="2"/>
  <c r="X36" i="2" s="1"/>
  <c r="M36" i="2"/>
  <c r="N36" i="2" s="1"/>
  <c r="O36" i="2" s="1"/>
  <c r="AE36" i="2"/>
  <c r="L38" i="2" l="1"/>
  <c r="AE37" i="2"/>
  <c r="W37" i="2"/>
  <c r="X37" i="2" s="1"/>
  <c r="M37" i="2"/>
  <c r="N37" i="2" s="1"/>
  <c r="O37" i="2" s="1"/>
  <c r="R38" i="2"/>
  <c r="S38" i="2" s="1"/>
  <c r="T38" i="2" s="1"/>
  <c r="AA38" i="2"/>
  <c r="AB38" i="2" s="1"/>
  <c r="Q39" i="2"/>
  <c r="AH38" i="2"/>
  <c r="AA39" i="2" l="1"/>
  <c r="AB39" i="2" s="1"/>
  <c r="R39" i="2"/>
  <c r="S39" i="2" s="1"/>
  <c r="T39" i="2" s="1"/>
  <c r="Q40" i="2"/>
  <c r="AH39" i="2"/>
  <c r="AE38" i="2"/>
  <c r="W38" i="2"/>
  <c r="X38" i="2" s="1"/>
  <c r="L39" i="2"/>
  <c r="M38" i="2"/>
  <c r="N38" i="2" s="1"/>
  <c r="O38" i="2" s="1"/>
  <c r="AE39" i="2" l="1"/>
  <c r="L40" i="2"/>
  <c r="W39" i="2"/>
  <c r="X39" i="2" s="1"/>
  <c r="M39" i="2"/>
  <c r="N39" i="2" s="1"/>
  <c r="O39" i="2" s="1"/>
  <c r="Q41" i="2"/>
  <c r="AH40" i="2"/>
  <c r="AA40" i="2"/>
  <c r="AB40" i="2" s="1"/>
  <c r="R40" i="2"/>
  <c r="S40" i="2" s="1"/>
  <c r="T40" i="2" s="1"/>
  <c r="AE40" i="2" l="1"/>
  <c r="L41" i="2"/>
  <c r="W40" i="2"/>
  <c r="X40" i="2" s="1"/>
  <c r="M40" i="2"/>
  <c r="N40" i="2" s="1"/>
  <c r="O40" i="2" s="1"/>
  <c r="AH41" i="2"/>
  <c r="AA41" i="2"/>
  <c r="AB41" i="2" s="1"/>
  <c r="R41" i="2"/>
  <c r="S41" i="2" s="1"/>
  <c r="T41" i="2" s="1"/>
  <c r="Q42" i="2"/>
  <c r="AH42" i="2" l="1"/>
  <c r="AA42" i="2"/>
  <c r="AB42" i="2" s="1"/>
  <c r="R42" i="2"/>
  <c r="S42" i="2" s="1"/>
  <c r="T42" i="2" s="1"/>
  <c r="Q43" i="2"/>
  <c r="AE41" i="2"/>
  <c r="L42" i="2"/>
  <c r="W41" i="2"/>
  <c r="X41" i="2" s="1"/>
  <c r="M41" i="2"/>
  <c r="N41" i="2" s="1"/>
  <c r="O41" i="2" s="1"/>
  <c r="Q44" i="2" l="1"/>
  <c r="AH43" i="2"/>
  <c r="AA43" i="2"/>
  <c r="AB43" i="2" s="1"/>
  <c r="R43" i="2"/>
  <c r="S43" i="2" s="1"/>
  <c r="T43" i="2" s="1"/>
  <c r="M42" i="2"/>
  <c r="N42" i="2" s="1"/>
  <c r="O42" i="2" s="1"/>
  <c r="W42" i="2"/>
  <c r="X42" i="2" s="1"/>
  <c r="AE42" i="2"/>
  <c r="L43" i="2"/>
  <c r="W43" i="2" l="1"/>
  <c r="X43" i="2" s="1"/>
  <c r="M43" i="2"/>
  <c r="N43" i="2" s="1"/>
  <c r="O43" i="2" s="1"/>
  <c r="AE43" i="2"/>
  <c r="L44" i="2"/>
  <c r="Q45" i="2"/>
  <c r="AH44" i="2"/>
  <c r="R44" i="2"/>
  <c r="S44" i="2" s="1"/>
  <c r="T44" i="2" s="1"/>
  <c r="AA44" i="2"/>
  <c r="AB44" i="2" s="1"/>
  <c r="M44" i="2" l="1"/>
  <c r="N44" i="2" s="1"/>
  <c r="O44" i="2" s="1"/>
  <c r="AE44" i="2"/>
  <c r="L45" i="2"/>
  <c r="W44" i="2"/>
  <c r="X44" i="2" s="1"/>
  <c r="AH45" i="2"/>
  <c r="Q46" i="2"/>
  <c r="AA45" i="2"/>
  <c r="AB45" i="2" s="1"/>
  <c r="R45" i="2"/>
  <c r="S45" i="2" s="1"/>
  <c r="T45" i="2" s="1"/>
  <c r="W45" i="2" l="1"/>
  <c r="X45" i="2" s="1"/>
  <c r="M45" i="2"/>
  <c r="N45" i="2" s="1"/>
  <c r="O45" i="2" s="1"/>
  <c r="AE45" i="2"/>
  <c r="L46" i="2"/>
  <c r="AH46" i="2"/>
  <c r="Q47" i="2"/>
  <c r="AA46" i="2"/>
  <c r="AB46" i="2" s="1"/>
  <c r="R46" i="2"/>
  <c r="S46" i="2" s="1"/>
  <c r="T46" i="2" s="1"/>
  <c r="L47" i="2" l="1"/>
  <c r="AE46" i="2"/>
  <c r="W46" i="2"/>
  <c r="X46" i="2" s="1"/>
  <c r="M46" i="2"/>
  <c r="N46" i="2" s="1"/>
  <c r="O46" i="2" s="1"/>
  <c r="AH47" i="2"/>
  <c r="Q48" i="2"/>
  <c r="AA47" i="2"/>
  <c r="AB47" i="2" s="1"/>
  <c r="R47" i="2"/>
  <c r="S47" i="2" s="1"/>
  <c r="T47" i="2" s="1"/>
  <c r="AH48" i="2" l="1"/>
  <c r="Q49" i="2"/>
  <c r="R48" i="2"/>
  <c r="S48" i="2" s="1"/>
  <c r="T48" i="2" s="1"/>
  <c r="AA48" i="2"/>
  <c r="AB48" i="2" s="1"/>
  <c r="AE47" i="2"/>
  <c r="W47" i="2"/>
  <c r="X47" i="2" s="1"/>
  <c r="M47" i="2"/>
  <c r="N47" i="2" s="1"/>
  <c r="O47" i="2" s="1"/>
  <c r="L48" i="2"/>
  <c r="AE48" i="2" l="1"/>
  <c r="W48" i="2"/>
  <c r="X48" i="2" s="1"/>
  <c r="M48" i="2"/>
  <c r="N48" i="2" s="1"/>
  <c r="O48" i="2" s="1"/>
  <c r="L49" i="2"/>
  <c r="Q50" i="2"/>
  <c r="R49" i="2"/>
  <c r="S49" i="2" s="1"/>
  <c r="T49" i="2" s="1"/>
  <c r="AH49" i="2"/>
  <c r="AA49" i="2"/>
  <c r="AB49" i="2" s="1"/>
  <c r="L50" i="2" l="1"/>
  <c r="AE49" i="2"/>
  <c r="W49" i="2"/>
  <c r="X49" i="2" s="1"/>
  <c r="M49" i="2"/>
  <c r="N49" i="2" s="1"/>
  <c r="O49" i="2" s="1"/>
  <c r="AH50" i="2"/>
  <c r="Q51" i="2"/>
  <c r="AA50" i="2"/>
  <c r="AB50" i="2" s="1"/>
  <c r="R50" i="2"/>
  <c r="S50" i="2" s="1"/>
  <c r="T50" i="2" s="1"/>
  <c r="AH51" i="2" l="1"/>
  <c r="AA51" i="2"/>
  <c r="AB51" i="2" s="1"/>
  <c r="Q52" i="2"/>
  <c r="R51" i="2"/>
  <c r="S51" i="2" s="1"/>
  <c r="T51" i="2" s="1"/>
  <c r="L51" i="2"/>
  <c r="AE50" i="2"/>
  <c r="M50" i="2"/>
  <c r="N50" i="2" s="1"/>
  <c r="O50" i="2" s="1"/>
  <c r="W50" i="2"/>
  <c r="X50" i="2" s="1"/>
  <c r="AH52" i="2" l="1"/>
  <c r="AA52" i="2"/>
  <c r="AB52" i="2" s="1"/>
  <c r="Q53" i="2"/>
  <c r="R52" i="2"/>
  <c r="S52" i="2" s="1"/>
  <c r="T52" i="2" s="1"/>
  <c r="AE51" i="2"/>
  <c r="L52" i="2"/>
  <c r="W51" i="2"/>
  <c r="X51" i="2" s="1"/>
  <c r="M51" i="2"/>
  <c r="N51" i="2" s="1"/>
  <c r="O51" i="2" s="1"/>
  <c r="AH53" i="2" l="1"/>
  <c r="Q54" i="2"/>
  <c r="AA53" i="2"/>
  <c r="AB53" i="2" s="1"/>
  <c r="R53" i="2"/>
  <c r="S53" i="2" s="1"/>
  <c r="T53" i="2" s="1"/>
  <c r="AE52" i="2"/>
  <c r="L53" i="2"/>
  <c r="W52" i="2"/>
  <c r="X52" i="2" s="1"/>
  <c r="M52" i="2"/>
  <c r="N52" i="2" s="1"/>
  <c r="O52" i="2" s="1"/>
  <c r="AH54" i="2" l="1"/>
  <c r="Q55" i="2"/>
  <c r="AA54" i="2"/>
  <c r="AB54" i="2" s="1"/>
  <c r="R54" i="2"/>
  <c r="S54" i="2" s="1"/>
  <c r="T54" i="2" s="1"/>
  <c r="L54" i="2"/>
  <c r="AE53" i="2"/>
  <c r="W53" i="2"/>
  <c r="X53" i="2" s="1"/>
  <c r="M53" i="2"/>
  <c r="N53" i="2" s="1"/>
  <c r="O53" i="2" s="1"/>
  <c r="AH55" i="2" l="1"/>
  <c r="Q56" i="2"/>
  <c r="AA55" i="2"/>
  <c r="AB55" i="2" s="1"/>
  <c r="R55" i="2"/>
  <c r="S55" i="2" s="1"/>
  <c r="T55" i="2" s="1"/>
  <c r="L55" i="2"/>
  <c r="W54" i="2"/>
  <c r="X54" i="2" s="1"/>
  <c r="M54" i="2"/>
  <c r="N54" i="2" s="1"/>
  <c r="O54" i="2" s="1"/>
  <c r="AE54" i="2"/>
  <c r="AH56" i="2" l="1"/>
  <c r="Q57" i="2"/>
  <c r="AA56" i="2"/>
  <c r="AB56" i="2" s="1"/>
  <c r="R56" i="2"/>
  <c r="S56" i="2" s="1"/>
  <c r="T56" i="2" s="1"/>
  <c r="L56" i="2"/>
  <c r="AE55" i="2"/>
  <c r="W55" i="2"/>
  <c r="X55" i="2" s="1"/>
  <c r="M55" i="2"/>
  <c r="N55" i="2" s="1"/>
  <c r="O55" i="2" s="1"/>
  <c r="AH57" i="2" l="1"/>
  <c r="R57" i="2"/>
  <c r="S57" i="2" s="1"/>
  <c r="T57" i="2" s="1"/>
  <c r="Q58" i="2"/>
  <c r="AA57" i="2"/>
  <c r="AB57" i="2" s="1"/>
  <c r="AE56" i="2"/>
  <c r="L57" i="2"/>
  <c r="W56" i="2"/>
  <c r="X56" i="2" s="1"/>
  <c r="M56" i="2"/>
  <c r="N56" i="2" s="1"/>
  <c r="O56" i="2" s="1"/>
  <c r="AH58" i="2" l="1"/>
  <c r="R58" i="2"/>
  <c r="S58" i="2" s="1"/>
  <c r="T58" i="2" s="1"/>
  <c r="Q59" i="2"/>
  <c r="AA58" i="2"/>
  <c r="AB58" i="2" s="1"/>
  <c r="AE57" i="2"/>
  <c r="L58" i="2"/>
  <c r="W57" i="2"/>
  <c r="X57" i="2" s="1"/>
  <c r="M57" i="2"/>
  <c r="N57" i="2" s="1"/>
  <c r="O57" i="2" s="1"/>
  <c r="Q60" i="2" l="1"/>
  <c r="AH59" i="2"/>
  <c r="AA59" i="2"/>
  <c r="AB59" i="2" s="1"/>
  <c r="R59" i="2"/>
  <c r="S59" i="2" s="1"/>
  <c r="T59" i="2" s="1"/>
  <c r="AE58" i="2"/>
  <c r="M58" i="2"/>
  <c r="N58" i="2" s="1"/>
  <c r="O58" i="2" s="1"/>
  <c r="L59" i="2"/>
  <c r="W58" i="2"/>
  <c r="X58" i="2" s="1"/>
  <c r="AE59" i="2" l="1"/>
  <c r="L60" i="2"/>
  <c r="W59" i="2"/>
  <c r="X59" i="2" s="1"/>
  <c r="M59" i="2"/>
  <c r="N59" i="2" s="1"/>
  <c r="O59" i="2" s="1"/>
  <c r="Q61" i="2"/>
  <c r="AH60" i="2"/>
  <c r="R60" i="2"/>
  <c r="S60" i="2" s="1"/>
  <c r="T60" i="2" s="1"/>
  <c r="AA60" i="2"/>
  <c r="AB60" i="2" s="1"/>
  <c r="AE60" i="2" l="1"/>
  <c r="L61" i="2"/>
  <c r="W60" i="2"/>
  <c r="X60" i="2" s="1"/>
  <c r="M60" i="2"/>
  <c r="N60" i="2" s="1"/>
  <c r="O60" i="2" s="1"/>
  <c r="AH61" i="2"/>
  <c r="Q62" i="2"/>
  <c r="AA61" i="2"/>
  <c r="AB61" i="2" s="1"/>
  <c r="R61" i="2"/>
  <c r="S61" i="2" s="1"/>
  <c r="T61" i="2" s="1"/>
  <c r="AH62" i="2" l="1"/>
  <c r="AA62" i="2"/>
  <c r="AB62" i="2" s="1"/>
  <c r="R62" i="2"/>
  <c r="S62" i="2" s="1"/>
  <c r="T62" i="2" s="1"/>
  <c r="AE61" i="2"/>
  <c r="L62" i="2"/>
  <c r="M61" i="2"/>
  <c r="N61" i="2" s="1"/>
  <c r="O61" i="2" s="1"/>
  <c r="W61" i="2"/>
  <c r="X61" i="2" s="1"/>
  <c r="AE62" i="2" l="1"/>
  <c r="W62" i="2"/>
  <c r="X62" i="2" s="1"/>
  <c r="M62" i="2"/>
  <c r="N62" i="2" s="1"/>
  <c r="O62" i="2" s="1"/>
</calcChain>
</file>

<file path=xl/sharedStrings.xml><?xml version="1.0" encoding="utf-8"?>
<sst xmlns="http://schemas.openxmlformats.org/spreadsheetml/2006/main" count="1143" uniqueCount="212">
  <si>
    <t>Nettohyöty</t>
  </si>
  <si>
    <t>Infrahankkeille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</si>
  <si>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</t>
    </r>
  </si>
  <si>
    <t>Liikennöintimuutoksille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</si>
  <si>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ioy</t>
    </r>
  </si>
  <si>
    <t>Hyodyt</t>
  </si>
  <si>
    <t>Kustannukset</t>
  </si>
  <si>
    <t>M€</t>
  </si>
  <si>
    <t>Vaikutukset vaylanpidon kustannuksiin</t>
  </si>
  <si>
    <t>Investointikustannukset</t>
  </si>
  <si>
    <t>Kayttajahyodyt (ajoneuvo- ja aikakustannukset)</t>
  </si>
  <si>
    <t>Summa</t>
  </si>
  <si>
    <t>Kayttajahyodyt (lippumenot)</t>
  </si>
  <si>
    <t>Käyttäjähyödyt (verot ja maksut)</t>
  </si>
  <si>
    <t>Tuottajan ylijäämän muutos (liikennöintikustannus)</t>
  </si>
  <si>
    <t>Tuottajan ylijäämän muutos (verot ja maksut)</t>
  </si>
  <si>
    <t>Tuottajan ylijäämän muutos (tulot liikennepalveluista)</t>
  </si>
  <si>
    <t>Turvallisuusvaikutukset</t>
  </si>
  <si>
    <t>Ympäristövaikutukset (päästökustannukset)</t>
  </si>
  <si>
    <t>Ympäristövaikutukset (melukustannukset)</t>
  </si>
  <si>
    <t>Vaikutukset julkistalouteen (vero-, maksu- ja muut tulot)</t>
  </si>
  <si>
    <t>Vaikutukset julkistalouteen (tuet, ostot ja muut menot)</t>
  </si>
  <si>
    <t>Investoinnin jäännösarvo</t>
  </si>
  <si>
    <t>Investointi</t>
  </si>
  <si>
    <t>Hyödyt 1</t>
  </si>
  <si>
    <t>Hyödyt 2</t>
  </si>
  <si>
    <t>Ajokustannukset 1</t>
  </si>
  <si>
    <t>Ajokustannukset 2</t>
  </si>
  <si>
    <t>Muut kustannukset 1</t>
  </si>
  <si>
    <t>Muut kustannukset 2</t>
  </si>
  <si>
    <t>Diskonttausvuosi</t>
  </si>
  <si>
    <t>Vuosi</t>
  </si>
  <si>
    <t>Kustannus</t>
  </si>
  <si>
    <t>Diskontto</t>
  </si>
  <si>
    <t>Nimellinen</t>
  </si>
  <si>
    <t>Reaali</t>
  </si>
  <si>
    <t>Avausvuosi 1</t>
  </si>
  <si>
    <t>Ennustevuosi 1</t>
  </si>
  <si>
    <t>Avausvuosi 2</t>
  </si>
  <si>
    <t>Ennustevuosi 2</t>
  </si>
  <si>
    <t>Tarkastelujakso [vuotta]</t>
  </si>
  <si>
    <t>Laskentakorko</t>
  </si>
  <si>
    <t>Yksikköarvojen korko</t>
  </si>
  <si>
    <t>Hyötyindeksi ev 1</t>
  </si>
  <si>
    <t>Hyötyindeksi ev 2</t>
  </si>
  <si>
    <t>Hyötyjen kasvu</t>
  </si>
  <si>
    <t>Hyötykerroin ennuste 1</t>
  </si>
  <si>
    <t>Hyötykerroin ennuste 2</t>
  </si>
  <si>
    <t>Ajokustannusindeksi ev 1</t>
  </si>
  <si>
    <t>Ajokustannusindeksi ev 2</t>
  </si>
  <si>
    <t>Kustannusten kasvu</t>
  </si>
  <si>
    <t>Ajokustannuskerroin 1</t>
  </si>
  <si>
    <t>Ajokustannuskerroin 2</t>
  </si>
  <si>
    <t>Muu kustannuskerroin 1</t>
  </si>
  <si>
    <t>Muu kustannuskerroin 2</t>
  </si>
  <si>
    <t>Aikasäästön arvo</t>
  </si>
  <si>
    <t>Henkilöauto</t>
  </si>
  <si>
    <t>Joukkoliikenne</t>
  </si>
  <si>
    <t>Aikasäästöt</t>
  </si>
  <si>
    <t>AHT</t>
  </si>
  <si>
    <t>päivä</t>
  </si>
  <si>
    <t>IHT</t>
  </si>
  <si>
    <t>Yht</t>
  </si>
  <si>
    <t>Vuositasolla</t>
  </si>
  <si>
    <t>Vanhat matkustajat</t>
  </si>
  <si>
    <t>Uudet matkustajat</t>
  </si>
  <si>
    <t>Summa nykyarvo</t>
  </si>
  <si>
    <t>Ajoneuvokustannussäästöt</t>
  </si>
  <si>
    <t>Tiemaksut ja lippumenot</t>
  </si>
  <si>
    <t>Ajoneuvokustannus: Taustataulukot / verot</t>
  </si>
  <si>
    <t>Lähde: Kevyt ja raskasajoneuvo, mukana ei ole ajoneuvoyhdistelmiä, vaan otettu jaottelu kevyt ja ajoneuvoyhdistelmä: http://www.liikennevirasto.fi/documents/20473/34253/Tie-+ja+rautatieliikenteen+hankearvioinnin+yksikk%C3%B6arvot+2013.pdf/5f165edd-c827-4f2a-95a6-5b17649340d4</t>
  </si>
  <si>
    <t>Euroa / km</t>
  </si>
  <si>
    <t>Veroton</t>
  </si>
  <si>
    <t>Vero</t>
  </si>
  <si>
    <t>Yhteensä</t>
  </si>
  <si>
    <t>Pakettiauto</t>
  </si>
  <si>
    <t>Linja-auto</t>
  </si>
  <si>
    <t>Kuorma-auto</t>
  </si>
  <si>
    <t>Ajoneuvoyhdistelmä</t>
  </si>
  <si>
    <t>Suoritemuutos</t>
  </si>
  <si>
    <t>Kustannus vero</t>
  </si>
  <si>
    <t>Kustannus veroton</t>
  </si>
  <si>
    <t>Joukkoliikenne: Taustataulukot / verot</t>
  </si>
  <si>
    <t>Liikennöintikustannus</t>
  </si>
  <si>
    <t>Laskentakaava:</t>
  </si>
  <si>
    <t>Liikennöinti</t>
  </si>
  <si>
    <t>Per liik-km</t>
  </si>
  <si>
    <t>Per liik-tunti</t>
  </si>
  <si>
    <t>Per asemavuosi</t>
  </si>
  <si>
    <t>Liik-km</t>
  </si>
  <si>
    <t>Liik-tuntia</t>
  </si>
  <si>
    <t>Asemaa</t>
  </si>
  <si>
    <t>Eur</t>
  </si>
  <si>
    <t>Bussi</t>
  </si>
  <si>
    <t>Runkobussi</t>
  </si>
  <si>
    <t>Raitiovaunu</t>
  </si>
  <si>
    <t>Metro</t>
  </si>
  <si>
    <t>Lähijuna</t>
  </si>
  <si>
    <t>Verot ja maksut</t>
  </si>
  <si>
    <t>Muutos veroissa</t>
  </si>
  <si>
    <t>Tulot liikennepalveluista / lipputulojen muutos</t>
  </si>
  <si>
    <t>PAI</t>
  </si>
  <si>
    <t>Lipputulojen muutos</t>
  </si>
  <si>
    <t>Väylänpidon kustannukset</t>
  </si>
  <si>
    <t>Kuluminen</t>
  </si>
  <si>
    <t>Per ajo-km</t>
  </si>
  <si>
    <t>Ajo-km</t>
  </si>
  <si>
    <t>Päästöt</t>
  </si>
  <si>
    <t>Henkilövahingot</t>
  </si>
  <si>
    <t>Lähde: Onnettomuustilastoista / Tavoite ja mittarit excelistä</t>
  </si>
  <si>
    <t>Per km</t>
  </si>
  <si>
    <t>Taajama</t>
  </si>
  <si>
    <t>Haja-asutus</t>
  </si>
  <si>
    <t>– moottoritiet (vdf=1)</t>
  </si>
  <si>
    <t>– muut pääväylät eritasoliittymin (vdf=2)</t>
  </si>
  <si>
    <t>– useampikaistaiset pääkadut tasoliittymin (vdf=3)</t>
  </si>
  <si>
    <t>– muut pääkadut (vdf=4)</t>
  </si>
  <si>
    <t>– kokooja- ja tonttikadut (vdf=5)</t>
  </si>
  <si>
    <t>– muut väylät ja syötöt (vdf jokin muu)</t>
  </si>
  <si>
    <t>Eur/onn</t>
  </si>
  <si>
    <t>Yhdistelmä</t>
  </si>
  <si>
    <t>Onnettomuudet</t>
  </si>
  <si>
    <t>Melu</t>
  </si>
  <si>
    <t>Suorite</t>
  </si>
  <si>
    <t>Moottoritie</t>
  </si>
  <si>
    <t>Muut pääväylät eritasoliittymin</t>
  </si>
  <si>
    <t>Useampikaistaiset pääkadut</t>
  </si>
  <si>
    <t>Muut pääkadut</t>
  </si>
  <si>
    <t>Kokooja- ja tonttikadut</t>
  </si>
  <si>
    <t>Muut väylät ja syötöt</t>
  </si>
  <si>
    <t>Lipasto</t>
  </si>
  <si>
    <t>g/km</t>
  </si>
  <si>
    <t>eur/tonni</t>
  </si>
  <si>
    <t>eur/km</t>
  </si>
  <si>
    <t>HC</t>
  </si>
  <si>
    <t>NOx</t>
  </si>
  <si>
    <t>PM</t>
  </si>
  <si>
    <t>CO2</t>
  </si>
  <si>
    <t>Bussi (diesel)</t>
  </si>
  <si>
    <t>6t</t>
  </si>
  <si>
    <t>15t</t>
  </si>
  <si>
    <t>40t</t>
  </si>
  <si>
    <t>60t</t>
  </si>
  <si>
    <t>"Käyttäjähyödyt välilehdeltä"</t>
  </si>
  <si>
    <t>Verot yhteensä = Joukkoliikenteen suorite-km * vero€-km + ajoneuvoliikenteen suoritteet-km*verot€-km</t>
  </si>
  <si>
    <t>Polttoainevero</t>
  </si>
  <si>
    <t>Tuet, ostot ja muut menot</t>
  </si>
  <si>
    <t>Vienti vuotuiselle tasolle suunnitteluvuodelle.</t>
  </si>
  <si>
    <t>Jäännösosuus</t>
  </si>
  <si>
    <t>Jäännösarvo</t>
  </si>
  <si>
    <t>Hanke 6</t>
  </si>
  <si>
    <t>Hanke 7</t>
  </si>
  <si>
    <t>Hanke 8</t>
  </si>
  <si>
    <t>Hanke 9</t>
  </si>
  <si>
    <t>Hanke 10</t>
  </si>
  <si>
    <t>Hanke 11</t>
  </si>
  <si>
    <t>Hanke 12</t>
  </si>
  <si>
    <t>Hanke 13</t>
  </si>
  <si>
    <t>Hanke 14</t>
  </si>
  <si>
    <t>Diskonttaus</t>
  </si>
  <si>
    <t>Hanke 1</t>
  </si>
  <si>
    <t>Hanke 2</t>
  </si>
  <si>
    <t>Hanke 3</t>
  </si>
  <si>
    <t>Hanke 4</t>
  </si>
  <si>
    <t>Hanke 5</t>
  </si>
  <si>
    <t>työmatkat</t>
  </si>
  <si>
    <t>Kuorma-autot</t>
  </si>
  <si>
    <t>vapaa-aika</t>
  </si>
  <si>
    <t>Henkilöauto työ</t>
  </si>
  <si>
    <t>Henkilöauto vapaa-aika</t>
  </si>
  <si>
    <t>Työssäkäyntimatka</t>
  </si>
  <si>
    <t>Vapaa-ajan matka</t>
  </si>
  <si>
    <t>Joukkoliikenne työ</t>
  </si>
  <si>
    <t>Joukkoliikenne vapaa-aika</t>
  </si>
  <si>
    <t>Pyöräliikenne työ</t>
  </si>
  <si>
    <t>Pyöräliikenne vapaa-aika</t>
  </si>
  <si>
    <t>Polkupyörä</t>
  </si>
  <si>
    <t>Henkilöauton keskikuormitus</t>
  </si>
  <si>
    <t>Pakettiautot</t>
  </si>
  <si>
    <t>Verokerroin</t>
  </si>
  <si>
    <t>Työasiamatka</t>
  </si>
  <si>
    <t>Auto</t>
  </si>
  <si>
    <t>Joukkoliikenne (juna)</t>
  </si>
  <si>
    <t>Lähde: Väylävirasto yksikköarvot</t>
  </si>
  <si>
    <t>Tie, raskaat ajoneuvot</t>
  </si>
  <si>
    <t>Tie, kevyet ajoneuvot</t>
  </si>
  <si>
    <t>Vuosilaajennus</t>
  </si>
  <si>
    <t>Matka-aika [min]</t>
  </si>
  <si>
    <t>Etäisyys [km]</t>
  </si>
  <si>
    <t>Maksut [eur]</t>
  </si>
  <si>
    <t>Jakson (6-9, 9-15, 15-18) tuntiosuudet</t>
  </si>
  <si>
    <t>Melutaso dB(A)</t>
  </si>
  <si>
    <t>50-54</t>
  </si>
  <si>
    <t>55-59</t>
  </si>
  <si>
    <t>60-64</t>
  </si>
  <si>
    <t>65-69</t>
  </si>
  <si>
    <t>70-75</t>
  </si>
  <si>
    <t>Euroa/asukas/vuosi</t>
  </si>
  <si>
    <t>Painotus</t>
  </si>
  <si>
    <t>Meluhaitta (eur/v/as)</t>
  </si>
  <si>
    <t>Meluvyöhykkeellä asuvat</t>
  </si>
  <si>
    <t>Liik-min</t>
  </si>
  <si>
    <t>Kunnossapitokustannukset</t>
  </si>
  <si>
    <t>Per tie-km vuodessa</t>
  </si>
  <si>
    <t>Useampikaistainen (vdf=2,3)</t>
  </si>
  <si>
    <t>Moottoritie (vdf=1)</t>
  </si>
  <si>
    <t>Muu tie tai katu (vdf=4,5)</t>
  </si>
  <si>
    <t>Junarata</t>
  </si>
  <si>
    <t>Metrorata</t>
  </si>
  <si>
    <t>Ratikkarata</t>
  </si>
  <si>
    <t>Tie-km</t>
  </si>
  <si>
    <t>Kunnossapito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</si>
</sst>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 %"/>
    <numFmt numFmtId="165" formatCode="0.000"/>
    <numFmt numFmtId="166" formatCode="0.0000"/>
    <numFmt numFmtId="167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9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1" fontId="0" fillId="0" borderId="1" xfId="0" applyNumberFormat="1" applyBorder="1"/>
    <xf numFmtId="0" fontId="3" fillId="0" borderId="0" xfId="0" applyFont="1"/>
    <xf numFmtId="165" fontId="0" fillId="0" borderId="0" xfId="0" applyNumberFormat="1"/>
    <xf numFmtId="0" fontId="4" fillId="0" borderId="0" xfId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24" xfId="0" applyBorder="1"/>
    <xf numFmtId="0" fontId="1" fillId="0" borderId="11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0" xfId="0" applyBorder="1"/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23" xfId="0" applyBorder="1"/>
    <xf numFmtId="0" fontId="0" fillId="0" borderId="35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1" fillId="0" borderId="36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40" xfId="0" applyFont="1" applyBorder="1"/>
    <xf numFmtId="0" fontId="0" fillId="0" borderId="33" xfId="0" applyBorder="1"/>
    <xf numFmtId="0" fontId="0" fillId="0" borderId="42" xfId="0" applyBorder="1"/>
    <xf numFmtId="0" fontId="0" fillId="0" borderId="43" xfId="0" applyBorder="1"/>
    <xf numFmtId="167" fontId="0" fillId="0" borderId="0" xfId="0" applyNumberFormat="1"/>
    <xf numFmtId="1" fontId="0" fillId="0" borderId="7" xfId="0" applyNumberForma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6" xfId="0" applyBorder="1"/>
    <xf numFmtId="3" fontId="0" fillId="0" borderId="16" xfId="0" applyNumberFormat="1" applyBorder="1"/>
    <xf numFmtId="3" fontId="0" fillId="0" borderId="41" xfId="0" applyNumberFormat="1" applyBorder="1"/>
    <xf numFmtId="3" fontId="0" fillId="0" borderId="18" xfId="0" applyNumberFormat="1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0" fontId="0" fillId="0" borderId="48" xfId="0" applyBorder="1"/>
    <xf numFmtId="1" fontId="0" fillId="0" borderId="50" xfId="0" applyNumberFormat="1" applyBorder="1"/>
    <xf numFmtId="0" fontId="0" fillId="0" borderId="55" xfId="0" applyBorder="1"/>
    <xf numFmtId="0" fontId="1" fillId="0" borderId="43" xfId="0" applyFont="1" applyBorder="1"/>
    <xf numFmtId="0" fontId="1" fillId="0" borderId="21" xfId="0" applyFont="1" applyBorder="1"/>
    <xf numFmtId="0" fontId="0" fillId="0" borderId="49" xfId="0" applyBorder="1"/>
    <xf numFmtId="0" fontId="0" fillId="0" borderId="57" xfId="0" applyBorder="1"/>
    <xf numFmtId="3" fontId="0" fillId="0" borderId="52" xfId="0" applyNumberFormat="1" applyBorder="1"/>
    <xf numFmtId="0" fontId="0" fillId="0" borderId="22" xfId="0" applyBorder="1" applyAlignment="1">
      <alignment horizontal="center"/>
    </xf>
    <xf numFmtId="0" fontId="0" fillId="0" borderId="50" xfId="0" applyBorder="1"/>
    <xf numFmtId="0" fontId="0" fillId="0" borderId="60" xfId="0" applyBorder="1"/>
    <xf numFmtId="3" fontId="0" fillId="0" borderId="55" xfId="0" applyNumberFormat="1" applyBorder="1"/>
    <xf numFmtId="0" fontId="0" fillId="0" borderId="62" xfId="0" applyBorder="1"/>
    <xf numFmtId="3" fontId="0" fillId="0" borderId="61" xfId="0" applyNumberFormat="1" applyBorder="1"/>
    <xf numFmtId="3" fontId="0" fillId="0" borderId="11" xfId="0" applyNumberFormat="1" applyBorder="1"/>
    <xf numFmtId="1" fontId="0" fillId="0" borderId="51" xfId="0" applyNumberFormat="1" applyBorder="1"/>
    <xf numFmtId="1" fontId="0" fillId="0" borderId="63" xfId="0" applyNumberFormat="1" applyBorder="1"/>
    <xf numFmtId="2" fontId="7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1" fillId="0" borderId="14" xfId="0" applyFont="1" applyBorder="1"/>
    <xf numFmtId="1" fontId="0" fillId="0" borderId="61" xfId="0" applyNumberFormat="1" applyBorder="1"/>
    <xf numFmtId="0" fontId="0" fillId="0" borderId="11" xfId="0" applyBorder="1"/>
    <xf numFmtId="0" fontId="9" fillId="0" borderId="0" xfId="0" applyFont="1"/>
    <xf numFmtId="0" fontId="0" fillId="0" borderId="64" xfId="0" applyBorder="1"/>
    <xf numFmtId="0" fontId="0" fillId="0" borderId="65" xfId="0" applyBorder="1"/>
    <xf numFmtId="0" fontId="0" fillId="0" borderId="66" xfId="0" applyBorder="1"/>
    <xf numFmtId="3" fontId="0" fillId="0" borderId="0" xfId="0" applyNumberFormat="1"/>
    <xf numFmtId="3" fontId="0" fillId="0" borderId="17" xfId="0" applyNumberFormat="1" applyBorder="1"/>
    <xf numFmtId="1" fontId="0" fillId="0" borderId="58" xfId="0" applyNumberFormat="1" applyBorder="1"/>
    <xf numFmtId="1" fontId="0" fillId="0" borderId="0" xfId="0" applyNumberFormat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3" xfId="0" applyNumberFormat="1" applyBorder="1"/>
    <xf numFmtId="3" fontId="0" fillId="0" borderId="14" xfId="0" applyNumberFormat="1" applyBorder="1"/>
    <xf numFmtId="3" fontId="0" fillId="0" borderId="10" xfId="0" applyNumberFormat="1" applyBorder="1"/>
    <xf numFmtId="3" fontId="0" fillId="0" borderId="33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0" fontId="0" fillId="2" borderId="0" xfId="0" applyFill="1"/>
    <xf numFmtId="0" fontId="9" fillId="2" borderId="0" xfId="0" applyFont="1" applyFill="1"/>
    <xf numFmtId="3" fontId="0" fillId="5" borderId="7" xfId="0" applyNumberFormat="1" applyFill="1" applyBorder="1"/>
    <xf numFmtId="3" fontId="0" fillId="5" borderId="52" xfId="0" applyNumberFormat="1" applyFill="1" applyBorder="1"/>
    <xf numFmtId="3" fontId="1" fillId="5" borderId="19" xfId="0" applyNumberFormat="1" applyFont="1" applyFill="1" applyBorder="1"/>
    <xf numFmtId="3" fontId="1" fillId="5" borderId="55" xfId="0" applyNumberFormat="1" applyFont="1" applyFill="1" applyBorder="1"/>
    <xf numFmtId="3" fontId="0" fillId="5" borderId="36" xfId="0" applyNumberFormat="1" applyFill="1" applyBorder="1"/>
    <xf numFmtId="3" fontId="0" fillId="5" borderId="29" xfId="0" applyNumberFormat="1" applyFill="1" applyBorder="1"/>
    <xf numFmtId="3" fontId="0" fillId="5" borderId="55" xfId="0" applyNumberFormat="1" applyFill="1" applyBorder="1"/>
    <xf numFmtId="3" fontId="0" fillId="5" borderId="11" xfId="0" applyNumberFormat="1" applyFill="1" applyBorder="1"/>
    <xf numFmtId="0" fontId="0" fillId="5" borderId="52" xfId="0" applyFill="1" applyBorder="1"/>
    <xf numFmtId="0" fontId="0" fillId="0" borderId="63" xfId="0" applyBorder="1"/>
    <xf numFmtId="1" fontId="0" fillId="4" borderId="11" xfId="0" applyNumberFormat="1" applyFill="1" applyBorder="1"/>
    <xf numFmtId="0" fontId="11" fillId="0" borderId="0" xfId="0" applyFont="1"/>
    <xf numFmtId="3" fontId="0" fillId="0" borderId="5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2" fillId="0" borderId="0" xfId="0" applyFont="1"/>
    <xf numFmtId="3" fontId="12" fillId="3" borderId="11" xfId="0" applyNumberFormat="1" applyFont="1" applyFill="1" applyBorder="1"/>
    <xf numFmtId="0" fontId="13" fillId="0" borderId="11" xfId="0" applyFont="1" applyBorder="1"/>
    <xf numFmtId="0" fontId="13" fillId="0" borderId="0" xfId="0" applyFont="1"/>
    <xf numFmtId="3" fontId="12" fillId="3" borderId="36" xfId="0" applyNumberFormat="1" applyFont="1" applyFill="1" applyBorder="1"/>
    <xf numFmtId="3" fontId="12" fillId="3" borderId="37" xfId="0" applyNumberFormat="1" applyFont="1" applyFill="1" applyBorder="1"/>
    <xf numFmtId="3" fontId="12" fillId="3" borderId="55" xfId="0" applyNumberFormat="1" applyFont="1" applyFill="1" applyBorder="1"/>
    <xf numFmtId="3" fontId="13" fillId="3" borderId="55" xfId="0" applyNumberFormat="1" applyFont="1" applyFill="1" applyBorder="1"/>
    <xf numFmtId="0" fontId="13" fillId="3" borderId="11" xfId="0" applyFont="1" applyFill="1" applyBorder="1"/>
    <xf numFmtId="0" fontId="14" fillId="0" borderId="0" xfId="0" applyFont="1"/>
    <xf numFmtId="3" fontId="0" fillId="6" borderId="15" xfId="0" applyNumberFormat="1" applyFill="1" applyBorder="1"/>
    <xf numFmtId="3" fontId="0" fillId="6" borderId="7" xfId="0" applyNumberFormat="1" applyFill="1" applyBorder="1"/>
    <xf numFmtId="1" fontId="0" fillId="6" borderId="15" xfId="0" applyNumberFormat="1" applyFill="1" applyBorder="1"/>
    <xf numFmtId="1" fontId="0" fillId="6" borderId="7" xfId="0" applyNumberFormat="1" applyFill="1" applyBorder="1"/>
    <xf numFmtId="1" fontId="0" fillId="0" borderId="18" xfId="0" applyNumberFormat="1" applyBorder="1"/>
    <xf numFmtId="2" fontId="0" fillId="7" borderId="7" xfId="0" applyNumberFormat="1" applyFill="1" applyBorder="1"/>
    <xf numFmtId="2" fontId="0" fillId="7" borderId="58" xfId="0" applyNumberFormat="1" applyFill="1" applyBorder="1"/>
    <xf numFmtId="1" fontId="16" fillId="6" borderId="7" xfId="0" applyNumberFormat="1" applyFont="1" applyFill="1" applyBorder="1"/>
    <xf numFmtId="0" fontId="0" fillId="7" borderId="7" xfId="0" applyFill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10" xfId="0" applyNumberFormat="1" applyBorder="1"/>
    <xf numFmtId="166" fontId="0" fillId="0" borderId="33" xfId="0" applyNumberFormat="1" applyBorder="1"/>
    <xf numFmtId="166" fontId="0" fillId="0" borderId="41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41" xfId="0" applyNumberFormat="1" applyBorder="1"/>
    <xf numFmtId="0" fontId="0" fillId="6" borderId="33" xfId="0" applyFill="1" applyBorder="1"/>
    <xf numFmtId="0" fontId="0" fillId="6" borderId="7" xfId="0" applyFill="1" applyBorder="1"/>
    <xf numFmtId="0" fontId="0" fillId="6" borderId="58" xfId="0" applyFill="1" applyBorder="1"/>
    <xf numFmtId="0" fontId="0" fillId="6" borderId="9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41" xfId="0" applyFill="1" applyBorder="1"/>
    <xf numFmtId="0" fontId="0" fillId="6" borderId="18" xfId="0" applyFill="1" applyBorder="1"/>
    <xf numFmtId="0" fontId="0" fillId="6" borderId="59" xfId="0" applyFill="1" applyBorder="1"/>
    <xf numFmtId="165" fontId="0" fillId="7" borderId="0" xfId="0" applyNumberFormat="1" applyFill="1"/>
    <xf numFmtId="1" fontId="0" fillId="7" borderId="0" xfId="0" applyNumberFormat="1" applyFill="1"/>
    <xf numFmtId="0" fontId="0" fillId="7" borderId="0" xfId="0" applyFill="1"/>
    <xf numFmtId="166" fontId="0" fillId="0" borderId="0" xfId="0" applyNumberFormat="1"/>
    <xf numFmtId="1" fontId="13" fillId="8" borderId="11" xfId="0" applyNumberFormat="1" applyFont="1" applyFill="1" applyBorder="1" applyAlignment="1">
      <alignment horizontal="center"/>
    </xf>
    <xf numFmtId="1" fontId="0" fillId="8" borderId="11" xfId="0" applyNumberFormat="1" applyFill="1" applyBorder="1"/>
    <xf numFmtId="1" fontId="0" fillId="6" borderId="17" xfId="0" applyNumberFormat="1" applyFill="1" applyBorder="1"/>
    <xf numFmtId="1" fontId="0" fillId="6" borderId="18" xfId="0" applyNumberFormat="1" applyFill="1" applyBorder="1"/>
    <xf numFmtId="0" fontId="0" fillId="0" borderId="40" xfId="0" applyBorder="1"/>
    <xf numFmtId="3" fontId="1" fillId="9" borderId="19" xfId="0" applyNumberFormat="1" applyFont="1" applyFill="1" applyBorder="1"/>
    <xf numFmtId="164" fontId="0" fillId="0" borderId="0" xfId="0" applyNumberFormat="1"/>
    <xf numFmtId="164" fontId="0" fillId="0" borderId="0" xfId="2" applyNumberFormat="1" applyFont="1"/>
    <xf numFmtId="0" fontId="0" fillId="7" borderId="4" xfId="0" applyFill="1" applyBorder="1"/>
    <xf numFmtId="0" fontId="0" fillId="7" borderId="5" xfId="0" applyFill="1" applyBorder="1"/>
    <xf numFmtId="0" fontId="0" fillId="0" borderId="8" xfId="0" applyBorder="1"/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9" borderId="33" xfId="0" applyFill="1" applyBorder="1"/>
    <xf numFmtId="0" fontId="0" fillId="9" borderId="7" xfId="0" applyFill="1" applyBorder="1"/>
    <xf numFmtId="1" fontId="0" fillId="9" borderId="58" xfId="0" applyNumberFormat="1" applyFill="1" applyBorder="1"/>
    <xf numFmtId="0" fontId="0" fillId="9" borderId="58" xfId="0" applyFill="1" applyBorder="1"/>
    <xf numFmtId="1" fontId="7" fillId="0" borderId="11" xfId="0" applyNumberFormat="1" applyFont="1" applyBorder="1" applyAlignment="1">
      <alignment horizontal="center"/>
    </xf>
    <xf numFmtId="3" fontId="0" fillId="0" borderId="19" xfId="0" applyNumberFormat="1" applyBorder="1"/>
    <xf numFmtId="0" fontId="0" fillId="0" borderId="0" xfId="0" applyFill="1"/>
    <xf numFmtId="3" fontId="0" fillId="0" borderId="38" xfId="0" applyNumberFormat="1" applyBorder="1"/>
    <xf numFmtId="3" fontId="0" fillId="0" borderId="34" xfId="0" applyNumberFormat="1" applyBorder="1"/>
    <xf numFmtId="0" fontId="0" fillId="0" borderId="0" xfId="0" applyFill="1" applyBorder="1"/>
    <xf numFmtId="9" fontId="0" fillId="0" borderId="0" xfId="2" applyNumberFormat="1" applyFont="1" applyFill="1" applyBorder="1"/>
    <xf numFmtId="3" fontId="0" fillId="0" borderId="0" xfId="0" applyNumberFormat="1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0" fontId="9" fillId="0" borderId="0" xfId="0" applyFont="1" applyFill="1" applyBorder="1"/>
    <xf numFmtId="3" fontId="0" fillId="0" borderId="57" xfId="0" applyNumberFormat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10" fontId="0" fillId="7" borderId="5" xfId="0" applyNumberFormat="1" applyFill="1" applyBorder="1"/>
    <xf numFmtId="0" fontId="0" fillId="7" borderId="49" xfId="0" applyFill="1" applyBorder="1"/>
    <xf numFmtId="2" fontId="0" fillId="7" borderId="49" xfId="0" applyNumberFormat="1" applyFill="1" applyBorder="1"/>
    <xf numFmtId="0" fontId="0" fillId="7" borderId="50" xfId="0" applyFill="1" applyBorder="1"/>
    <xf numFmtId="0" fontId="0" fillId="7" borderId="0" xfId="0" applyFill="1" applyBorder="1"/>
    <xf numFmtId="0" fontId="0" fillId="7" borderId="48" xfId="0" applyFill="1" applyBorder="1"/>
    <xf numFmtId="0" fontId="0" fillId="0" borderId="67" xfId="0" applyFill="1" applyBorder="1"/>
    <xf numFmtId="0" fontId="0" fillId="0" borderId="55" xfId="0" applyFill="1" applyBorder="1"/>
    <xf numFmtId="2" fontId="0" fillId="7" borderId="0" xfId="0" applyNumberFormat="1" applyFill="1" applyBorder="1"/>
    <xf numFmtId="0" fontId="0" fillId="0" borderId="67" xfId="0" applyBorder="1"/>
    <xf numFmtId="0" fontId="0" fillId="7" borderId="53" xfId="0" applyFill="1" applyBorder="1"/>
    <xf numFmtId="0" fontId="0" fillId="7" borderId="55" xfId="0" applyFill="1" applyBorder="1"/>
    <xf numFmtId="0" fontId="0" fillId="7" borderId="6" xfId="0" applyFill="1" applyBorder="1"/>
    <xf numFmtId="0" fontId="0" fillId="7" borderId="47" xfId="0" applyFill="1" applyBorder="1"/>
    <xf numFmtId="2" fontId="0" fillId="7" borderId="44" xfId="0" applyNumberFormat="1" applyFill="1" applyBorder="1"/>
    <xf numFmtId="2" fontId="0" fillId="7" borderId="45" xfId="0" applyNumberFormat="1" applyFill="1" applyBorder="1"/>
    <xf numFmtId="0" fontId="0" fillId="7" borderId="45" xfId="0" applyFill="1" applyBorder="1"/>
    <xf numFmtId="0" fontId="0" fillId="7" borderId="46" xfId="0" applyFill="1" applyBorder="1"/>
    <xf numFmtId="2" fontId="0" fillId="7" borderId="23" xfId="0" applyNumberFormat="1" applyFill="1" applyBorder="1"/>
    <xf numFmtId="9" fontId="0" fillId="7" borderId="54" xfId="0" applyNumberFormat="1" applyFill="1" applyBorder="1"/>
    <xf numFmtId="9" fontId="0" fillId="7" borderId="66" xfId="0" applyNumberFormat="1" applyFill="1" applyBorder="1"/>
    <xf numFmtId="0" fontId="0" fillId="7" borderId="66" xfId="0" applyFill="1" applyBorder="1"/>
    <xf numFmtId="0" fontId="0" fillId="7" borderId="31" xfId="0" applyFill="1" applyBorder="1"/>
    <xf numFmtId="3" fontId="0" fillId="0" borderId="42" xfId="0" applyNumberFormat="1" applyBorder="1"/>
    <xf numFmtId="3" fontId="0" fillId="0" borderId="30" xfId="0" applyNumberFormat="1" applyBorder="1"/>
    <xf numFmtId="3" fontId="0" fillId="5" borderId="43" xfId="0" applyNumberFormat="1" applyFill="1" applyBorder="1"/>
    <xf numFmtId="3" fontId="15" fillId="3" borderId="11" xfId="0" applyNumberFormat="1" applyFont="1" applyFill="1" applyBorder="1"/>
    <xf numFmtId="3" fontId="15" fillId="3" borderId="11" xfId="0" applyNumberFormat="1" applyFont="1" applyFill="1" applyBorder="1" applyAlignment="1">
      <alignment horizontal="center"/>
    </xf>
    <xf numFmtId="3" fontId="0" fillId="0" borderId="27" xfId="0" applyNumberFormat="1" applyBorder="1"/>
    <xf numFmtId="3" fontId="0" fillId="0" borderId="39" xfId="0" applyNumberFormat="1" applyBorder="1"/>
    <xf numFmtId="0" fontId="0" fillId="7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3" fontId="0" fillId="7" borderId="33" xfId="0" applyNumberFormat="1" applyFill="1" applyBorder="1"/>
    <xf numFmtId="0" fontId="0" fillId="0" borderId="7" xfId="0" applyFill="1" applyBorder="1"/>
    <xf numFmtId="0" fontId="0" fillId="0" borderId="66" xfId="0" applyFill="1" applyBorder="1"/>
    <xf numFmtId="0" fontId="0" fillId="0" borderId="30" xfId="0" applyFill="1" applyBorder="1"/>
    <xf numFmtId="164" fontId="0" fillId="7" borderId="12" xfId="0" applyNumberFormat="1" applyFill="1" applyBorder="1"/>
    <xf numFmtId="164" fontId="0" fillId="7" borderId="13" xfId="0" applyNumberFormat="1" applyFill="1" applyBorder="1"/>
    <xf numFmtId="164" fontId="0" fillId="7" borderId="56" xfId="0" applyNumberFormat="1" applyFill="1" applyBorder="1"/>
    <xf numFmtId="164" fontId="0" fillId="7" borderId="6" xfId="0" applyNumberFormat="1" applyFill="1" applyBorder="1"/>
    <xf numFmtId="3" fontId="0" fillId="6" borderId="68" xfId="0" applyNumberFormat="1" applyFill="1" applyBorder="1"/>
    <xf numFmtId="3" fontId="0" fillId="6" borderId="4" xfId="0" applyNumberFormat="1" applyFill="1" applyBorder="1"/>
    <xf numFmtId="3" fontId="0" fillId="0" borderId="65" xfId="0" applyNumberFormat="1" applyBorder="1"/>
    <xf numFmtId="1" fontId="0" fillId="0" borderId="36" xfId="0" applyNumberFormat="1" applyBorder="1"/>
    <xf numFmtId="1" fontId="0" fillId="0" borderId="37" xfId="0" applyNumberFormat="1" applyBorder="1"/>
    <xf numFmtId="3" fontId="0" fillId="0" borderId="21" xfId="0" applyNumberFormat="1" applyBorder="1"/>
    <xf numFmtId="1" fontId="0" fillId="0" borderId="55" xfId="0" applyNumberFormat="1" applyBorder="1"/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6" borderId="68" xfId="0" applyNumberFormat="1" applyFill="1" applyBorder="1"/>
    <xf numFmtId="1" fontId="0" fillId="6" borderId="4" xfId="0" applyNumberFormat="1" applyFill="1" applyBorder="1"/>
    <xf numFmtId="0" fontId="0" fillId="0" borderId="64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11" xfId="0" applyBorder="1" applyAlignment="1">
      <alignment horizontal="left"/>
    </xf>
    <xf numFmtId="164" fontId="0" fillId="7" borderId="36" xfId="2" applyNumberFormat="1" applyFont="1" applyFill="1" applyBorder="1"/>
    <xf numFmtId="164" fontId="0" fillId="7" borderId="37" xfId="2" applyNumberFormat="1" applyFont="1" applyFill="1" applyBorder="1"/>
    <xf numFmtId="164" fontId="0" fillId="7" borderId="21" xfId="2" applyNumberFormat="1" applyFont="1" applyFill="1" applyBorder="1"/>
    <xf numFmtId="165" fontId="0" fillId="7" borderId="10" xfId="0" applyNumberFormat="1" applyFill="1" applyBorder="1"/>
    <xf numFmtId="165" fontId="0" fillId="7" borderId="6" xfId="0" applyNumberFormat="1" applyFill="1" applyBorder="1"/>
    <xf numFmtId="165" fontId="0" fillId="7" borderId="20" xfId="0" applyNumberFormat="1" applyFill="1" applyBorder="1"/>
    <xf numFmtId="0" fontId="0" fillId="6" borderId="10" xfId="0" applyFill="1" applyBorder="1"/>
    <xf numFmtId="0" fontId="0" fillId="6" borderId="6" xfId="0" applyFill="1" applyBorder="1"/>
    <xf numFmtId="1" fontId="0" fillId="6" borderId="3" xfId="0" applyNumberFormat="1" applyFill="1" applyBorder="1"/>
    <xf numFmtId="2" fontId="0" fillId="6" borderId="21" xfId="0" applyNumberFormat="1" applyFill="1" applyBorder="1"/>
    <xf numFmtId="0" fontId="0" fillId="6" borderId="21" xfId="0" applyFill="1" applyBorder="1"/>
    <xf numFmtId="9" fontId="10" fillId="7" borderId="0" xfId="2" applyNumberFormat="1" applyFill="1"/>
    <xf numFmtId="3" fontId="0" fillId="7" borderId="7" xfId="0" applyNumberFormat="1" applyFill="1" applyBorder="1"/>
    <xf numFmtId="2" fontId="0" fillId="0" borderId="0" xfId="0" applyNumberFormat="1" applyBorder="1"/>
    <xf numFmtId="0" fontId="0" fillId="0" borderId="34" xfId="0" applyFill="1" applyBorder="1"/>
    <xf numFmtId="0" fontId="0" fillId="0" borderId="39" xfId="0" applyFill="1" applyBorder="1"/>
    <xf numFmtId="3" fontId="0" fillId="0" borderId="22" xfId="0" applyNumberFormat="1" applyBorder="1"/>
    <xf numFmtId="3" fontId="0" fillId="0" borderId="62" xfId="0" applyNumberFormat="1" applyBorder="1"/>
    <xf numFmtId="3" fontId="0" fillId="0" borderId="43" xfId="0" applyNumberFormat="1" applyBorder="1"/>
  </cellXfs>
  <cellStyles count="3">
    <cellStyle name="Hyperlinkki" xfId="1" builtinId="8"/>
    <cellStyle name="Normaali" xfId="0" builtinId="0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M29"/>
  <sheetViews>
    <sheetView tabSelected="1" workbookViewId="0">
      <selection activeCell="E16" sqref="E16"/>
    </sheetView>
  </sheetViews>
  <sheetFormatPr defaultRowHeight="15" x14ac:dyDescent="0.25"/>
  <cols>
    <col min="4" max="4" width="52.7109375" bestFit="1" customWidth="1"/>
    <col min="5" max="5" width="10.5703125" customWidth="1"/>
    <col min="6" max="6" width="17.7109375" bestFit="1" customWidth="1"/>
    <col min="7" max="7" width="22.85546875" bestFit="1" customWidth="1"/>
    <col min="9" max="9" width="22.85546875" bestFit="1" customWidth="1"/>
    <col min="11" max="11" width="17.7109375" bestFit="1" customWidth="1"/>
  </cols>
  <sheetData>
    <row r="5" spans="4:13" ht="15.75" thickBot="1" x14ac:dyDescent="0.3"/>
    <row r="6" spans="4:13" ht="29.25" thickBot="1" x14ac:dyDescent="0.5">
      <c r="D6" s="92" t="s">
        <v>0</v>
      </c>
      <c r="E6" s="201">
        <f ca="1">E29-H17</f>
        <v>0</v>
      </c>
    </row>
    <row r="8" spans="4:13" ht="15" customHeight="1" thickBot="1" x14ac:dyDescent="0.3">
      <c r="D8" t="s">
        <v>1</v>
      </c>
    </row>
    <row r="9" spans="4:13" ht="29.45" customHeight="1" thickBot="1" x14ac:dyDescent="0.6">
      <c r="D9" s="92" t="s">
        <v>2</v>
      </c>
      <c r="E9" s="91" t="e">
        <f ca="1">E29/H17</f>
        <v>#DIV/0!</v>
      </c>
    </row>
    <row r="11" spans="4:13" ht="15.75" thickBot="1" x14ac:dyDescent="0.3">
      <c r="D11" t="s">
        <v>3</v>
      </c>
    </row>
    <row r="12" spans="4:13" ht="32.25" thickBot="1" x14ac:dyDescent="0.6">
      <c r="D12" s="92" t="s">
        <v>4</v>
      </c>
      <c r="E12" s="91" t="e">
        <f ca="1">(SUM(E17:E19)+SUM(E23:E25)+E28)/(H17-SUM(E20:E22)-E26)</f>
        <v>#DIV/0!</v>
      </c>
    </row>
    <row r="13" spans="4:13" x14ac:dyDescent="0.25">
      <c r="D13" s="42"/>
    </row>
    <row r="14" spans="4:13" ht="15" customHeight="1" thickBot="1" x14ac:dyDescent="0.3"/>
    <row r="15" spans="4:13" ht="15" customHeight="1" thickBot="1" x14ac:dyDescent="0.3">
      <c r="D15" s="31" t="s">
        <v>5</v>
      </c>
      <c r="E15" s="76"/>
      <c r="F15" s="11"/>
      <c r="G15" s="31" t="s">
        <v>6</v>
      </c>
      <c r="H15" s="93" t="s">
        <v>7</v>
      </c>
      <c r="K15" s="11"/>
      <c r="L15" s="11"/>
      <c r="M15" s="11"/>
    </row>
    <row r="16" spans="4:13" ht="15" customHeight="1" thickBot="1" x14ac:dyDescent="0.3">
      <c r="D16" s="56" t="s">
        <v>8</v>
      </c>
      <c r="E16" s="95">
        <f ca="1">-(Tuottajahyodyt!L70+Tuottajahyodyt!L90)/1000000</f>
        <v>0</v>
      </c>
      <c r="G16" s="33" t="s">
        <v>9</v>
      </c>
      <c r="H16" s="75">
        <f>SUM(Investointikustannus!C41:L41)</f>
        <v>0</v>
      </c>
    </row>
    <row r="17" spans="4:8" ht="15" customHeight="1" thickBot="1" x14ac:dyDescent="0.3">
      <c r="D17" s="35" t="s">
        <v>10</v>
      </c>
      <c r="E17" s="132">
        <f ca="1">(Kayttajahyodyt!M18+Kayttajahyodyt!M31)/1000000</f>
        <v>0</v>
      </c>
      <c r="G17" s="96" t="s">
        <v>11</v>
      </c>
      <c r="H17" s="184">
        <f>H16</f>
        <v>0</v>
      </c>
    </row>
    <row r="18" spans="4:8" x14ac:dyDescent="0.25">
      <c r="D18" s="35" t="s">
        <v>12</v>
      </c>
      <c r="E18" s="68"/>
    </row>
    <row r="19" spans="4:8" x14ac:dyDescent="0.25">
      <c r="D19" s="35" t="s">
        <v>13</v>
      </c>
      <c r="E19" s="89">
        <f ca="1">Kayttajahyodyt!M46/1000000</f>
        <v>0</v>
      </c>
    </row>
    <row r="20" spans="4:8" x14ac:dyDescent="0.25">
      <c r="D20" s="35" t="s">
        <v>14</v>
      </c>
      <c r="E20" s="89">
        <f ca="1">-Tuottajahyodyt!O23/1000000</f>
        <v>0</v>
      </c>
    </row>
    <row r="21" spans="4:8" x14ac:dyDescent="0.25">
      <c r="D21" s="35" t="s">
        <v>15</v>
      </c>
      <c r="E21" s="89">
        <f ca="1">Tuottajahyodyt!C38/1000000</f>
        <v>0</v>
      </c>
    </row>
    <row r="22" spans="4:8" x14ac:dyDescent="0.25">
      <c r="D22" s="35" t="s">
        <v>16</v>
      </c>
      <c r="E22" s="89">
        <f ca="1">Tuottajahyodyt!F48/1000000</f>
        <v>0</v>
      </c>
    </row>
    <row r="23" spans="4:8" x14ac:dyDescent="0.25">
      <c r="D23" s="35" t="s">
        <v>17</v>
      </c>
      <c r="E23" s="132">
        <f ca="1">-Ulkoisvaikutukset!C40/1000000</f>
        <v>0</v>
      </c>
    </row>
    <row r="24" spans="4:8" x14ac:dyDescent="0.25">
      <c r="D24" s="35" t="s">
        <v>18</v>
      </c>
      <c r="E24" s="89">
        <f ca="1">-Ulkoisvaikutukset!D40/1000000</f>
        <v>0</v>
      </c>
    </row>
    <row r="25" spans="4:8" x14ac:dyDescent="0.25">
      <c r="D25" s="35" t="s">
        <v>19</v>
      </c>
      <c r="E25" s="132">
        <f ca="1">-Ulkoisvaikutukset!E40/1000000</f>
        <v>0</v>
      </c>
    </row>
    <row r="26" spans="4:8" x14ac:dyDescent="0.25">
      <c r="D26" s="35" t="s">
        <v>20</v>
      </c>
      <c r="E26" s="89">
        <f ca="1">Julkistaloudelliset!C16/1000000</f>
        <v>0</v>
      </c>
    </row>
    <row r="27" spans="4:8" x14ac:dyDescent="0.25">
      <c r="D27" s="35" t="s">
        <v>21</v>
      </c>
      <c r="E27" s="68"/>
    </row>
    <row r="28" spans="4:8" ht="15" customHeight="1" thickBot="1" x14ac:dyDescent="0.3">
      <c r="D28" s="57" t="s">
        <v>22</v>
      </c>
      <c r="E28" s="90">
        <f>Investointikustannus!AA23</f>
        <v>0</v>
      </c>
    </row>
    <row r="29" spans="4:8" ht="15" customHeight="1" thickBot="1" x14ac:dyDescent="0.3">
      <c r="D29" s="69" t="s">
        <v>11</v>
      </c>
      <c r="E29" s="130">
        <f ca="1">SUM(E16:E28)</f>
        <v>0</v>
      </c>
    </row>
  </sheetData>
  <conditionalFormatting sqref="E9">
    <cfRule type="colorScale" priority="3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E12">
    <cfRule type="colorScale" priority="2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166</v>
      </c>
    </row>
    <row r="2" spans="1:6" ht="15.75" thickBot="1" x14ac:dyDescent="0.3">
      <c r="B2" t="s">
        <v>190</v>
      </c>
    </row>
    <row r="3" spans="1:6" ht="15.75" thickBot="1" x14ac:dyDescent="0.3">
      <c r="B3" s="187" t="s">
        <v>59</v>
      </c>
      <c r="C3" s="27" t="s">
        <v>60</v>
      </c>
      <c r="D3" s="28" t="s">
        <v>61</v>
      </c>
    </row>
    <row r="4" spans="1:6" ht="15.75" thickBot="1" x14ac:dyDescent="0.3">
      <c r="B4" s="276">
        <v>0.3</v>
      </c>
      <c r="C4" s="277">
        <v>0.1</v>
      </c>
      <c r="D4" s="278">
        <v>0.3</v>
      </c>
    </row>
    <row r="6" spans="1:6" x14ac:dyDescent="0.25">
      <c r="A6" t="s">
        <v>187</v>
      </c>
    </row>
    <row r="7" spans="1:6" ht="15.75" thickBot="1" x14ac:dyDescent="0.3">
      <c r="A7" s="213"/>
    </row>
    <row r="8" spans="1:6" x14ac:dyDescent="0.25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25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.75" thickBot="1" x14ac:dyDescent="0.3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.75" thickBot="1" x14ac:dyDescent="0.3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.75" thickBot="1" x14ac:dyDescent="0.3">
      <c r="A12" s="267"/>
    </row>
    <row r="13" spans="1:6" x14ac:dyDescent="0.25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25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.75" thickBot="1" x14ac:dyDescent="0.3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.75" thickBot="1" x14ac:dyDescent="0.3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25">
      <c r="A19" t="s">
        <v>188</v>
      </c>
    </row>
    <row r="20" spans="1:6" ht="15.75" thickBot="1" x14ac:dyDescent="0.3">
      <c r="A20" s="206"/>
    </row>
    <row r="21" spans="1:6" x14ac:dyDescent="0.25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25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.75" thickBot="1" x14ac:dyDescent="0.3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.75" thickBot="1" x14ac:dyDescent="0.3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.75" thickBot="1" x14ac:dyDescent="0.3">
      <c r="A25" s="271"/>
    </row>
    <row r="26" spans="1:6" x14ac:dyDescent="0.25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25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.75" thickBot="1" x14ac:dyDescent="0.3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.75" thickBot="1" x14ac:dyDescent="0.3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25">
      <c r="A32" s="97"/>
      <c r="B32" s="97"/>
      <c r="C32" s="97"/>
      <c r="D32" s="97"/>
      <c r="E32" s="97"/>
      <c r="F32" s="97"/>
    </row>
    <row r="33" spans="1:6" x14ac:dyDescent="0.25">
      <c r="A33" s="203"/>
      <c r="B33" s="203"/>
      <c r="C33" s="203"/>
      <c r="D33" s="203"/>
      <c r="E33" s="203"/>
      <c r="F33" s="203"/>
    </row>
    <row r="34" spans="1:6" x14ac:dyDescent="0.25">
      <c r="A34" t="s">
        <v>189</v>
      </c>
    </row>
    <row r="35" spans="1:6" ht="15.75" thickBot="1" x14ac:dyDescent="0.3">
      <c r="A35" s="206"/>
    </row>
    <row r="36" spans="1:6" ht="15.75" thickBot="1" x14ac:dyDescent="0.3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25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.75" thickBot="1" x14ac:dyDescent="0.3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.75" thickBot="1" x14ac:dyDescent="0.3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.75" thickBot="1" x14ac:dyDescent="0.3">
      <c r="A40" s="271"/>
    </row>
    <row r="41" spans="1:6" ht="15.75" thickBot="1" x14ac:dyDescent="0.3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25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.75" thickBot="1" x14ac:dyDescent="0.3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.75" thickBot="1" x14ac:dyDescent="0.3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166</v>
      </c>
    </row>
    <row r="2" spans="1:6" ht="15.75" thickBot="1" x14ac:dyDescent="0.3">
      <c r="B2" t="s">
        <v>190</v>
      </c>
    </row>
    <row r="3" spans="1:6" ht="15.75" thickBot="1" x14ac:dyDescent="0.3">
      <c r="B3" s="187" t="s">
        <v>59</v>
      </c>
      <c r="C3" s="27" t="s">
        <v>60</v>
      </c>
      <c r="D3" s="28" t="s">
        <v>61</v>
      </c>
    </row>
    <row r="4" spans="1:6" ht="15.75" thickBot="1" x14ac:dyDescent="0.3">
      <c r="B4" s="276">
        <v>0.3</v>
      </c>
      <c r="C4" s="277">
        <v>0.1</v>
      </c>
      <c r="D4" s="278">
        <v>0.3</v>
      </c>
    </row>
    <row r="6" spans="1:6" x14ac:dyDescent="0.25">
      <c r="A6" t="s">
        <v>187</v>
      </c>
    </row>
    <row r="7" spans="1:6" ht="15.75" thickBot="1" x14ac:dyDescent="0.3">
      <c r="A7" s="213"/>
    </row>
    <row r="8" spans="1:6" x14ac:dyDescent="0.25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25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.75" thickBot="1" x14ac:dyDescent="0.3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.75" thickBot="1" x14ac:dyDescent="0.3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.75" thickBot="1" x14ac:dyDescent="0.3">
      <c r="A12" s="267"/>
    </row>
    <row r="13" spans="1:6" x14ac:dyDescent="0.25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25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.75" thickBot="1" x14ac:dyDescent="0.3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.75" thickBot="1" x14ac:dyDescent="0.3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25">
      <c r="A19" t="s">
        <v>188</v>
      </c>
    </row>
    <row r="20" spans="1:6" ht="15.75" thickBot="1" x14ac:dyDescent="0.3">
      <c r="A20" s="206"/>
    </row>
    <row r="21" spans="1:6" x14ac:dyDescent="0.25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25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.75" thickBot="1" x14ac:dyDescent="0.3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.75" thickBot="1" x14ac:dyDescent="0.3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.75" thickBot="1" x14ac:dyDescent="0.3">
      <c r="A25" s="271"/>
    </row>
    <row r="26" spans="1:6" x14ac:dyDescent="0.25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25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.75" thickBot="1" x14ac:dyDescent="0.3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.75" thickBot="1" x14ac:dyDescent="0.3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25">
      <c r="A32" s="97"/>
      <c r="B32" s="97"/>
      <c r="C32" s="97"/>
      <c r="D32" s="97"/>
      <c r="E32" s="97"/>
      <c r="F32" s="97"/>
    </row>
    <row r="33" spans="1:6" x14ac:dyDescent="0.25">
      <c r="A33" s="203"/>
      <c r="B33" s="203"/>
      <c r="C33" s="203"/>
      <c r="D33" s="203"/>
      <c r="E33" s="203"/>
      <c r="F33" s="203"/>
    </row>
    <row r="34" spans="1:6" x14ac:dyDescent="0.25">
      <c r="A34" t="s">
        <v>189</v>
      </c>
    </row>
    <row r="35" spans="1:6" ht="15.75" thickBot="1" x14ac:dyDescent="0.3">
      <c r="A35" s="206"/>
    </row>
    <row r="36" spans="1:6" ht="15.75" thickBot="1" x14ac:dyDescent="0.3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25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.75" thickBot="1" x14ac:dyDescent="0.3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.75" thickBot="1" x14ac:dyDescent="0.3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.75" thickBot="1" x14ac:dyDescent="0.3">
      <c r="A40" s="271"/>
    </row>
    <row r="41" spans="1:6" ht="15.75" thickBot="1" x14ac:dyDescent="0.3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25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.75" thickBot="1" x14ac:dyDescent="0.3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.75" thickBot="1" x14ac:dyDescent="0.3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178</v>
      </c>
    </row>
    <row r="2" spans="1:6" ht="15.75" thickBot="1" x14ac:dyDescent="0.3">
      <c r="B2" t="s">
        <v>190</v>
      </c>
    </row>
    <row r="3" spans="1:6" ht="15.75" thickBot="1" x14ac:dyDescent="0.3">
      <c r="B3" s="187" t="s">
        <v>59</v>
      </c>
      <c r="C3" s="27" t="s">
        <v>60</v>
      </c>
      <c r="D3" s="28" t="s">
        <v>61</v>
      </c>
    </row>
    <row r="4" spans="1:6" ht="15.75" thickBot="1" x14ac:dyDescent="0.3">
      <c r="B4" s="276">
        <v>0.3</v>
      </c>
      <c r="C4" s="277">
        <v>0.1</v>
      </c>
      <c r="D4" s="278">
        <v>0.3</v>
      </c>
    </row>
    <row r="6" spans="1:6" x14ac:dyDescent="0.25">
      <c r="A6" t="s">
        <v>187</v>
      </c>
    </row>
    <row r="7" spans="1:6" ht="15.75" thickBot="1" x14ac:dyDescent="0.3">
      <c r="A7" s="213"/>
    </row>
    <row r="8" spans="1:6" x14ac:dyDescent="0.25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25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.75" thickBot="1" x14ac:dyDescent="0.3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.75" thickBot="1" x14ac:dyDescent="0.3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.75" thickBot="1" x14ac:dyDescent="0.3">
      <c r="A12" s="267"/>
    </row>
    <row r="13" spans="1:6" x14ac:dyDescent="0.25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25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.75" thickBot="1" x14ac:dyDescent="0.3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.75" thickBot="1" x14ac:dyDescent="0.3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25">
      <c r="A19" t="s">
        <v>188</v>
      </c>
    </row>
    <row r="20" spans="1:6" ht="15.75" thickBot="1" x14ac:dyDescent="0.3">
      <c r="A20" s="206"/>
    </row>
    <row r="21" spans="1:6" x14ac:dyDescent="0.25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25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.75" thickBot="1" x14ac:dyDescent="0.3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.75" thickBot="1" x14ac:dyDescent="0.3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.75" thickBot="1" x14ac:dyDescent="0.3">
      <c r="A25" s="271"/>
    </row>
    <row r="26" spans="1:6" x14ac:dyDescent="0.25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25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.75" thickBot="1" x14ac:dyDescent="0.3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.75" thickBot="1" x14ac:dyDescent="0.3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25">
      <c r="A32" s="97"/>
      <c r="B32" s="97"/>
      <c r="C32" s="97"/>
      <c r="D32" s="97"/>
      <c r="E32" s="97"/>
      <c r="F32" s="97"/>
    </row>
    <row r="33" spans="1:6" x14ac:dyDescent="0.25">
      <c r="A33" s="203"/>
      <c r="B33" s="203"/>
      <c r="C33" s="203"/>
      <c r="D33" s="203"/>
      <c r="E33" s="203"/>
      <c r="F33" s="203"/>
    </row>
    <row r="34" spans="1:6" x14ac:dyDescent="0.25">
      <c r="A34" t="s">
        <v>189</v>
      </c>
    </row>
    <row r="35" spans="1:6" ht="15.75" thickBot="1" x14ac:dyDescent="0.3">
      <c r="A35" s="206"/>
    </row>
    <row r="36" spans="1:6" ht="15.75" thickBot="1" x14ac:dyDescent="0.3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25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.75" thickBot="1" x14ac:dyDescent="0.3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.75" thickBot="1" x14ac:dyDescent="0.3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.75" thickBot="1" x14ac:dyDescent="0.3">
      <c r="A40" s="271"/>
    </row>
    <row r="41" spans="1:6" ht="15.75" thickBot="1" x14ac:dyDescent="0.3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25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.75" thickBot="1" x14ac:dyDescent="0.3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.75" thickBot="1" x14ac:dyDescent="0.3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ul2"/>
  <dimension ref="A5:U105"/>
  <sheetViews>
    <sheetView zoomScaleNormal="100" workbookViewId="0">
      <selection activeCell="L91" sqref="L91"/>
    </sheetView>
  </sheetViews>
  <sheetFormatPr defaultRowHeight="15" x14ac:dyDescent="0.25"/>
  <cols>
    <col min="1" max="1" width="27" customWidth="1"/>
    <col min="2" max="2" width="21" customWidth="1"/>
    <col min="3" max="3" width="20.7109375" customWidth="1"/>
    <col min="4" max="4" width="10.5703125" bestFit="1" customWidth="1"/>
    <col min="6" max="6" width="26" bestFit="1" customWidth="1"/>
    <col min="7" max="7" width="10.5703125" bestFit="1" customWidth="1"/>
    <col min="8" max="8" width="10" bestFit="1" customWidth="1"/>
    <col min="11" max="11" width="26" bestFit="1" customWidth="1"/>
    <col min="12" max="12" width="14.85546875" bestFit="1" customWidth="1"/>
    <col min="13" max="13" width="13.28515625" bestFit="1" customWidth="1"/>
    <col min="14" max="14" width="9.28515625" bestFit="1" customWidth="1"/>
    <col min="15" max="15" width="17.5703125" bestFit="1" customWidth="1"/>
    <col min="18" max="18" width="11.5703125" bestFit="1" customWidth="1"/>
    <col min="20" max="20" width="10" bestFit="1" customWidth="1"/>
    <col min="21" max="21" width="10.140625" customWidth="1"/>
    <col min="22" max="22" width="10.5703125" customWidth="1"/>
  </cols>
  <sheetData>
    <row r="5" spans="1:21" x14ac:dyDescent="0.25">
      <c r="A5" s="11" t="s">
        <v>83</v>
      </c>
    </row>
    <row r="6" spans="1:21" ht="15" customHeight="1" thickBot="1" x14ac:dyDescent="0.3">
      <c r="K6" s="10" t="s">
        <v>84</v>
      </c>
    </row>
    <row r="7" spans="1:21" ht="15" customHeight="1" thickBot="1" x14ac:dyDescent="0.3">
      <c r="A7" s="8" t="s">
        <v>85</v>
      </c>
      <c r="B7" s="8" t="s">
        <v>86</v>
      </c>
      <c r="C7" s="8" t="s">
        <v>87</v>
      </c>
      <c r="D7" s="8" t="s">
        <v>88</v>
      </c>
      <c r="E7" s="14"/>
      <c r="F7" s="8" t="s">
        <v>85</v>
      </c>
      <c r="G7" s="8" t="s">
        <v>89</v>
      </c>
      <c r="H7" s="8" t="s">
        <v>90</v>
      </c>
      <c r="I7" s="8" t="s">
        <v>91</v>
      </c>
      <c r="K7" s="96">
        <f>Diskonttaus!B4</f>
        <v>2030</v>
      </c>
      <c r="L7" s="32" t="s">
        <v>92</v>
      </c>
      <c r="M7" s="51" t="s">
        <v>92</v>
      </c>
      <c r="N7" s="51" t="s">
        <v>92</v>
      </c>
      <c r="O7" s="78" t="s">
        <v>11</v>
      </c>
      <c r="R7" s="8" t="s">
        <v>85</v>
      </c>
      <c r="S7" s="8" t="s">
        <v>89</v>
      </c>
      <c r="T7" s="8" t="s">
        <v>201</v>
      </c>
      <c r="U7" s="249" t="s">
        <v>91</v>
      </c>
    </row>
    <row r="8" spans="1:21" x14ac:dyDescent="0.25">
      <c r="A8" s="8" t="s">
        <v>93</v>
      </c>
      <c r="B8" s="150">
        <v>0.74</v>
      </c>
      <c r="C8" s="150">
        <v>50.79</v>
      </c>
      <c r="D8" s="151"/>
      <c r="E8" s="14"/>
      <c r="F8" s="55" t="s">
        <v>93</v>
      </c>
      <c r="G8" s="59">
        <f>Diskonttaus!$B$11*S8</f>
        <v>0</v>
      </c>
      <c r="H8" s="59">
        <f>Diskonttaus!$B$11*T8/60</f>
        <v>0</v>
      </c>
      <c r="I8" s="59">
        <f>U8</f>
        <v>0</v>
      </c>
      <c r="K8" s="56" t="s">
        <v>93</v>
      </c>
      <c r="L8" s="114">
        <f t="shared" ref="L8:N12" si="0">B8*G8</f>
        <v>0</v>
      </c>
      <c r="M8" s="133">
        <f t="shared" si="0"/>
        <v>0</v>
      </c>
      <c r="N8" s="133">
        <f t="shared" si="0"/>
        <v>0</v>
      </c>
      <c r="O8" s="133">
        <f t="shared" ref="O8:O13" si="1">SUM(L8:N8)</f>
        <v>0</v>
      </c>
      <c r="R8" s="8" t="s">
        <v>93</v>
      </c>
      <c r="S8" s="152"/>
      <c r="T8" s="152"/>
      <c r="U8" s="249"/>
    </row>
    <row r="9" spans="1:21" x14ac:dyDescent="0.25">
      <c r="A9" s="8" t="s">
        <v>94</v>
      </c>
      <c r="B9" s="150">
        <v>0.78</v>
      </c>
      <c r="C9" s="150">
        <v>52.96</v>
      </c>
      <c r="D9" s="151"/>
      <c r="E9" s="15"/>
      <c r="F9" s="55" t="s">
        <v>94</v>
      </c>
      <c r="G9" s="59">
        <f>Diskonttaus!$B$11*S9</f>
        <v>0</v>
      </c>
      <c r="H9" s="59">
        <f>Diskonttaus!$B$11*T9/60</f>
        <v>0</v>
      </c>
      <c r="I9" s="59">
        <f t="shared" ref="I9:I12" si="2">U9</f>
        <v>0</v>
      </c>
      <c r="K9" s="35" t="s">
        <v>94</v>
      </c>
      <c r="L9" s="115">
        <f t="shared" si="0"/>
        <v>0</v>
      </c>
      <c r="M9" s="134">
        <f t="shared" si="0"/>
        <v>0</v>
      </c>
      <c r="N9" s="134">
        <f t="shared" si="0"/>
        <v>0</v>
      </c>
      <c r="O9" s="134">
        <f t="shared" si="1"/>
        <v>0</v>
      </c>
      <c r="R9" s="8" t="s">
        <v>94</v>
      </c>
      <c r="S9" s="152"/>
      <c r="T9" s="152"/>
      <c r="U9" s="249"/>
    </row>
    <row r="10" spans="1:21" x14ac:dyDescent="0.25">
      <c r="A10" s="8" t="s">
        <v>95</v>
      </c>
      <c r="B10" s="150">
        <v>2.2999999999999998</v>
      </c>
      <c r="C10" s="150">
        <v>83</v>
      </c>
      <c r="D10" s="151"/>
      <c r="E10" s="15"/>
      <c r="F10" s="55" t="s">
        <v>95</v>
      </c>
      <c r="G10" s="59">
        <f>Diskonttaus!$B$11*S10</f>
        <v>0</v>
      </c>
      <c r="H10" s="59">
        <f>Diskonttaus!$B$11*T10/60</f>
        <v>0</v>
      </c>
      <c r="I10" s="59">
        <f t="shared" si="2"/>
        <v>0</v>
      </c>
      <c r="K10" s="35" t="s">
        <v>95</v>
      </c>
      <c r="L10" s="115">
        <f t="shared" si="0"/>
        <v>0</v>
      </c>
      <c r="M10" s="134">
        <f t="shared" si="0"/>
        <v>0</v>
      </c>
      <c r="N10" s="134">
        <f t="shared" si="0"/>
        <v>0</v>
      </c>
      <c r="O10" s="134">
        <f t="shared" si="1"/>
        <v>0</v>
      </c>
      <c r="R10" s="8" t="s">
        <v>95</v>
      </c>
      <c r="S10" s="152"/>
      <c r="T10" s="152"/>
      <c r="U10" s="249"/>
    </row>
    <row r="11" spans="1:21" x14ac:dyDescent="0.25">
      <c r="A11" s="8" t="s">
        <v>96</v>
      </c>
      <c r="B11" s="150">
        <v>0.46</v>
      </c>
      <c r="C11" s="150">
        <v>201.14</v>
      </c>
      <c r="D11" s="151">
        <v>704062.78855032311</v>
      </c>
      <c r="E11" s="15"/>
      <c r="F11" s="55" t="s">
        <v>96</v>
      </c>
      <c r="G11" s="59">
        <f>Diskonttaus!$B$11*S11</f>
        <v>0</v>
      </c>
      <c r="H11" s="59">
        <f>Diskonttaus!$B$11*T11/60</f>
        <v>0</v>
      </c>
      <c r="I11" s="59">
        <f t="shared" si="2"/>
        <v>0</v>
      </c>
      <c r="K11" s="35" t="s">
        <v>96</v>
      </c>
      <c r="L11" s="115">
        <f t="shared" si="0"/>
        <v>0</v>
      </c>
      <c r="M11" s="134">
        <f t="shared" si="0"/>
        <v>0</v>
      </c>
      <c r="N11" s="134">
        <f t="shared" si="0"/>
        <v>0</v>
      </c>
      <c r="O11" s="134">
        <f t="shared" si="1"/>
        <v>0</v>
      </c>
      <c r="R11" s="8" t="s">
        <v>96</v>
      </c>
      <c r="S11" s="152"/>
      <c r="T11" s="152"/>
      <c r="U11" s="171"/>
    </row>
    <row r="12" spans="1:21" x14ac:dyDescent="0.25">
      <c r="A12" s="8" t="s">
        <v>97</v>
      </c>
      <c r="B12" s="150">
        <f>2.8+2.8</f>
        <v>5.6</v>
      </c>
      <c r="C12" s="150">
        <f>340+244</f>
        <v>584</v>
      </c>
      <c r="D12" s="151"/>
      <c r="E12" s="48"/>
      <c r="F12" s="55" t="s">
        <v>97</v>
      </c>
      <c r="G12" s="59">
        <f>Diskonttaus!$B$11*S12</f>
        <v>0</v>
      </c>
      <c r="H12" s="59">
        <f>Diskonttaus!$B$11*T12/60</f>
        <v>0</v>
      </c>
      <c r="I12" s="59">
        <f t="shared" si="2"/>
        <v>0</v>
      </c>
      <c r="K12" s="35" t="s">
        <v>97</v>
      </c>
      <c r="L12" s="115">
        <f t="shared" si="0"/>
        <v>0</v>
      </c>
      <c r="M12" s="134">
        <f t="shared" si="0"/>
        <v>0</v>
      </c>
      <c r="N12" s="134">
        <f t="shared" si="0"/>
        <v>0</v>
      </c>
      <c r="O12" s="134">
        <f t="shared" si="1"/>
        <v>0</v>
      </c>
      <c r="R12" s="8" t="s">
        <v>97</v>
      </c>
      <c r="S12" s="152"/>
      <c r="T12" s="152"/>
      <c r="U12" s="171"/>
    </row>
    <row r="13" spans="1:21" ht="15" customHeight="1" thickBot="1" x14ac:dyDescent="0.3">
      <c r="K13" s="77" t="s">
        <v>11</v>
      </c>
      <c r="L13" s="115">
        <f>SUM(L8:L12)</f>
        <v>0</v>
      </c>
      <c r="M13" s="134">
        <f>SUM(M8:M12)</f>
        <v>0</v>
      </c>
      <c r="N13" s="134">
        <f>SUM(N8:N12)</f>
        <v>0</v>
      </c>
      <c r="O13" s="120">
        <f t="shared" si="1"/>
        <v>0</v>
      </c>
    </row>
    <row r="14" spans="1:21" ht="15" customHeight="1" thickBot="1" x14ac:dyDescent="0.3">
      <c r="L14" s="101"/>
      <c r="M14" s="101"/>
      <c r="N14" s="101"/>
      <c r="O14" s="101"/>
      <c r="T14" s="13"/>
    </row>
    <row r="15" spans="1:21" ht="15" customHeight="1" thickBot="1" x14ac:dyDescent="0.3">
      <c r="F15" s="8" t="s">
        <v>85</v>
      </c>
      <c r="G15" s="8" t="s">
        <v>89</v>
      </c>
      <c r="H15" s="8" t="s">
        <v>90</v>
      </c>
      <c r="I15" s="8" t="s">
        <v>91</v>
      </c>
      <c r="K15" s="96">
        <f>Diskonttaus!B6</f>
        <v>2050</v>
      </c>
      <c r="L15" s="32" t="s">
        <v>92</v>
      </c>
      <c r="M15" s="51" t="s">
        <v>92</v>
      </c>
      <c r="N15" s="51" t="s">
        <v>92</v>
      </c>
      <c r="O15" s="78" t="s">
        <v>11</v>
      </c>
      <c r="R15" s="8" t="s">
        <v>85</v>
      </c>
      <c r="S15" s="8" t="s">
        <v>89</v>
      </c>
      <c r="T15" s="8" t="s">
        <v>201</v>
      </c>
      <c r="U15" s="249" t="s">
        <v>91</v>
      </c>
    </row>
    <row r="16" spans="1:21" x14ac:dyDescent="0.25">
      <c r="F16" s="8" t="s">
        <v>93</v>
      </c>
      <c r="G16" s="59">
        <f>Diskonttaus!$B$11*S16</f>
        <v>0</v>
      </c>
      <c r="H16" s="59">
        <f>Diskonttaus!$B$11*T16/60</f>
        <v>0</v>
      </c>
      <c r="I16" s="59">
        <f>U16</f>
        <v>0</v>
      </c>
      <c r="K16" s="56" t="s">
        <v>93</v>
      </c>
      <c r="L16" s="114">
        <f t="shared" ref="L16:N20" si="3">B8*G16</f>
        <v>0</v>
      </c>
      <c r="M16" s="133">
        <f t="shared" si="3"/>
        <v>0</v>
      </c>
      <c r="N16" s="133">
        <f t="shared" si="3"/>
        <v>0</v>
      </c>
      <c r="O16" s="133">
        <f t="shared" ref="O16:O21" si="4">SUM(L16:N16)</f>
        <v>0</v>
      </c>
      <c r="R16" s="8" t="s">
        <v>93</v>
      </c>
      <c r="S16" s="148"/>
      <c r="T16" s="148"/>
      <c r="U16" s="249"/>
    </row>
    <row r="17" spans="1:21" x14ac:dyDescent="0.25">
      <c r="F17" s="8" t="s">
        <v>94</v>
      </c>
      <c r="G17" s="59">
        <f>Diskonttaus!$B$11*S17</f>
        <v>0</v>
      </c>
      <c r="H17" s="59">
        <f>Diskonttaus!$B$11*T17/60</f>
        <v>0</v>
      </c>
      <c r="I17" s="59">
        <f t="shared" ref="I17:I20" si="5">U17</f>
        <v>0</v>
      </c>
      <c r="K17" s="35" t="s">
        <v>94</v>
      </c>
      <c r="L17" s="115">
        <f t="shared" si="3"/>
        <v>0</v>
      </c>
      <c r="M17" s="134">
        <f t="shared" si="3"/>
        <v>0</v>
      </c>
      <c r="N17" s="134">
        <f t="shared" si="3"/>
        <v>0</v>
      </c>
      <c r="O17" s="134">
        <f t="shared" si="4"/>
        <v>0</v>
      </c>
      <c r="R17" s="8" t="s">
        <v>94</v>
      </c>
      <c r="S17" s="148"/>
      <c r="T17" s="148"/>
      <c r="U17" s="249"/>
    </row>
    <row r="18" spans="1:21" x14ac:dyDescent="0.25">
      <c r="F18" s="8" t="s">
        <v>95</v>
      </c>
      <c r="G18" s="59">
        <f>Diskonttaus!$B$11*S18</f>
        <v>0</v>
      </c>
      <c r="H18" s="59">
        <f>Diskonttaus!$B$11*T18/60</f>
        <v>0</v>
      </c>
      <c r="I18" s="59">
        <f t="shared" si="5"/>
        <v>0</v>
      </c>
      <c r="K18" s="35" t="s">
        <v>95</v>
      </c>
      <c r="L18" s="115">
        <f t="shared" si="3"/>
        <v>0</v>
      </c>
      <c r="M18" s="134">
        <f t="shared" si="3"/>
        <v>0</v>
      </c>
      <c r="N18" s="134">
        <f t="shared" si="3"/>
        <v>0</v>
      </c>
      <c r="O18" s="134">
        <f t="shared" si="4"/>
        <v>0</v>
      </c>
      <c r="R18" s="8" t="s">
        <v>95</v>
      </c>
      <c r="S18" s="148"/>
      <c r="T18" s="148"/>
      <c r="U18" s="249"/>
    </row>
    <row r="19" spans="1:21" x14ac:dyDescent="0.25">
      <c r="F19" s="8" t="s">
        <v>96</v>
      </c>
      <c r="G19" s="59">
        <f>Diskonttaus!$B$11*S19</f>
        <v>0</v>
      </c>
      <c r="H19" s="59">
        <f>Diskonttaus!$B$11*T19/60</f>
        <v>0</v>
      </c>
      <c r="I19" s="59">
        <f t="shared" si="5"/>
        <v>0</v>
      </c>
      <c r="K19" s="35" t="s">
        <v>96</v>
      </c>
      <c r="L19" s="115">
        <f t="shared" si="3"/>
        <v>0</v>
      </c>
      <c r="M19" s="134">
        <f t="shared" si="3"/>
        <v>0</v>
      </c>
      <c r="N19" s="134">
        <f t="shared" si="3"/>
        <v>0</v>
      </c>
      <c r="O19" s="134">
        <f t="shared" si="4"/>
        <v>0</v>
      </c>
      <c r="R19" s="8" t="s">
        <v>96</v>
      </c>
      <c r="S19" s="148"/>
      <c r="T19" s="148"/>
      <c r="U19" s="171"/>
    </row>
    <row r="20" spans="1:21" x14ac:dyDescent="0.25">
      <c r="F20" s="8" t="s">
        <v>97</v>
      </c>
      <c r="G20" s="59">
        <f>Diskonttaus!$B$11*S20</f>
        <v>0</v>
      </c>
      <c r="H20" s="59">
        <f>Diskonttaus!$B$11*T20/60</f>
        <v>0</v>
      </c>
      <c r="I20" s="59">
        <f t="shared" si="5"/>
        <v>0</v>
      </c>
      <c r="K20" s="35" t="s">
        <v>97</v>
      </c>
      <c r="L20" s="115">
        <f t="shared" si="3"/>
        <v>0</v>
      </c>
      <c r="M20" s="134">
        <f t="shared" si="3"/>
        <v>0</v>
      </c>
      <c r="N20" s="134">
        <f t="shared" si="3"/>
        <v>0</v>
      </c>
      <c r="O20" s="134">
        <f t="shared" si="4"/>
        <v>0</v>
      </c>
      <c r="R20" s="8" t="s">
        <v>97</v>
      </c>
      <c r="S20" s="148"/>
      <c r="T20" s="148"/>
      <c r="U20" s="171"/>
    </row>
    <row r="21" spans="1:21" ht="15" customHeight="1" thickBot="1" x14ac:dyDescent="0.3">
      <c r="K21" s="77" t="s">
        <v>11</v>
      </c>
      <c r="L21" s="115">
        <f>SUM(L16:L20)</f>
        <v>0</v>
      </c>
      <c r="M21" s="134">
        <f>SUM(M16:M20)</f>
        <v>0</v>
      </c>
      <c r="N21" s="134">
        <f>SUM(N16:N20)</f>
        <v>0</v>
      </c>
      <c r="O21" s="120">
        <f t="shared" si="4"/>
        <v>0</v>
      </c>
      <c r="T21" s="13"/>
    </row>
    <row r="22" spans="1:21" ht="15" customHeight="1" thickBot="1" x14ac:dyDescent="0.3">
      <c r="L22" s="101"/>
      <c r="M22" s="101"/>
      <c r="N22" s="101"/>
      <c r="O22" s="101"/>
      <c r="T22" s="13"/>
    </row>
    <row r="23" spans="1:21" ht="18.600000000000001" customHeight="1" thickBot="1" x14ac:dyDescent="0.35">
      <c r="A23" s="11"/>
      <c r="B23" s="17"/>
      <c r="K23" s="135" t="s">
        <v>66</v>
      </c>
      <c r="L23" s="101"/>
      <c r="M23" s="101"/>
      <c r="N23" s="101"/>
      <c r="O23" s="136">
        <f ca="1">IF(ISNUMBER(Diskonttaus!B20),Diskonttaus!B29*O13+Diskonttaus!B30*O21,Diskonttaus!B29*O13)*Diskonttaus!$B$10</f>
        <v>0</v>
      </c>
      <c r="T23" s="13"/>
    </row>
    <row r="24" spans="1:21" x14ac:dyDescent="0.25">
      <c r="T24" s="13"/>
    </row>
    <row r="25" spans="1:21" x14ac:dyDescent="0.25">
      <c r="T25" s="13"/>
    </row>
    <row r="26" spans="1:21" ht="12.75" customHeight="1" x14ac:dyDescent="0.25">
      <c r="T26" s="13"/>
    </row>
    <row r="27" spans="1:21" s="118" customFormat="1" x14ac:dyDescent="0.25"/>
    <row r="29" spans="1:21" ht="15" customHeight="1" thickBot="1" x14ac:dyDescent="0.3">
      <c r="B29" s="10" t="s">
        <v>74</v>
      </c>
    </row>
    <row r="30" spans="1:21" x14ac:dyDescent="0.25">
      <c r="A30" s="11" t="s">
        <v>98</v>
      </c>
      <c r="B30" s="82">
        <f>Diskonttaus!B4</f>
        <v>2030</v>
      </c>
      <c r="C30" s="80"/>
    </row>
    <row r="31" spans="1:21" x14ac:dyDescent="0.25">
      <c r="B31" s="35" t="s">
        <v>99</v>
      </c>
      <c r="C31" s="132"/>
    </row>
    <row r="32" spans="1:21" ht="15" customHeight="1" thickBot="1" x14ac:dyDescent="0.3">
      <c r="B32" s="57" t="s">
        <v>11</v>
      </c>
      <c r="C32" s="121">
        <f>SUM(C31:C31)</f>
        <v>0</v>
      </c>
    </row>
    <row r="33" spans="1:6" ht="15" customHeight="1" thickBot="1" x14ac:dyDescent="0.3"/>
    <row r="34" spans="1:6" x14ac:dyDescent="0.25">
      <c r="B34" s="82">
        <f>Diskonttaus!B6</f>
        <v>2050</v>
      </c>
      <c r="C34" s="80"/>
    </row>
    <row r="35" spans="1:6" x14ac:dyDescent="0.25">
      <c r="B35" s="35" t="s">
        <v>99</v>
      </c>
      <c r="C35" s="68"/>
    </row>
    <row r="36" spans="1:6" ht="15" customHeight="1" thickBot="1" x14ac:dyDescent="0.3">
      <c r="B36" s="57" t="s">
        <v>11</v>
      </c>
      <c r="C36" s="128">
        <f>SUM(C35:C35)</f>
        <v>0</v>
      </c>
    </row>
    <row r="37" spans="1:6" ht="15" customHeight="1" thickBot="1" x14ac:dyDescent="0.3"/>
    <row r="38" spans="1:6" ht="18.600000000000001" customHeight="1" thickBot="1" x14ac:dyDescent="0.35">
      <c r="B38" s="137" t="s">
        <v>66</v>
      </c>
      <c r="C38" s="136">
        <f ca="1">Diskonttaus!B19*C32*Diskonttaus!$B$10</f>
        <v>0</v>
      </c>
    </row>
    <row r="40" spans="1:6" ht="15" customHeight="1" thickBot="1" x14ac:dyDescent="0.3">
      <c r="A40" s="11" t="s">
        <v>100</v>
      </c>
      <c r="B40" s="17"/>
    </row>
    <row r="41" spans="1:6" ht="15" customHeight="1" thickBot="1" x14ac:dyDescent="0.3">
      <c r="B41" s="64" t="s">
        <v>59</v>
      </c>
      <c r="C41" s="51" t="s">
        <v>101</v>
      </c>
      <c r="D41" s="51" t="s">
        <v>61</v>
      </c>
      <c r="E41" s="51" t="s">
        <v>62</v>
      </c>
      <c r="F41" s="20" t="s">
        <v>63</v>
      </c>
    </row>
    <row r="42" spans="1:6" x14ac:dyDescent="0.25">
      <c r="A42" s="12">
        <f>Diskonttaus!B4</f>
        <v>2030</v>
      </c>
      <c r="B42" s="254">
        <v>0.47799999999999998</v>
      </c>
      <c r="C42" s="255">
        <v>0.109</v>
      </c>
      <c r="D42" s="255">
        <v>0.40500000000000003</v>
      </c>
      <c r="E42" s="48"/>
      <c r="F42" s="49"/>
    </row>
    <row r="43" spans="1:6" ht="15" customHeight="1" thickBot="1" x14ac:dyDescent="0.3">
      <c r="A43" t="s">
        <v>102</v>
      </c>
      <c r="B43" s="185"/>
      <c r="C43" s="186"/>
      <c r="D43" s="186"/>
      <c r="E43" s="149">
        <f>B43/B42+C43/C42+D43/D42</f>
        <v>0</v>
      </c>
      <c r="F43" s="122">
        <f>E43*Diskonttaus!$B$11</f>
        <v>0</v>
      </c>
    </row>
    <row r="44" spans="1:6" ht="15" customHeight="1" thickBot="1" x14ac:dyDescent="0.3">
      <c r="B44" s="64" t="s">
        <v>59</v>
      </c>
      <c r="C44" s="51" t="s">
        <v>101</v>
      </c>
      <c r="D44" s="51" t="s">
        <v>61</v>
      </c>
      <c r="E44" s="51" t="s">
        <v>62</v>
      </c>
      <c r="F44" s="20" t="s">
        <v>63</v>
      </c>
    </row>
    <row r="45" spans="1:6" x14ac:dyDescent="0.25">
      <c r="A45" s="12">
        <f>Diskonttaus!B6</f>
        <v>2050</v>
      </c>
      <c r="B45" s="254">
        <v>0.47799999999999998</v>
      </c>
      <c r="C45" s="255">
        <v>0.109</v>
      </c>
      <c r="D45" s="255">
        <v>0.40500000000000003</v>
      </c>
      <c r="E45" s="48"/>
      <c r="F45" s="49"/>
    </row>
    <row r="46" spans="1:6" ht="15" customHeight="1" thickBot="1" x14ac:dyDescent="0.3">
      <c r="A46" t="s">
        <v>102</v>
      </c>
      <c r="B46" s="185"/>
      <c r="C46" s="186"/>
      <c r="D46" s="186"/>
      <c r="E46" s="149">
        <f>B46/B45+C46/C45+D46/D45</f>
        <v>0</v>
      </c>
      <c r="F46" s="122">
        <f>E46*Diskonttaus!$B$11</f>
        <v>0</v>
      </c>
    </row>
    <row r="47" spans="1:6" ht="15" customHeight="1" thickBot="1" x14ac:dyDescent="0.3"/>
    <row r="48" spans="1:6" ht="18.600000000000001" customHeight="1" thickBot="1" x14ac:dyDescent="0.35">
      <c r="A48" s="138" t="s">
        <v>66</v>
      </c>
      <c r="F48" s="136">
        <f ca="1">IF(ISNUMBER(Diskonttaus!B20),Diskonttaus!B26*F43+Diskonttaus!B27*F46,Diskonttaus!B26*F43)*Diskonttaus!$B$10</f>
        <v>0</v>
      </c>
    </row>
    <row r="50" spans="1:12" s="118" customFormat="1" x14ac:dyDescent="0.25"/>
    <row r="52" spans="1:12" x14ac:dyDescent="0.25">
      <c r="A52" s="11" t="s">
        <v>103</v>
      </c>
    </row>
    <row r="53" spans="1:12" ht="15" customHeight="1" thickBot="1" x14ac:dyDescent="0.3">
      <c r="K53" s="10" t="s">
        <v>84</v>
      </c>
    </row>
    <row r="54" spans="1:12" ht="15" customHeight="1" thickBot="1" x14ac:dyDescent="0.3">
      <c r="A54" s="8" t="s">
        <v>104</v>
      </c>
      <c r="B54" s="8" t="s">
        <v>105</v>
      </c>
      <c r="F54" s="8">
        <f>Diskonttaus!B4</f>
        <v>2030</v>
      </c>
      <c r="G54" s="8" t="s">
        <v>106</v>
      </c>
      <c r="K54" s="96" t="s">
        <v>104</v>
      </c>
      <c r="L54" s="76" t="s">
        <v>92</v>
      </c>
    </row>
    <row r="55" spans="1:12" x14ac:dyDescent="0.25">
      <c r="A55" s="8" t="s">
        <v>185</v>
      </c>
      <c r="B55" s="153">
        <v>4.3E-3</v>
      </c>
      <c r="F55" s="8" t="s">
        <v>185</v>
      </c>
      <c r="G55" s="8">
        <f>Diskonttaus!$B$11*(Ulkoisvaikutukset!O19+Ulkoisvaikutukset!O20)</f>
        <v>0</v>
      </c>
      <c r="K55" s="21" t="s">
        <v>185</v>
      </c>
      <c r="L55" s="87">
        <f>B55*G55</f>
        <v>0</v>
      </c>
    </row>
    <row r="56" spans="1:12" x14ac:dyDescent="0.25">
      <c r="A56" s="249" t="s">
        <v>184</v>
      </c>
      <c r="B56" s="153">
        <v>4.6600000000000003E-2</v>
      </c>
      <c r="F56" s="249" t="s">
        <v>184</v>
      </c>
      <c r="G56" s="8">
        <f>Diskonttaus!$B$11*(Ulkoisvaikutukset!O15+Ulkoisvaikutukset!O21+Ulkoisvaikutukset!O22)</f>
        <v>0</v>
      </c>
      <c r="K56" s="251" t="s">
        <v>184</v>
      </c>
      <c r="L56" s="115">
        <f>B56*G56</f>
        <v>0</v>
      </c>
    </row>
    <row r="57" spans="1:12" x14ac:dyDescent="0.25">
      <c r="A57" s="8" t="s">
        <v>95</v>
      </c>
      <c r="B57" s="150">
        <f>41.6*0.0015</f>
        <v>6.2400000000000004E-2</v>
      </c>
      <c r="F57" s="8" t="s">
        <v>95</v>
      </c>
      <c r="G57" s="59">
        <f>Tuottajahyodyt!G10</f>
        <v>0</v>
      </c>
      <c r="K57" s="35" t="s">
        <v>95</v>
      </c>
      <c r="L57" s="132">
        <f>B57*G57</f>
        <v>0</v>
      </c>
    </row>
    <row r="58" spans="1:12" ht="15" customHeight="1" x14ac:dyDescent="0.25">
      <c r="A58" s="8" t="s">
        <v>96</v>
      </c>
      <c r="B58" s="150">
        <f>130*0.0015</f>
        <v>0.19500000000000001</v>
      </c>
      <c r="F58" s="8" t="s">
        <v>96</v>
      </c>
      <c r="G58" s="59">
        <f>G11</f>
        <v>0</v>
      </c>
      <c r="K58" s="35" t="s">
        <v>96</v>
      </c>
      <c r="L58" s="132">
        <f>B58*G58</f>
        <v>0</v>
      </c>
    </row>
    <row r="59" spans="1:12" ht="15" customHeight="1" thickBot="1" x14ac:dyDescent="0.3">
      <c r="A59" s="8" t="s">
        <v>97</v>
      </c>
      <c r="B59" s="150">
        <f>2*132*0.0015</f>
        <v>0.39600000000000002</v>
      </c>
      <c r="F59" s="8" t="s">
        <v>97</v>
      </c>
      <c r="G59" s="59">
        <f>G12</f>
        <v>0</v>
      </c>
      <c r="K59" s="57" t="s">
        <v>97</v>
      </c>
      <c r="L59" s="112">
        <f>B59*G59</f>
        <v>0</v>
      </c>
    </row>
    <row r="60" spans="1:12" ht="15" customHeight="1" thickBot="1" x14ac:dyDescent="0.3">
      <c r="K60" s="31" t="s">
        <v>11</v>
      </c>
      <c r="L60" s="123">
        <f>SUM(L55:L59)</f>
        <v>0</v>
      </c>
    </row>
    <row r="61" spans="1:12" ht="15" customHeight="1" thickBot="1" x14ac:dyDescent="0.3"/>
    <row r="62" spans="1:12" ht="15.75" thickBot="1" x14ac:dyDescent="0.3">
      <c r="F62" s="8">
        <f>Diskonttaus!B6</f>
        <v>2050</v>
      </c>
      <c r="G62" s="8" t="s">
        <v>106</v>
      </c>
      <c r="K62" s="96" t="s">
        <v>104</v>
      </c>
      <c r="L62" s="76" t="s">
        <v>92</v>
      </c>
    </row>
    <row r="63" spans="1:12" x14ac:dyDescent="0.25">
      <c r="F63" s="8" t="s">
        <v>185</v>
      </c>
      <c r="G63" s="8">
        <f>Diskonttaus!$B$11*(Ulkoisvaikutukset!O32+Ulkoisvaikutukset!O33)</f>
        <v>0</v>
      </c>
      <c r="K63" s="21" t="s">
        <v>185</v>
      </c>
      <c r="L63" s="87">
        <f>B55*G63</f>
        <v>0</v>
      </c>
    </row>
    <row r="64" spans="1:12" x14ac:dyDescent="0.25">
      <c r="F64" s="249" t="s">
        <v>184</v>
      </c>
      <c r="G64" s="8">
        <f>Diskonttaus!$B$11*(Ulkoisvaikutukset!O28+Ulkoisvaikutukset!O34+Ulkoisvaikutukset!O35)</f>
        <v>0</v>
      </c>
      <c r="K64" s="250" t="s">
        <v>184</v>
      </c>
      <c r="L64" s="87">
        <f>B56*G64</f>
        <v>0</v>
      </c>
    </row>
    <row r="65" spans="1:12" ht="15" customHeight="1" x14ac:dyDescent="0.25">
      <c r="F65" s="8" t="s">
        <v>95</v>
      </c>
      <c r="G65" s="59">
        <f>Tuottajahyodyt!G18</f>
        <v>0</v>
      </c>
      <c r="K65" s="35" t="s">
        <v>95</v>
      </c>
      <c r="L65" s="132">
        <f>B57*G65</f>
        <v>0</v>
      </c>
    </row>
    <row r="66" spans="1:12" ht="15" customHeight="1" x14ac:dyDescent="0.25">
      <c r="F66" s="8" t="s">
        <v>96</v>
      </c>
      <c r="G66" s="59">
        <f>G19</f>
        <v>0</v>
      </c>
      <c r="K66" s="35" t="s">
        <v>96</v>
      </c>
      <c r="L66" s="132">
        <f>B58*G66</f>
        <v>0</v>
      </c>
    </row>
    <row r="67" spans="1:12" ht="15" customHeight="1" thickBot="1" x14ac:dyDescent="0.3">
      <c r="F67" s="8" t="s">
        <v>97</v>
      </c>
      <c r="G67" s="59">
        <f>G20</f>
        <v>0</v>
      </c>
      <c r="K67" s="57" t="s">
        <v>97</v>
      </c>
      <c r="L67" s="112">
        <f>B59*G67</f>
        <v>0</v>
      </c>
    </row>
    <row r="68" spans="1:12" ht="18.600000000000001" customHeight="1" thickBot="1" x14ac:dyDescent="0.3">
      <c r="K68" s="31" t="s">
        <v>11</v>
      </c>
      <c r="L68" s="123">
        <f>SUM(L63:L67)</f>
        <v>0</v>
      </c>
    </row>
    <row r="69" spans="1:12" ht="15" customHeight="1" thickBot="1" x14ac:dyDescent="0.3"/>
    <row r="70" spans="1:12" ht="15" customHeight="1" thickBot="1" x14ac:dyDescent="0.35">
      <c r="K70" s="138" t="s">
        <v>66</v>
      </c>
      <c r="L70" s="136">
        <f ca="1">IF(ISNUMBER(Diskonttaus!B20),Diskonttaus!B26*L60+Diskonttaus!B27*L68,Diskonttaus!B26*L60)*Diskonttaus!$B$10</f>
        <v>0</v>
      </c>
    </row>
    <row r="71" spans="1:12" ht="15.75" thickBot="1" x14ac:dyDescent="0.3"/>
    <row r="72" spans="1:12" ht="15" customHeight="1" thickBot="1" x14ac:dyDescent="0.3">
      <c r="A72" s="8" t="s">
        <v>202</v>
      </c>
      <c r="B72" s="8" t="s">
        <v>203</v>
      </c>
      <c r="F72" s="8">
        <f>Diskonttaus!B4</f>
        <v>2030</v>
      </c>
      <c r="G72" s="8" t="s">
        <v>210</v>
      </c>
      <c r="K72" s="69" t="s">
        <v>211</v>
      </c>
      <c r="L72" s="96" t="s">
        <v>92</v>
      </c>
    </row>
    <row r="73" spans="1:12" ht="15" customHeight="1" x14ac:dyDescent="0.25">
      <c r="A73" s="8" t="s">
        <v>205</v>
      </c>
      <c r="B73" s="288">
        <v>23000</v>
      </c>
      <c r="F73" s="8" t="s">
        <v>205</v>
      </c>
      <c r="G73" s="148"/>
      <c r="K73" s="52" t="s">
        <v>205</v>
      </c>
      <c r="L73" s="292">
        <f t="shared" ref="L73:L78" si="6">B73*G73</f>
        <v>0</v>
      </c>
    </row>
    <row r="74" spans="1:12" x14ac:dyDescent="0.25">
      <c r="A74" s="8" t="s">
        <v>204</v>
      </c>
      <c r="B74" s="288">
        <v>20000</v>
      </c>
      <c r="F74" s="8" t="s">
        <v>204</v>
      </c>
      <c r="G74" s="148"/>
      <c r="K74" s="38" t="s">
        <v>204</v>
      </c>
      <c r="L74" s="240">
        <f t="shared" si="6"/>
        <v>0</v>
      </c>
    </row>
    <row r="75" spans="1:12" x14ac:dyDescent="0.25">
      <c r="A75" s="8" t="s">
        <v>206</v>
      </c>
      <c r="B75" s="288">
        <v>10000</v>
      </c>
      <c r="F75" s="8" t="s">
        <v>206</v>
      </c>
      <c r="G75" s="148"/>
      <c r="K75" s="38" t="s">
        <v>206</v>
      </c>
      <c r="L75" s="240">
        <f t="shared" si="6"/>
        <v>0</v>
      </c>
    </row>
    <row r="76" spans="1:12" ht="15" customHeight="1" x14ac:dyDescent="0.25">
      <c r="A76" s="249" t="s">
        <v>207</v>
      </c>
      <c r="B76" s="288">
        <f>22000+5000</f>
        <v>27000</v>
      </c>
      <c r="F76" s="249" t="s">
        <v>207</v>
      </c>
      <c r="G76" s="148"/>
      <c r="K76" s="290" t="s">
        <v>207</v>
      </c>
      <c r="L76" s="240">
        <f t="shared" si="6"/>
        <v>0</v>
      </c>
    </row>
    <row r="77" spans="1:12" x14ac:dyDescent="0.25">
      <c r="A77" s="249" t="s">
        <v>208</v>
      </c>
      <c r="B77" s="288">
        <f t="shared" ref="B77:B78" si="7">22000+5000</f>
        <v>27000</v>
      </c>
      <c r="F77" s="249" t="s">
        <v>208</v>
      </c>
      <c r="G77" s="148"/>
      <c r="K77" s="290" t="s">
        <v>208</v>
      </c>
      <c r="L77" s="293">
        <f t="shared" si="6"/>
        <v>0</v>
      </c>
    </row>
    <row r="78" spans="1:12" ht="15" customHeight="1" thickBot="1" x14ac:dyDescent="0.3">
      <c r="A78" s="249" t="s">
        <v>209</v>
      </c>
      <c r="B78" s="288">
        <f t="shared" si="7"/>
        <v>27000</v>
      </c>
      <c r="F78" s="249" t="s">
        <v>209</v>
      </c>
      <c r="G78" s="148"/>
      <c r="K78" s="291" t="s">
        <v>209</v>
      </c>
      <c r="L78" s="294">
        <f t="shared" si="6"/>
        <v>0</v>
      </c>
    </row>
    <row r="79" spans="1:12" ht="15.75" thickBot="1" x14ac:dyDescent="0.3">
      <c r="K79" s="31" t="s">
        <v>11</v>
      </c>
      <c r="L79" s="123">
        <f>SUM(L73:L78)</f>
        <v>0</v>
      </c>
    </row>
    <row r="80" spans="1:12" ht="15.75" thickBot="1" x14ac:dyDescent="0.3">
      <c r="A80" s="213"/>
      <c r="B80" s="213"/>
      <c r="C80" s="213"/>
    </row>
    <row r="81" spans="1:12" ht="15.75" thickBot="1" x14ac:dyDescent="0.3">
      <c r="A81" s="213"/>
      <c r="B81" s="214"/>
      <c r="C81" s="214"/>
      <c r="F81" s="8">
        <f>Diskonttaus!B6</f>
        <v>2050</v>
      </c>
      <c r="G81" s="8" t="s">
        <v>210</v>
      </c>
      <c r="K81" s="69" t="s">
        <v>211</v>
      </c>
      <c r="L81" s="96" t="s">
        <v>92</v>
      </c>
    </row>
    <row r="82" spans="1:12" x14ac:dyDescent="0.25">
      <c r="A82" s="213"/>
      <c r="B82" s="214"/>
      <c r="C82" s="214"/>
      <c r="F82" s="8" t="s">
        <v>205</v>
      </c>
      <c r="G82" s="148"/>
      <c r="K82" s="52" t="s">
        <v>205</v>
      </c>
      <c r="L82" s="292">
        <f>B73*G82</f>
        <v>0</v>
      </c>
    </row>
    <row r="83" spans="1:12" x14ac:dyDescent="0.25">
      <c r="A83" s="213"/>
      <c r="B83" s="289"/>
      <c r="C83" s="289"/>
      <c r="F83" s="8" t="s">
        <v>204</v>
      </c>
      <c r="G83" s="148"/>
      <c r="K83" s="38" t="s">
        <v>204</v>
      </c>
      <c r="L83" s="240">
        <f>B74*G83</f>
        <v>0</v>
      </c>
    </row>
    <row r="84" spans="1:12" x14ac:dyDescent="0.25">
      <c r="A84" s="213"/>
      <c r="B84" s="213"/>
      <c r="C84" s="213"/>
      <c r="F84" s="8" t="s">
        <v>206</v>
      </c>
      <c r="G84" s="148"/>
      <c r="K84" s="38" t="s">
        <v>206</v>
      </c>
      <c r="L84" s="240">
        <f t="shared" ref="L84:L86" si="8">B75*G84</f>
        <v>0</v>
      </c>
    </row>
    <row r="85" spans="1:12" x14ac:dyDescent="0.25">
      <c r="A85" s="213"/>
      <c r="B85" s="213"/>
      <c r="C85" s="213"/>
      <c r="F85" s="249" t="s">
        <v>207</v>
      </c>
      <c r="G85" s="148"/>
      <c r="K85" s="290" t="s">
        <v>207</v>
      </c>
      <c r="L85" s="240">
        <f t="shared" si="8"/>
        <v>0</v>
      </c>
    </row>
    <row r="86" spans="1:12" x14ac:dyDescent="0.25">
      <c r="A86" s="213"/>
      <c r="B86" s="213"/>
      <c r="C86" s="213"/>
      <c r="F86" s="249" t="s">
        <v>208</v>
      </c>
      <c r="G86" s="148"/>
      <c r="K86" s="290" t="s">
        <v>208</v>
      </c>
      <c r="L86" s="240">
        <f t="shared" si="8"/>
        <v>0</v>
      </c>
    </row>
    <row r="87" spans="1:12" ht="15.75" thickBot="1" x14ac:dyDescent="0.3">
      <c r="A87" s="213"/>
      <c r="B87" s="213"/>
      <c r="C87" s="213"/>
      <c r="F87" s="249" t="s">
        <v>209</v>
      </c>
      <c r="G87" s="148"/>
      <c r="K87" s="291" t="s">
        <v>209</v>
      </c>
      <c r="L87" s="294">
        <f>B78*G87</f>
        <v>0</v>
      </c>
    </row>
    <row r="88" spans="1:12" ht="15.75" thickBot="1" x14ac:dyDescent="0.3">
      <c r="A88" s="213"/>
      <c r="B88" s="289"/>
      <c r="C88" s="213"/>
      <c r="K88" s="31" t="s">
        <v>11</v>
      </c>
      <c r="L88" s="123">
        <f>SUM(L82:L87)</f>
        <v>0</v>
      </c>
    </row>
    <row r="89" spans="1:12" ht="15.75" thickBot="1" x14ac:dyDescent="0.3"/>
    <row r="90" spans="1:12" ht="19.5" thickBot="1" x14ac:dyDescent="0.35">
      <c r="B90" s="1"/>
      <c r="K90" s="138" t="s">
        <v>66</v>
      </c>
      <c r="L90" s="136">
        <f ca="1">IF(ISNUMBER(Diskonttaus!B20),Diskonttaus!B26*L79+Diskonttaus!B27*L88,Diskonttaus!B26*L79)*Diskonttaus!$B$10</f>
        <v>0</v>
      </c>
    </row>
    <row r="91" spans="1:12" x14ac:dyDescent="0.25">
      <c r="B91" s="1"/>
    </row>
    <row r="92" spans="1:12" x14ac:dyDescent="0.25">
      <c r="B92" s="1"/>
    </row>
    <row r="93" spans="1:12" x14ac:dyDescent="0.25">
      <c r="B93" s="1"/>
    </row>
    <row r="94" spans="1:12" x14ac:dyDescent="0.25">
      <c r="B94" s="1"/>
    </row>
    <row r="95" spans="1:12" x14ac:dyDescent="0.25">
      <c r="B95" s="1"/>
    </row>
    <row r="96" spans="1:12" x14ac:dyDescent="0.25">
      <c r="B96" s="1"/>
    </row>
    <row r="97" spans="2:4" x14ac:dyDescent="0.25">
      <c r="B97" s="1"/>
    </row>
    <row r="98" spans="2:4" x14ac:dyDescent="0.25">
      <c r="B98" s="1"/>
    </row>
    <row r="99" spans="2:4" x14ac:dyDescent="0.25">
      <c r="B99" s="1"/>
    </row>
    <row r="100" spans="2:4" x14ac:dyDescent="0.25">
      <c r="B100" s="1"/>
    </row>
    <row r="105" spans="2:4" x14ac:dyDescent="0.25">
      <c r="D105" s="19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ul3"/>
  <dimension ref="B2:P91"/>
  <sheetViews>
    <sheetView workbookViewId="0">
      <selection activeCell="C57" sqref="C57"/>
    </sheetView>
  </sheetViews>
  <sheetFormatPr defaultRowHeight="15" x14ac:dyDescent="0.25"/>
  <cols>
    <col min="2" max="2" width="20.7109375" bestFit="1" customWidth="1"/>
    <col min="3" max="3" width="18.42578125" bestFit="1" customWidth="1"/>
    <col min="4" max="4" width="16.28515625" customWidth="1"/>
    <col min="5" max="5" width="13.85546875" customWidth="1"/>
    <col min="6" max="6" width="19.85546875" bestFit="1" customWidth="1"/>
    <col min="7" max="7" width="15.140625" customWidth="1"/>
    <col min="8" max="8" width="23" customWidth="1"/>
    <col min="9" max="9" width="11.28515625" bestFit="1" customWidth="1"/>
    <col min="10" max="10" width="14.28515625" customWidth="1"/>
    <col min="11" max="11" width="14" customWidth="1"/>
    <col min="12" max="12" width="18.140625" customWidth="1"/>
    <col min="13" max="13" width="21.7109375" bestFit="1" customWidth="1"/>
    <col min="14" max="14" width="19.7109375" bestFit="1" customWidth="1"/>
    <col min="15" max="15" width="9.5703125" bestFit="1" customWidth="1"/>
    <col min="16" max="16" width="18" bestFit="1" customWidth="1"/>
    <col min="17" max="17" width="13.140625" bestFit="1" customWidth="1"/>
    <col min="18" max="18" width="11.28515625" bestFit="1" customWidth="1"/>
  </cols>
  <sheetData>
    <row r="2" spans="2:15" ht="15" customHeight="1" thickBot="1" x14ac:dyDescent="0.3">
      <c r="B2" s="10" t="s">
        <v>107</v>
      </c>
      <c r="G2" s="10" t="s">
        <v>108</v>
      </c>
      <c r="L2" t="s">
        <v>109</v>
      </c>
    </row>
    <row r="3" spans="2:15" ht="15" customHeight="1" thickBot="1" x14ac:dyDescent="0.3">
      <c r="B3" s="31" t="s">
        <v>110</v>
      </c>
      <c r="C3" s="32" t="s">
        <v>111</v>
      </c>
      <c r="D3" s="20" t="s">
        <v>112</v>
      </c>
      <c r="F3" s="96" t="s">
        <v>110</v>
      </c>
      <c r="G3" s="32" t="s">
        <v>113</v>
      </c>
      <c r="H3" s="51" t="s">
        <v>114</v>
      </c>
      <c r="I3" s="51" t="s">
        <v>115</v>
      </c>
      <c r="J3" s="51" t="s">
        <v>116</v>
      </c>
      <c r="K3" s="51" t="s">
        <v>117</v>
      </c>
      <c r="L3" s="20" t="s">
        <v>118</v>
      </c>
    </row>
    <row r="4" spans="2:15" x14ac:dyDescent="0.25">
      <c r="B4" s="56" t="s">
        <v>93</v>
      </c>
      <c r="C4" s="164">
        <f>L67</f>
        <v>0.11276059999999999</v>
      </c>
      <c r="D4" s="163">
        <f>M67</f>
        <v>5.7953570000000003E-2</v>
      </c>
      <c r="F4" s="56"/>
      <c r="G4" s="279">
        <v>2.4E-2</v>
      </c>
      <c r="H4" s="280">
        <v>7.1999999999999995E-2</v>
      </c>
      <c r="I4" s="280">
        <v>0.13100000000000001</v>
      </c>
      <c r="J4" s="280">
        <v>0.26</v>
      </c>
      <c r="K4" s="280">
        <v>0.376</v>
      </c>
      <c r="L4" s="281">
        <v>0</v>
      </c>
    </row>
    <row r="5" spans="2:15" x14ac:dyDescent="0.25">
      <c r="B5" s="35" t="s">
        <v>95</v>
      </c>
      <c r="C5" s="55">
        <v>0</v>
      </c>
      <c r="D5" s="45">
        <v>0</v>
      </c>
      <c r="F5" s="35" t="s">
        <v>119</v>
      </c>
      <c r="G5" s="248">
        <v>410600</v>
      </c>
      <c r="H5" s="8"/>
      <c r="I5" s="8"/>
      <c r="J5" s="8"/>
      <c r="K5" s="8"/>
      <c r="L5" s="45"/>
    </row>
    <row r="6" spans="2:15" ht="15" customHeight="1" thickBot="1" x14ac:dyDescent="0.3">
      <c r="B6" s="35" t="s">
        <v>96</v>
      </c>
      <c r="C6" s="55">
        <v>0</v>
      </c>
      <c r="D6" s="45">
        <v>0</v>
      </c>
      <c r="F6" s="57" t="s">
        <v>32</v>
      </c>
      <c r="G6" s="169">
        <f t="shared" ref="G6:L6" si="0">$G$5*G4/1000000</f>
        <v>9.8543999999999993E-3</v>
      </c>
      <c r="H6" s="167">
        <f t="shared" si="0"/>
        <v>2.9563199999999998E-2</v>
      </c>
      <c r="I6" s="167">
        <f t="shared" si="0"/>
        <v>5.3788600000000006E-2</v>
      </c>
      <c r="J6" s="167">
        <f t="shared" si="0"/>
        <v>0.106756</v>
      </c>
      <c r="K6" s="167">
        <f t="shared" si="0"/>
        <v>0.15438560000000001</v>
      </c>
      <c r="L6" s="168">
        <f t="shared" si="0"/>
        <v>0</v>
      </c>
    </row>
    <row r="7" spans="2:15" x14ac:dyDescent="0.25">
      <c r="B7" s="35" t="s">
        <v>97</v>
      </c>
      <c r="C7" s="55">
        <v>0</v>
      </c>
      <c r="D7" s="45">
        <v>0</v>
      </c>
    </row>
    <row r="8" spans="2:15" ht="15.75" thickBot="1" x14ac:dyDescent="0.3">
      <c r="B8" s="35" t="s">
        <v>56</v>
      </c>
      <c r="C8" s="165">
        <f>L51</f>
        <v>1.831532E-2</v>
      </c>
      <c r="D8" s="161">
        <f>M51</f>
        <v>1.0337919999999999E-2</v>
      </c>
      <c r="F8" t="s">
        <v>122</v>
      </c>
    </row>
    <row r="9" spans="2:15" x14ac:dyDescent="0.25">
      <c r="B9" s="35" t="s">
        <v>75</v>
      </c>
      <c r="C9" s="165">
        <f>L59</f>
        <v>3.0743385999999998E-2</v>
      </c>
      <c r="D9" s="161">
        <f>M59</f>
        <v>1.6811258999999999E-2</v>
      </c>
      <c r="F9" s="21" t="s">
        <v>199</v>
      </c>
    </row>
    <row r="10" spans="2:15" ht="15.75" thickBot="1" x14ac:dyDescent="0.3">
      <c r="B10" s="35" t="s">
        <v>77</v>
      </c>
      <c r="C10" s="165">
        <f>L75</f>
        <v>3.5655002999999998E-2</v>
      </c>
      <c r="D10" s="161">
        <f>M75</f>
        <v>3.4803214999999998E-2</v>
      </c>
      <c r="F10" s="57">
        <f>E91</f>
        <v>1336</v>
      </c>
    </row>
    <row r="11" spans="2:15" ht="15" customHeight="1" thickBot="1" x14ac:dyDescent="0.3">
      <c r="B11" s="57" t="s">
        <v>120</v>
      </c>
      <c r="C11" s="166">
        <f>L83</f>
        <v>0.16276423000000001</v>
      </c>
      <c r="D11" s="162">
        <f>M83</f>
        <v>9.4804100000000002E-2</v>
      </c>
    </row>
    <row r="13" spans="2:15" ht="15" customHeight="1" thickBot="1" x14ac:dyDescent="0.3">
      <c r="B13" s="11">
        <f>Diskonttaus!B4</f>
        <v>2030</v>
      </c>
      <c r="H13" s="11">
        <f>Diskonttaus!B4</f>
        <v>2030</v>
      </c>
    </row>
    <row r="14" spans="2:15" ht="15" customHeight="1" thickBot="1" x14ac:dyDescent="0.3">
      <c r="B14" s="50" t="s">
        <v>6</v>
      </c>
      <c r="C14" s="54" t="s">
        <v>121</v>
      </c>
      <c r="D14" s="54" t="s">
        <v>107</v>
      </c>
      <c r="E14" s="94" t="s">
        <v>122</v>
      </c>
      <c r="F14" s="96" t="s">
        <v>74</v>
      </c>
      <c r="H14" s="31" t="s">
        <v>123</v>
      </c>
      <c r="I14" s="32" t="s">
        <v>124</v>
      </c>
      <c r="J14" s="51" t="s">
        <v>125</v>
      </c>
      <c r="K14" s="51" t="s">
        <v>126</v>
      </c>
      <c r="L14" s="51" t="s">
        <v>127</v>
      </c>
      <c r="M14" s="51" t="s">
        <v>128</v>
      </c>
      <c r="N14" s="84" t="s">
        <v>129</v>
      </c>
      <c r="O14" s="96" t="s">
        <v>74</v>
      </c>
    </row>
    <row r="15" spans="2:15" x14ac:dyDescent="0.25">
      <c r="B15" s="52" t="s">
        <v>93</v>
      </c>
      <c r="C15" s="71">
        <f t="shared" ref="C15:C22" si="1">$G$6*I15+$H$6*J15+$I$6*K15+$J$6*L15+$K$6*M15+$L$6*N15</f>
        <v>0</v>
      </c>
      <c r="D15" s="72">
        <f t="shared" ref="D15:D22" si="2">C4*SUM(K15:N15)+D4*SUM(I15:J15)</f>
        <v>0</v>
      </c>
      <c r="E15" s="44"/>
      <c r="F15" s="70"/>
      <c r="H15" s="56" t="s">
        <v>93</v>
      </c>
      <c r="I15" s="282"/>
      <c r="J15" s="283"/>
      <c r="K15" s="283"/>
      <c r="L15" s="283"/>
      <c r="M15" s="283"/>
      <c r="N15" s="284"/>
      <c r="O15" s="56">
        <f t="shared" ref="O15:O22" si="3">SUM(I15:N15)</f>
        <v>0</v>
      </c>
    </row>
    <row r="16" spans="2:15" x14ac:dyDescent="0.25">
      <c r="B16" s="38" t="s">
        <v>95</v>
      </c>
      <c r="C16" s="73">
        <f t="shared" si="1"/>
        <v>0</v>
      </c>
      <c r="D16" s="134">
        <f t="shared" si="2"/>
        <v>0</v>
      </c>
      <c r="E16" s="45"/>
      <c r="F16" s="100"/>
      <c r="H16" s="35" t="s">
        <v>95</v>
      </c>
      <c r="I16" s="197"/>
      <c r="J16" s="198"/>
      <c r="K16" s="198"/>
      <c r="L16" s="198"/>
      <c r="M16" s="198"/>
      <c r="N16" s="199">
        <f>Tuottajahyodyt!S10</f>
        <v>0</v>
      </c>
      <c r="O16" s="35">
        <f t="shared" si="3"/>
        <v>0</v>
      </c>
    </row>
    <row r="17" spans="2:16" x14ac:dyDescent="0.25">
      <c r="B17" s="38" t="s">
        <v>96</v>
      </c>
      <c r="C17" s="73">
        <f t="shared" si="1"/>
        <v>0</v>
      </c>
      <c r="D17" s="134">
        <f t="shared" si="2"/>
        <v>0</v>
      </c>
      <c r="E17" s="45"/>
      <c r="F17" s="100"/>
      <c r="H17" s="35" t="s">
        <v>96</v>
      </c>
      <c r="I17" s="197"/>
      <c r="J17" s="198"/>
      <c r="K17" s="198"/>
      <c r="L17" s="198"/>
      <c r="M17" s="198"/>
      <c r="N17" s="200"/>
      <c r="O17" s="35">
        <f t="shared" si="3"/>
        <v>0</v>
      </c>
    </row>
    <row r="18" spans="2:16" x14ac:dyDescent="0.25">
      <c r="B18" s="38" t="s">
        <v>97</v>
      </c>
      <c r="C18" s="73">
        <f t="shared" si="1"/>
        <v>0</v>
      </c>
      <c r="D18" s="134">
        <f t="shared" si="2"/>
        <v>0</v>
      </c>
      <c r="E18" s="45"/>
      <c r="F18" s="100"/>
      <c r="H18" s="35" t="s">
        <v>97</v>
      </c>
      <c r="I18" s="197"/>
      <c r="J18" s="198"/>
      <c r="K18" s="198"/>
      <c r="L18" s="198"/>
      <c r="M18" s="198"/>
      <c r="N18" s="200"/>
      <c r="O18" s="35">
        <f t="shared" si="3"/>
        <v>0</v>
      </c>
    </row>
    <row r="19" spans="2:16" x14ac:dyDescent="0.25">
      <c r="B19" s="38" t="s">
        <v>56</v>
      </c>
      <c r="C19" s="73">
        <f t="shared" si="1"/>
        <v>0</v>
      </c>
      <c r="D19" s="134">
        <f t="shared" si="2"/>
        <v>0</v>
      </c>
      <c r="E19" s="45"/>
      <c r="F19" s="100"/>
      <c r="H19" s="35" t="s">
        <v>56</v>
      </c>
      <c r="I19" s="170"/>
      <c r="J19" s="171"/>
      <c r="K19" s="171"/>
      <c r="L19" s="171"/>
      <c r="M19" s="171"/>
      <c r="N19" s="172"/>
      <c r="O19" s="35">
        <f t="shared" si="3"/>
        <v>0</v>
      </c>
    </row>
    <row r="20" spans="2:16" x14ac:dyDescent="0.25">
      <c r="B20" s="98" t="s">
        <v>75</v>
      </c>
      <c r="C20" s="73">
        <f t="shared" si="1"/>
        <v>0</v>
      </c>
      <c r="D20" s="134">
        <f t="shared" si="2"/>
        <v>0</v>
      </c>
      <c r="E20" s="99"/>
      <c r="F20" s="100"/>
      <c r="H20" s="35" t="s">
        <v>75</v>
      </c>
      <c r="I20" s="173"/>
      <c r="J20" s="174"/>
      <c r="K20" s="174"/>
      <c r="L20" s="174"/>
      <c r="M20" s="174"/>
      <c r="N20" s="175"/>
      <c r="O20" s="35">
        <f t="shared" si="3"/>
        <v>0</v>
      </c>
    </row>
    <row r="21" spans="2:16" x14ac:dyDescent="0.25">
      <c r="B21" s="98" t="s">
        <v>77</v>
      </c>
      <c r="C21" s="73">
        <f t="shared" si="1"/>
        <v>0</v>
      </c>
      <c r="D21" s="134">
        <f t="shared" si="2"/>
        <v>0</v>
      </c>
      <c r="E21" s="99"/>
      <c r="F21" s="100"/>
      <c r="H21" s="86" t="s">
        <v>77</v>
      </c>
      <c r="I21" s="173"/>
      <c r="J21" s="174"/>
      <c r="K21" s="174"/>
      <c r="L21" s="174"/>
      <c r="M21" s="174"/>
      <c r="N21" s="175"/>
      <c r="O21" s="35">
        <f t="shared" si="3"/>
        <v>0</v>
      </c>
    </row>
    <row r="22" spans="2:16" ht="15" customHeight="1" thickBot="1" x14ac:dyDescent="0.3">
      <c r="B22" s="53" t="s">
        <v>120</v>
      </c>
      <c r="C22" s="102">
        <f t="shared" si="1"/>
        <v>0</v>
      </c>
      <c r="D22" s="67">
        <f t="shared" si="2"/>
        <v>0</v>
      </c>
      <c r="E22" s="47"/>
      <c r="F22" s="33"/>
      <c r="H22" s="57" t="s">
        <v>120</v>
      </c>
      <c r="I22" s="176"/>
      <c r="J22" s="177"/>
      <c r="K22" s="177"/>
      <c r="L22" s="177"/>
      <c r="M22" s="177"/>
      <c r="N22" s="178"/>
      <c r="O22" s="57">
        <f t="shared" si="3"/>
        <v>0</v>
      </c>
    </row>
    <row r="23" spans="2:16" ht="15" customHeight="1" thickBot="1" x14ac:dyDescent="0.3">
      <c r="B23" s="96" t="s">
        <v>74</v>
      </c>
      <c r="C23" s="124">
        <f>SUM(C15:C22)</f>
        <v>0</v>
      </c>
      <c r="D23" s="125">
        <f>SUM(D15:D22)</f>
        <v>0</v>
      </c>
      <c r="E23" s="126"/>
      <c r="F23" s="127"/>
    </row>
    <row r="24" spans="2:16" ht="15" customHeight="1" thickBot="1" x14ac:dyDescent="0.3">
      <c r="B24" s="96" t="s">
        <v>63</v>
      </c>
      <c r="C24" s="116">
        <f>Diskonttaus!$B$11*C23</f>
        <v>0</v>
      </c>
      <c r="D24" s="117">
        <f>Diskonttaus!$B$11*D23</f>
        <v>0</v>
      </c>
      <c r="E24" s="85">
        <f>F10*I24</f>
        <v>0</v>
      </c>
      <c r="F24" s="88">
        <f>SUM(C24:E24)</f>
        <v>0</v>
      </c>
      <c r="H24" s="69" t="s">
        <v>200</v>
      </c>
      <c r="I24" s="285"/>
      <c r="J24" s="1"/>
      <c r="K24" s="1"/>
      <c r="L24" s="1"/>
      <c r="M24" s="1"/>
      <c r="O24" s="18"/>
      <c r="P24" s="13"/>
    </row>
    <row r="25" spans="2:16" x14ac:dyDescent="0.25">
      <c r="C25" s="101"/>
      <c r="D25" s="101"/>
      <c r="E25" s="101"/>
      <c r="F25" s="101"/>
      <c r="I25" s="1"/>
      <c r="J25" s="1"/>
      <c r="K25" s="1"/>
      <c r="L25" s="1"/>
      <c r="M25" s="1"/>
      <c r="O25" s="18"/>
      <c r="P25" s="13"/>
    </row>
    <row r="26" spans="2:16" ht="15" customHeight="1" thickBot="1" x14ac:dyDescent="0.3">
      <c r="B26" s="11">
        <f>Diskonttaus!B6</f>
        <v>2050</v>
      </c>
      <c r="C26" s="101"/>
      <c r="D26" s="101"/>
      <c r="E26" s="101"/>
      <c r="F26" s="101"/>
      <c r="H26" s="11">
        <f>Diskonttaus!B6</f>
        <v>2050</v>
      </c>
      <c r="I26" s="1"/>
      <c r="J26" s="1"/>
      <c r="K26" s="1"/>
      <c r="L26" s="1"/>
      <c r="M26" s="1"/>
      <c r="O26" s="18"/>
      <c r="P26" s="13"/>
    </row>
    <row r="27" spans="2:16" ht="15" customHeight="1" thickBot="1" x14ac:dyDescent="0.3">
      <c r="B27" s="50" t="s">
        <v>6</v>
      </c>
      <c r="C27" s="54" t="s">
        <v>121</v>
      </c>
      <c r="D27" s="54" t="s">
        <v>107</v>
      </c>
      <c r="E27" s="94" t="s">
        <v>122</v>
      </c>
      <c r="F27" s="96" t="s">
        <v>74</v>
      </c>
      <c r="H27" s="31" t="s">
        <v>123</v>
      </c>
      <c r="I27" s="32" t="s">
        <v>124</v>
      </c>
      <c r="J27" s="51" t="s">
        <v>125</v>
      </c>
      <c r="K27" s="51" t="s">
        <v>126</v>
      </c>
      <c r="L27" s="51" t="s">
        <v>127</v>
      </c>
      <c r="M27" s="51" t="s">
        <v>128</v>
      </c>
      <c r="N27" s="84" t="s">
        <v>129</v>
      </c>
      <c r="O27" s="96" t="s">
        <v>74</v>
      </c>
    </row>
    <row r="28" spans="2:16" x14ac:dyDescent="0.25">
      <c r="B28" s="52" t="s">
        <v>93</v>
      </c>
      <c r="C28" s="71">
        <f t="shared" ref="C28:C35" si="4">$G$6*I28+$H$6*J28+$I$6*K28+$J$6*L28+$K$6*M28+$L$6*N28</f>
        <v>0</v>
      </c>
      <c r="D28" s="72">
        <f t="shared" ref="D28:D35" si="5">C4*SUM(K28:N28)+D4*SUM(I28:J28)</f>
        <v>0</v>
      </c>
      <c r="E28" s="44"/>
      <c r="F28" s="70"/>
      <c r="H28" s="56" t="s">
        <v>93</v>
      </c>
      <c r="I28" s="282"/>
      <c r="J28" s="283"/>
      <c r="K28" s="283"/>
      <c r="L28" s="283"/>
      <c r="M28" s="283"/>
      <c r="N28" s="284"/>
      <c r="O28" s="56">
        <f t="shared" ref="O28:O35" si="6">SUM(I28:N28)</f>
        <v>0</v>
      </c>
    </row>
    <row r="29" spans="2:16" x14ac:dyDescent="0.25">
      <c r="B29" s="38" t="s">
        <v>95</v>
      </c>
      <c r="C29" s="73">
        <f t="shared" si="4"/>
        <v>0</v>
      </c>
      <c r="D29" s="134">
        <f t="shared" si="5"/>
        <v>0</v>
      </c>
      <c r="E29" s="45"/>
      <c r="F29" s="100"/>
      <c r="H29" s="35" t="s">
        <v>95</v>
      </c>
      <c r="I29" s="197"/>
      <c r="J29" s="198"/>
      <c r="K29" s="198"/>
      <c r="L29" s="198"/>
      <c r="M29" s="198"/>
      <c r="N29" s="199">
        <f>Tuottajahyodyt!S18</f>
        <v>0</v>
      </c>
      <c r="O29" s="35">
        <f t="shared" si="6"/>
        <v>0</v>
      </c>
    </row>
    <row r="30" spans="2:16" x14ac:dyDescent="0.25">
      <c r="B30" s="38" t="s">
        <v>96</v>
      </c>
      <c r="C30" s="73">
        <f t="shared" si="4"/>
        <v>0</v>
      </c>
      <c r="D30" s="134">
        <f t="shared" si="5"/>
        <v>0</v>
      </c>
      <c r="E30" s="45"/>
      <c r="F30" s="100"/>
      <c r="H30" s="35" t="s">
        <v>96</v>
      </c>
      <c r="I30" s="197"/>
      <c r="J30" s="198"/>
      <c r="K30" s="198"/>
      <c r="L30" s="198"/>
      <c r="M30" s="198"/>
      <c r="N30" s="200"/>
      <c r="O30" s="35">
        <f t="shared" si="6"/>
        <v>0</v>
      </c>
    </row>
    <row r="31" spans="2:16" x14ac:dyDescent="0.25">
      <c r="B31" s="38" t="s">
        <v>97</v>
      </c>
      <c r="C31" s="73">
        <f t="shared" si="4"/>
        <v>0</v>
      </c>
      <c r="D31" s="134">
        <f t="shared" si="5"/>
        <v>0</v>
      </c>
      <c r="E31" s="45"/>
      <c r="F31" s="100"/>
      <c r="H31" s="35" t="s">
        <v>97</v>
      </c>
      <c r="I31" s="197"/>
      <c r="J31" s="198"/>
      <c r="K31" s="198"/>
      <c r="L31" s="198"/>
      <c r="M31" s="198"/>
      <c r="N31" s="200"/>
      <c r="O31" s="35">
        <f t="shared" si="6"/>
        <v>0</v>
      </c>
    </row>
    <row r="32" spans="2:16" x14ac:dyDescent="0.25">
      <c r="B32" s="38" t="s">
        <v>56</v>
      </c>
      <c r="C32" s="73">
        <f t="shared" si="4"/>
        <v>0</v>
      </c>
      <c r="D32" s="134">
        <f t="shared" si="5"/>
        <v>0</v>
      </c>
      <c r="E32" s="45"/>
      <c r="F32" s="100"/>
      <c r="H32" s="35" t="s">
        <v>56</v>
      </c>
      <c r="I32" s="170"/>
      <c r="J32" s="171"/>
      <c r="K32" s="171"/>
      <c r="L32" s="171"/>
      <c r="M32" s="171"/>
      <c r="N32" s="172"/>
      <c r="O32" s="35">
        <f t="shared" si="6"/>
        <v>0</v>
      </c>
    </row>
    <row r="33" spans="2:16" x14ac:dyDescent="0.25">
      <c r="B33" s="98" t="s">
        <v>75</v>
      </c>
      <c r="C33" s="73">
        <f t="shared" si="4"/>
        <v>0</v>
      </c>
      <c r="D33" s="134">
        <f t="shared" si="5"/>
        <v>0</v>
      </c>
      <c r="E33" s="99"/>
      <c r="F33" s="100"/>
      <c r="H33" s="35" t="s">
        <v>75</v>
      </c>
      <c r="I33" s="173"/>
      <c r="J33" s="174"/>
      <c r="K33" s="174"/>
      <c r="L33" s="174"/>
      <c r="M33" s="174"/>
      <c r="N33" s="175"/>
      <c r="O33" s="35">
        <f t="shared" si="6"/>
        <v>0</v>
      </c>
    </row>
    <row r="34" spans="2:16" x14ac:dyDescent="0.25">
      <c r="B34" s="98" t="s">
        <v>77</v>
      </c>
      <c r="C34" s="73">
        <f t="shared" si="4"/>
        <v>0</v>
      </c>
      <c r="D34" s="134">
        <f t="shared" si="5"/>
        <v>0</v>
      </c>
      <c r="E34" s="99"/>
      <c r="F34" s="100"/>
      <c r="H34" s="86" t="s">
        <v>77</v>
      </c>
      <c r="I34" s="173"/>
      <c r="J34" s="174"/>
      <c r="K34" s="174"/>
      <c r="L34" s="174"/>
      <c r="M34" s="174"/>
      <c r="N34" s="175"/>
      <c r="O34" s="35">
        <f t="shared" si="6"/>
        <v>0</v>
      </c>
    </row>
    <row r="35" spans="2:16" ht="15" customHeight="1" thickBot="1" x14ac:dyDescent="0.3">
      <c r="B35" s="53" t="s">
        <v>120</v>
      </c>
      <c r="C35" s="102">
        <f t="shared" si="4"/>
        <v>0</v>
      </c>
      <c r="D35" s="134">
        <f t="shared" si="5"/>
        <v>0</v>
      </c>
      <c r="E35" s="47"/>
      <c r="F35" s="33"/>
      <c r="H35" s="57" t="s">
        <v>120</v>
      </c>
      <c r="I35" s="176"/>
      <c r="J35" s="177"/>
      <c r="K35" s="177"/>
      <c r="L35" s="177"/>
      <c r="M35" s="177"/>
      <c r="N35" s="178"/>
      <c r="O35" s="57">
        <f t="shared" si="6"/>
        <v>0</v>
      </c>
    </row>
    <row r="36" spans="2:16" ht="15" customHeight="1" thickBot="1" x14ac:dyDescent="0.3">
      <c r="B36" s="96" t="s">
        <v>74</v>
      </c>
      <c r="C36" s="124">
        <f>SUM(C28:C35)</f>
        <v>0</v>
      </c>
      <c r="D36" s="125">
        <f>SUM(D28:D35)</f>
        <v>0</v>
      </c>
      <c r="E36" s="126"/>
      <c r="F36" s="127"/>
    </row>
    <row r="37" spans="2:16" ht="15" customHeight="1" thickBot="1" x14ac:dyDescent="0.3">
      <c r="B37" s="96" t="s">
        <v>63</v>
      </c>
      <c r="C37" s="116">
        <f>Diskonttaus!$B$11*C36</f>
        <v>0</v>
      </c>
      <c r="D37" s="117">
        <f>Diskonttaus!$B$11*D36</f>
        <v>0</v>
      </c>
      <c r="E37" s="85">
        <f>F10*I37</f>
        <v>0</v>
      </c>
      <c r="F37" s="88">
        <f>SUM(C37:E37)</f>
        <v>0</v>
      </c>
      <c r="H37" s="69" t="s">
        <v>200</v>
      </c>
      <c r="I37" s="286"/>
    </row>
    <row r="38" spans="2:16" x14ac:dyDescent="0.25">
      <c r="C38" s="101"/>
      <c r="D38" s="101"/>
      <c r="E38" s="101"/>
      <c r="F38" s="101"/>
    </row>
    <row r="39" spans="2:16" ht="15" customHeight="1" thickBot="1" x14ac:dyDescent="0.3">
      <c r="F39" s="101"/>
    </row>
    <row r="40" spans="2:16" ht="18.600000000000001" customHeight="1" thickBot="1" x14ac:dyDescent="0.35">
      <c r="B40" s="138" t="s">
        <v>66</v>
      </c>
      <c r="C40" s="139">
        <f ca="1">IF(ISNUMBER(Diskonttaus!$B$20),Diskonttaus!$B$19*Ulkoisvaikutukset!C24+Diskonttaus!$B$20*Ulkoisvaikutukset!C37,Diskonttaus!$B$19*Ulkoisvaikutukset!C24)</f>
        <v>0</v>
      </c>
      <c r="D40" s="140">
        <f ca="1">IF(ISNUMBER(Diskonttaus!$B$20),Diskonttaus!$B$19*Ulkoisvaikutukset!D24+Diskonttaus!$B$20*Ulkoisvaikutukset!D37,Diskonttaus!$B$19*Ulkoisvaikutukset!D24)</f>
        <v>0</v>
      </c>
      <c r="E40" s="140">
        <f ca="1">IF(ISNUMBER(Diskonttaus!$B$20),Diskonttaus!$B$19*Ulkoisvaikutukset!E24+Diskonttaus!$B$20*Ulkoisvaikutukset!E37,Diskonttaus!$B$19*Ulkoisvaikutukset!E24)</f>
        <v>0</v>
      </c>
      <c r="F40" s="141">
        <f ca="1">IF(ISNUMBER(Diskonttaus!$B$20),Diskonttaus!$B$19*Ulkoisvaikutukset!F24+Diskonttaus!$B$20*Ulkoisvaikutukset!F37,Diskonttaus!$B$19*Ulkoisvaikutukset!F24)</f>
        <v>0</v>
      </c>
    </row>
    <row r="41" spans="2:16" x14ac:dyDescent="0.25">
      <c r="C41" s="101"/>
      <c r="D41" s="101"/>
      <c r="E41" s="101"/>
      <c r="F41" s="101"/>
    </row>
    <row r="42" spans="2:16" x14ac:dyDescent="0.25">
      <c r="M42" s="101"/>
      <c r="N42" s="101"/>
      <c r="O42" s="101"/>
      <c r="P42" s="101"/>
    </row>
    <row r="43" spans="2:16" x14ac:dyDescent="0.25">
      <c r="M43" s="101"/>
      <c r="N43" s="101"/>
      <c r="O43" s="101"/>
      <c r="P43" s="101"/>
    </row>
    <row r="45" spans="2:16" ht="18" customHeight="1" x14ac:dyDescent="0.3">
      <c r="B45" s="135" t="s">
        <v>130</v>
      </c>
      <c r="C45" t="s">
        <v>131</v>
      </c>
      <c r="G45" t="s">
        <v>132</v>
      </c>
      <c r="L45" t="s">
        <v>133</v>
      </c>
    </row>
    <row r="46" spans="2:16" x14ac:dyDescent="0.25">
      <c r="B46" t="s">
        <v>56</v>
      </c>
      <c r="C46" t="s">
        <v>111</v>
      </c>
      <c r="D46" t="s">
        <v>112</v>
      </c>
      <c r="G46" t="s">
        <v>111</v>
      </c>
      <c r="H46" t="s">
        <v>112</v>
      </c>
      <c r="L46" t="s">
        <v>111</v>
      </c>
      <c r="M46" t="s">
        <v>112</v>
      </c>
    </row>
    <row r="47" spans="2:16" x14ac:dyDescent="0.25">
      <c r="B47" t="s">
        <v>134</v>
      </c>
      <c r="C47" s="179">
        <v>0.04</v>
      </c>
      <c r="D47" s="179">
        <v>0.02</v>
      </c>
      <c r="G47" s="181">
        <v>33</v>
      </c>
      <c r="H47" s="181">
        <v>33</v>
      </c>
      <c r="L47" s="182">
        <f t="shared" ref="L47:M50" si="7">C47*G47/1000000</f>
        <v>1.3200000000000001E-6</v>
      </c>
      <c r="M47" s="182">
        <f t="shared" si="7"/>
        <v>6.6000000000000003E-7</v>
      </c>
    </row>
    <row r="48" spans="2:16" x14ac:dyDescent="0.25">
      <c r="B48" t="s">
        <v>135</v>
      </c>
      <c r="C48" s="179">
        <v>0.44</v>
      </c>
      <c r="D48" s="179">
        <v>0.28000000000000003</v>
      </c>
      <c r="G48" s="181">
        <v>1500</v>
      </c>
      <c r="H48" s="181">
        <v>320</v>
      </c>
      <c r="L48" s="182">
        <f t="shared" si="7"/>
        <v>6.6E-4</v>
      </c>
      <c r="M48" s="182">
        <f t="shared" si="7"/>
        <v>8.9600000000000009E-5</v>
      </c>
    </row>
    <row r="49" spans="2:13" x14ac:dyDescent="0.25">
      <c r="B49" t="s">
        <v>136</v>
      </c>
      <c r="C49" s="179">
        <v>1.4999999999999999E-2</v>
      </c>
      <c r="D49" s="179">
        <v>9.4000000000000004E-3</v>
      </c>
      <c r="G49" s="181">
        <v>140000</v>
      </c>
      <c r="H49" s="181">
        <v>8900</v>
      </c>
      <c r="L49" s="182">
        <f t="shared" si="7"/>
        <v>2.0999999999999999E-3</v>
      </c>
      <c r="M49" s="182">
        <f t="shared" si="7"/>
        <v>8.3659999999999995E-5</v>
      </c>
    </row>
    <row r="50" spans="2:13" x14ac:dyDescent="0.25">
      <c r="B50" t="s">
        <v>137</v>
      </c>
      <c r="C50" s="180">
        <v>202</v>
      </c>
      <c r="D50" s="180">
        <v>132</v>
      </c>
      <c r="G50" s="181">
        <v>77</v>
      </c>
      <c r="H50" s="181">
        <v>77</v>
      </c>
      <c r="L50" s="182">
        <f t="shared" si="7"/>
        <v>1.5554E-2</v>
      </c>
      <c r="M50" s="182">
        <f t="shared" si="7"/>
        <v>1.0163999999999999E-2</v>
      </c>
    </row>
    <row r="51" spans="2:13" x14ac:dyDescent="0.25">
      <c r="C51" s="13"/>
      <c r="D51" s="13"/>
      <c r="K51" t="s">
        <v>62</v>
      </c>
      <c r="L51" s="182">
        <f>SUM(L47:L50)</f>
        <v>1.831532E-2</v>
      </c>
      <c r="M51" s="182">
        <f>SUM(M47:M50)</f>
        <v>1.0337919999999999E-2</v>
      </c>
    </row>
    <row r="52" spans="2:13" x14ac:dyDescent="0.25">
      <c r="C52" s="13"/>
      <c r="D52" s="13"/>
      <c r="L52" s="182"/>
      <c r="M52" s="182"/>
    </row>
    <row r="53" spans="2:13" x14ac:dyDescent="0.25">
      <c r="B53" t="s">
        <v>130</v>
      </c>
      <c r="C53" t="s">
        <v>131</v>
      </c>
      <c r="G53" t="s">
        <v>132</v>
      </c>
      <c r="L53" t="s">
        <v>133</v>
      </c>
    </row>
    <row r="54" spans="2:13" x14ac:dyDescent="0.25">
      <c r="B54" t="s">
        <v>75</v>
      </c>
      <c r="C54" t="s">
        <v>111</v>
      </c>
      <c r="D54" t="s">
        <v>112</v>
      </c>
      <c r="G54" t="s">
        <v>111</v>
      </c>
      <c r="H54" t="s">
        <v>112</v>
      </c>
      <c r="L54" t="s">
        <v>111</v>
      </c>
      <c r="M54" t="s">
        <v>112</v>
      </c>
    </row>
    <row r="55" spans="2:13" x14ac:dyDescent="0.25">
      <c r="B55" t="s">
        <v>134</v>
      </c>
      <c r="C55" s="179">
        <v>4.2000000000000003E-2</v>
      </c>
      <c r="D55" s="179">
        <v>2.3E-2</v>
      </c>
      <c r="G55" s="181">
        <v>33</v>
      </c>
      <c r="H55" s="181">
        <v>33</v>
      </c>
      <c r="L55" s="182">
        <f t="shared" ref="L55:M58" si="8">C55*G55/1000000</f>
        <v>1.3860000000000002E-6</v>
      </c>
      <c r="M55" s="182">
        <f t="shared" si="8"/>
        <v>7.5900000000000006E-7</v>
      </c>
    </row>
    <row r="56" spans="2:13" x14ac:dyDescent="0.25">
      <c r="B56" t="s">
        <v>135</v>
      </c>
      <c r="C56" s="179">
        <v>1.1000000000000001</v>
      </c>
      <c r="D56" s="179">
        <v>0.86</v>
      </c>
      <c r="G56" s="181">
        <v>1500</v>
      </c>
      <c r="H56" s="181">
        <v>320</v>
      </c>
      <c r="L56" s="182">
        <f t="shared" si="8"/>
        <v>1.6500000000000002E-3</v>
      </c>
      <c r="M56" s="182">
        <f t="shared" si="8"/>
        <v>2.7519999999999997E-4</v>
      </c>
    </row>
    <row r="57" spans="2:13" x14ac:dyDescent="0.25">
      <c r="B57" t="s">
        <v>136</v>
      </c>
      <c r="C57" s="179">
        <v>5.6000000000000001E-2</v>
      </c>
      <c r="D57" s="179">
        <v>6.7000000000000004E-2</v>
      </c>
      <c r="G57" s="181">
        <v>140000</v>
      </c>
      <c r="H57" s="181">
        <v>8900</v>
      </c>
      <c r="L57" s="182">
        <f t="shared" si="8"/>
        <v>7.8399999999999997E-3</v>
      </c>
      <c r="M57" s="182">
        <f t="shared" si="8"/>
        <v>5.9630000000000002E-4</v>
      </c>
    </row>
    <row r="58" spans="2:13" x14ac:dyDescent="0.25">
      <c r="B58" t="s">
        <v>137</v>
      </c>
      <c r="C58" s="180">
        <v>276</v>
      </c>
      <c r="D58" s="180">
        <v>207</v>
      </c>
      <c r="G58" s="181">
        <v>77</v>
      </c>
      <c r="H58" s="181">
        <v>77</v>
      </c>
      <c r="L58" s="182">
        <f t="shared" si="8"/>
        <v>2.1252E-2</v>
      </c>
      <c r="M58" s="182">
        <f t="shared" si="8"/>
        <v>1.5938999999999998E-2</v>
      </c>
    </row>
    <row r="59" spans="2:13" x14ac:dyDescent="0.25">
      <c r="C59" s="13"/>
      <c r="D59" s="13"/>
      <c r="K59" t="s">
        <v>62</v>
      </c>
      <c r="L59" s="182">
        <f>SUM(L55:L58)</f>
        <v>3.0743385999999998E-2</v>
      </c>
      <c r="M59" s="182">
        <f>SUM(M55:M58)</f>
        <v>1.6811258999999999E-2</v>
      </c>
    </row>
    <row r="60" spans="2:13" x14ac:dyDescent="0.25">
      <c r="C60" s="13"/>
      <c r="D60" s="13"/>
      <c r="L60" s="182"/>
      <c r="M60" s="182"/>
    </row>
    <row r="61" spans="2:13" x14ac:dyDescent="0.25">
      <c r="B61" t="s">
        <v>130</v>
      </c>
      <c r="C61" t="s">
        <v>131</v>
      </c>
      <c r="G61" t="s">
        <v>132</v>
      </c>
      <c r="L61" t="s">
        <v>133</v>
      </c>
    </row>
    <row r="62" spans="2:13" x14ac:dyDescent="0.25">
      <c r="B62" t="s">
        <v>138</v>
      </c>
      <c r="C62" t="s">
        <v>111</v>
      </c>
      <c r="D62" t="s">
        <v>112</v>
      </c>
      <c r="G62" t="s">
        <v>111</v>
      </c>
      <c r="H62" t="s">
        <v>112</v>
      </c>
      <c r="L62" t="s">
        <v>111</v>
      </c>
      <c r="M62" t="s">
        <v>112</v>
      </c>
    </row>
    <row r="63" spans="2:13" x14ac:dyDescent="0.25">
      <c r="B63" t="s">
        <v>134</v>
      </c>
      <c r="C63" s="179">
        <v>0.2</v>
      </c>
      <c r="D63" s="179">
        <v>0.09</v>
      </c>
      <c r="G63" s="181">
        <v>33</v>
      </c>
      <c r="H63" s="181">
        <v>33</v>
      </c>
      <c r="L63" s="182">
        <f t="shared" ref="L63:M66" si="9">C63*G63/1000000</f>
        <v>6.6000000000000003E-6</v>
      </c>
      <c r="M63" s="182">
        <f t="shared" si="9"/>
        <v>2.9699999999999999E-6</v>
      </c>
    </row>
    <row r="64" spans="2:13" x14ac:dyDescent="0.25">
      <c r="B64" t="s">
        <v>135</v>
      </c>
      <c r="C64" s="179">
        <v>6</v>
      </c>
      <c r="D64" s="179">
        <v>3.9</v>
      </c>
      <c r="G64" s="181">
        <v>1500</v>
      </c>
      <c r="H64" s="181">
        <v>320</v>
      </c>
      <c r="L64" s="182">
        <f t="shared" si="9"/>
        <v>8.9999999999999993E-3</v>
      </c>
      <c r="M64" s="182">
        <f t="shared" si="9"/>
        <v>1.248E-3</v>
      </c>
    </row>
    <row r="65" spans="2:13" x14ac:dyDescent="0.25">
      <c r="B65" t="s">
        <v>136</v>
      </c>
      <c r="C65" s="179">
        <v>0.08</v>
      </c>
      <c r="D65" s="179">
        <v>6.4000000000000001E-2</v>
      </c>
      <c r="G65" s="181">
        <v>140000</v>
      </c>
      <c r="H65" s="181">
        <v>8900</v>
      </c>
      <c r="L65" s="182">
        <f t="shared" si="9"/>
        <v>1.12E-2</v>
      </c>
      <c r="M65" s="182">
        <f t="shared" si="9"/>
        <v>5.6960000000000008E-4</v>
      </c>
    </row>
    <row r="66" spans="2:13" x14ac:dyDescent="0.25">
      <c r="B66" t="s">
        <v>137</v>
      </c>
      <c r="C66" s="180">
        <v>1202</v>
      </c>
      <c r="D66" s="180">
        <v>729</v>
      </c>
      <c r="G66" s="181">
        <v>77</v>
      </c>
      <c r="H66" s="181">
        <v>77</v>
      </c>
      <c r="L66" s="182">
        <f t="shared" si="9"/>
        <v>9.2553999999999997E-2</v>
      </c>
      <c r="M66" s="182">
        <f t="shared" si="9"/>
        <v>5.6133000000000002E-2</v>
      </c>
    </row>
    <row r="67" spans="2:13" x14ac:dyDescent="0.25">
      <c r="K67" t="s">
        <v>62</v>
      </c>
      <c r="L67" s="182">
        <f>SUM(L63:L66)</f>
        <v>0.11276059999999999</v>
      </c>
      <c r="M67" s="182">
        <f>SUM(M63:M66)</f>
        <v>5.7953570000000003E-2</v>
      </c>
    </row>
    <row r="68" spans="2:13" x14ac:dyDescent="0.25">
      <c r="C68" t="s">
        <v>139</v>
      </c>
      <c r="D68" t="s">
        <v>140</v>
      </c>
      <c r="L68" s="182"/>
      <c r="M68" s="182"/>
    </row>
    <row r="69" spans="2:13" x14ac:dyDescent="0.25">
      <c r="B69" t="s">
        <v>130</v>
      </c>
      <c r="C69" t="s">
        <v>131</v>
      </c>
      <c r="G69" t="s">
        <v>132</v>
      </c>
      <c r="L69" t="s">
        <v>133</v>
      </c>
    </row>
    <row r="70" spans="2:13" x14ac:dyDescent="0.25">
      <c r="B70" t="s">
        <v>77</v>
      </c>
      <c r="C70" t="s">
        <v>111</v>
      </c>
      <c r="D70" t="s">
        <v>112</v>
      </c>
      <c r="G70" t="s">
        <v>111</v>
      </c>
      <c r="H70" t="s">
        <v>112</v>
      </c>
      <c r="L70" t="s">
        <v>111</v>
      </c>
      <c r="M70" t="s">
        <v>112</v>
      </c>
    </row>
    <row r="71" spans="2:13" x14ac:dyDescent="0.25">
      <c r="B71" t="s">
        <v>134</v>
      </c>
      <c r="C71" s="179">
        <v>9.0999999999999998E-2</v>
      </c>
      <c r="D71" s="179">
        <v>5.5E-2</v>
      </c>
      <c r="G71" s="181">
        <v>33</v>
      </c>
      <c r="H71" s="181">
        <v>33</v>
      </c>
      <c r="L71" s="182">
        <f t="shared" ref="L71:M74" si="10">C71*G71/1000000</f>
        <v>3.0030000000000003E-6</v>
      </c>
      <c r="M71" s="182">
        <f t="shared" si="10"/>
        <v>1.815E-6</v>
      </c>
    </row>
    <row r="72" spans="2:13" x14ac:dyDescent="0.25">
      <c r="B72" t="s">
        <v>135</v>
      </c>
      <c r="C72" s="179">
        <v>1.2</v>
      </c>
      <c r="D72" s="179">
        <v>2.6</v>
      </c>
      <c r="G72" s="181">
        <v>1500</v>
      </c>
      <c r="H72" s="181">
        <v>320</v>
      </c>
      <c r="L72" s="182">
        <f t="shared" si="10"/>
        <v>1.8E-3</v>
      </c>
      <c r="M72" s="182">
        <f t="shared" si="10"/>
        <v>8.3199999999999995E-4</v>
      </c>
    </row>
    <row r="73" spans="2:13" x14ac:dyDescent="0.25">
      <c r="B73" t="s">
        <v>136</v>
      </c>
      <c r="C73" s="179">
        <v>3.5000000000000003E-2</v>
      </c>
      <c r="D73" s="179">
        <v>3.5999999999999997E-2</v>
      </c>
      <c r="G73" s="181">
        <v>140000</v>
      </c>
      <c r="H73" s="181">
        <v>8900</v>
      </c>
      <c r="L73" s="182">
        <f t="shared" si="10"/>
        <v>4.9000000000000007E-3</v>
      </c>
      <c r="M73" s="182">
        <f t="shared" si="10"/>
        <v>3.2039999999999998E-4</v>
      </c>
    </row>
    <row r="74" spans="2:13" x14ac:dyDescent="0.25">
      <c r="B74" t="s">
        <v>137</v>
      </c>
      <c r="C74" s="180">
        <v>376</v>
      </c>
      <c r="D74" s="180">
        <v>437</v>
      </c>
      <c r="G74" s="181">
        <v>77</v>
      </c>
      <c r="H74" s="181">
        <v>77</v>
      </c>
      <c r="L74" s="182">
        <f t="shared" si="10"/>
        <v>2.8951999999999999E-2</v>
      </c>
      <c r="M74" s="182">
        <f t="shared" si="10"/>
        <v>3.3648999999999998E-2</v>
      </c>
    </row>
    <row r="75" spans="2:13" x14ac:dyDescent="0.25">
      <c r="K75" t="s">
        <v>62</v>
      </c>
      <c r="L75" s="182">
        <f>SUM(L71:L74)</f>
        <v>3.5655002999999998E-2</v>
      </c>
      <c r="M75" s="182">
        <f>SUM(M71:M74)</f>
        <v>3.4803214999999998E-2</v>
      </c>
    </row>
    <row r="76" spans="2:13" x14ac:dyDescent="0.25">
      <c r="C76" t="s">
        <v>141</v>
      </c>
      <c r="D76" t="s">
        <v>142</v>
      </c>
    </row>
    <row r="77" spans="2:13" x14ac:dyDescent="0.25">
      <c r="B77" t="s">
        <v>130</v>
      </c>
      <c r="C77" t="s">
        <v>131</v>
      </c>
      <c r="G77" t="s">
        <v>132</v>
      </c>
      <c r="L77" t="s">
        <v>133</v>
      </c>
    </row>
    <row r="78" spans="2:13" x14ac:dyDescent="0.25">
      <c r="B78" t="s">
        <v>120</v>
      </c>
      <c r="C78" t="s">
        <v>111</v>
      </c>
      <c r="D78" t="s">
        <v>112</v>
      </c>
      <c r="G78" t="s">
        <v>111</v>
      </c>
      <c r="H78" t="s">
        <v>112</v>
      </c>
      <c r="L78" t="s">
        <v>111</v>
      </c>
      <c r="M78" t="s">
        <v>112</v>
      </c>
    </row>
    <row r="79" spans="2:13" x14ac:dyDescent="0.25">
      <c r="B79" t="s">
        <v>134</v>
      </c>
      <c r="C79" s="179">
        <v>0.31</v>
      </c>
      <c r="D79" s="179">
        <v>0.1</v>
      </c>
      <c r="G79" s="181">
        <v>33</v>
      </c>
      <c r="H79" s="181">
        <v>33</v>
      </c>
      <c r="L79" s="182">
        <f t="shared" ref="L79:M82" si="11">C79*G79/1000000</f>
        <v>1.023E-5</v>
      </c>
      <c r="M79" s="182">
        <f t="shared" si="11"/>
        <v>3.3000000000000002E-6</v>
      </c>
    </row>
    <row r="80" spans="2:13" x14ac:dyDescent="0.25">
      <c r="B80" t="s">
        <v>135</v>
      </c>
      <c r="C80" s="179">
        <v>9.6999999999999993</v>
      </c>
      <c r="D80" s="179">
        <v>6.5</v>
      </c>
      <c r="G80" s="181">
        <v>1500</v>
      </c>
      <c r="H80" s="181">
        <v>320</v>
      </c>
      <c r="L80" s="182">
        <f t="shared" si="11"/>
        <v>1.4549999999999999E-2</v>
      </c>
      <c r="M80" s="182">
        <f t="shared" si="11"/>
        <v>2.0799999999999998E-3</v>
      </c>
    </row>
    <row r="81" spans="2:13" x14ac:dyDescent="0.25">
      <c r="B81" t="s">
        <v>136</v>
      </c>
      <c r="C81" s="179">
        <v>0.15</v>
      </c>
      <c r="D81" s="179">
        <v>6.2E-2</v>
      </c>
      <c r="G81" s="181">
        <v>140000</v>
      </c>
      <c r="H81" s="181">
        <v>8900</v>
      </c>
      <c r="L81" s="182">
        <f t="shared" si="11"/>
        <v>2.1000000000000001E-2</v>
      </c>
      <c r="M81" s="182">
        <f t="shared" si="11"/>
        <v>5.5179999999999997E-4</v>
      </c>
    </row>
    <row r="82" spans="2:13" x14ac:dyDescent="0.25">
      <c r="B82" t="s">
        <v>137</v>
      </c>
      <c r="C82" s="180">
        <v>1652</v>
      </c>
      <c r="D82" s="180">
        <v>1197</v>
      </c>
      <c r="G82" s="181">
        <v>77</v>
      </c>
      <c r="H82" s="181">
        <v>77</v>
      </c>
      <c r="L82" s="182">
        <f t="shared" si="11"/>
        <v>0.12720400000000001</v>
      </c>
      <c r="M82" s="182">
        <f t="shared" si="11"/>
        <v>9.2169000000000001E-2</v>
      </c>
    </row>
    <row r="83" spans="2:13" x14ac:dyDescent="0.25">
      <c r="K83" t="s">
        <v>62</v>
      </c>
      <c r="L83" s="182">
        <f>SUM(L79:L82)</f>
        <v>0.16276423000000001</v>
      </c>
      <c r="M83" s="182">
        <f>SUM(M79:M82)</f>
        <v>9.4804100000000002E-2</v>
      </c>
    </row>
    <row r="85" spans="2:13" x14ac:dyDescent="0.25">
      <c r="B85" t="s">
        <v>191</v>
      </c>
      <c r="C85" t="s">
        <v>197</v>
      </c>
      <c r="D85" t="s">
        <v>198</v>
      </c>
    </row>
    <row r="86" spans="2:13" x14ac:dyDescent="0.25">
      <c r="B86" t="s">
        <v>192</v>
      </c>
      <c r="C86" s="181">
        <v>130</v>
      </c>
      <c r="D86" s="287">
        <v>0</v>
      </c>
      <c r="E86">
        <f>D86*C86</f>
        <v>0</v>
      </c>
    </row>
    <row r="87" spans="2:13" x14ac:dyDescent="0.25">
      <c r="B87" t="s">
        <v>193</v>
      </c>
      <c r="C87" s="181">
        <v>720</v>
      </c>
      <c r="D87" s="287">
        <v>0.6</v>
      </c>
      <c r="E87">
        <f t="shared" ref="E87:E90" si="12">D87*C87</f>
        <v>432</v>
      </c>
    </row>
    <row r="88" spans="2:13" x14ac:dyDescent="0.25">
      <c r="B88" t="s">
        <v>194</v>
      </c>
      <c r="C88" s="181">
        <v>1840</v>
      </c>
      <c r="D88" s="287">
        <v>0.3</v>
      </c>
      <c r="E88">
        <f t="shared" si="12"/>
        <v>552</v>
      </c>
    </row>
    <row r="89" spans="2:13" x14ac:dyDescent="0.25">
      <c r="B89" t="s">
        <v>195</v>
      </c>
      <c r="C89" s="181">
        <v>3520</v>
      </c>
      <c r="D89" s="287">
        <v>0.1</v>
      </c>
      <c r="E89">
        <f t="shared" si="12"/>
        <v>352</v>
      </c>
    </row>
    <row r="90" spans="2:13" x14ac:dyDescent="0.25">
      <c r="B90" t="s">
        <v>196</v>
      </c>
      <c r="C90" s="181">
        <v>6030</v>
      </c>
      <c r="D90" s="287">
        <v>0</v>
      </c>
      <c r="E90">
        <f t="shared" si="12"/>
        <v>0</v>
      </c>
    </row>
    <row r="91" spans="2:13" x14ac:dyDescent="0.25">
      <c r="E91">
        <f>SUM(E86:E90)</f>
        <v>1336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"/>
  <sheetViews>
    <sheetView workbookViewId="0">
      <selection activeCell="J13" sqref="J13"/>
    </sheetView>
  </sheetViews>
  <sheetFormatPr defaultRowHeight="15" x14ac:dyDescent="0.25"/>
  <cols>
    <col min="1" max="1" width="22.28515625" customWidth="1"/>
    <col min="2" max="2" width="24" customWidth="1"/>
    <col min="3" max="3" width="17.5703125" bestFit="1" customWidth="1"/>
    <col min="10" max="10" width="11.85546875" bestFit="1" customWidth="1"/>
  </cols>
  <sheetData>
    <row r="1" spans="1:10" x14ac:dyDescent="0.25">
      <c r="A1" s="17"/>
    </row>
    <row r="3" spans="1:10" x14ac:dyDescent="0.25">
      <c r="I3" t="s">
        <v>143</v>
      </c>
    </row>
    <row r="4" spans="1:10" x14ac:dyDescent="0.25">
      <c r="I4" t="s">
        <v>144</v>
      </c>
    </row>
    <row r="5" spans="1:10" ht="15" customHeight="1" thickBot="1" x14ac:dyDescent="0.3">
      <c r="B5" s="10" t="s">
        <v>74</v>
      </c>
    </row>
    <row r="6" spans="1:10" ht="15" customHeight="1" thickBot="1" x14ac:dyDescent="0.3">
      <c r="A6" s="11" t="s">
        <v>98</v>
      </c>
      <c r="B6" s="82">
        <f>Diskonttaus!B4</f>
        <v>2030</v>
      </c>
      <c r="C6" s="80"/>
      <c r="F6" s="187" t="s">
        <v>59</v>
      </c>
      <c r="G6" s="27" t="s">
        <v>101</v>
      </c>
      <c r="H6" s="27" t="s">
        <v>61</v>
      </c>
      <c r="I6" s="27" t="s">
        <v>62</v>
      </c>
      <c r="J6" s="28" t="s">
        <v>63</v>
      </c>
    </row>
    <row r="7" spans="1:10" x14ac:dyDescent="0.25">
      <c r="B7" s="35" t="s">
        <v>145</v>
      </c>
      <c r="C7" s="132">
        <f>Kayttajahyodyt!I75</f>
        <v>0</v>
      </c>
      <c r="F7" s="252">
        <v>0.46500000000000002</v>
      </c>
      <c r="G7" s="253">
        <v>9.4E-2</v>
      </c>
      <c r="H7" s="253">
        <v>0.36899999999999999</v>
      </c>
      <c r="I7" s="43"/>
      <c r="J7" s="44"/>
    </row>
    <row r="8" spans="1:10" ht="15" customHeight="1" thickBot="1" x14ac:dyDescent="0.3">
      <c r="B8" s="35" t="s">
        <v>68</v>
      </c>
      <c r="C8" s="132">
        <f>J8</f>
        <v>0</v>
      </c>
      <c r="F8" s="185"/>
      <c r="G8" s="186"/>
      <c r="H8" s="186"/>
      <c r="I8" s="149">
        <f>F8/F7+G8/G7+H8/H7</f>
        <v>0</v>
      </c>
      <c r="J8" s="188">
        <f>I8*Diskonttaus!$B$11</f>
        <v>0</v>
      </c>
    </row>
    <row r="9" spans="1:10" ht="15" customHeight="1" thickBot="1" x14ac:dyDescent="0.3">
      <c r="B9" s="57" t="s">
        <v>11</v>
      </c>
      <c r="C9" s="121">
        <f>SUM(C7:C8)</f>
        <v>0</v>
      </c>
    </row>
    <row r="10" spans="1:10" ht="15" customHeight="1" thickBot="1" x14ac:dyDescent="0.3"/>
    <row r="11" spans="1:10" ht="15" customHeight="1" thickBot="1" x14ac:dyDescent="0.3">
      <c r="B11" s="82">
        <f>Diskonttaus!B6</f>
        <v>2050</v>
      </c>
      <c r="C11" s="80"/>
      <c r="F11" s="187" t="s">
        <v>59</v>
      </c>
      <c r="G11" s="27" t="s">
        <v>101</v>
      </c>
      <c r="H11" s="27" t="s">
        <v>61</v>
      </c>
      <c r="I11" s="27" t="s">
        <v>62</v>
      </c>
      <c r="J11" s="28" t="s">
        <v>63</v>
      </c>
    </row>
    <row r="12" spans="1:10" x14ac:dyDescent="0.25">
      <c r="B12" s="35" t="s">
        <v>145</v>
      </c>
      <c r="C12" s="132">
        <f>Kayttajahyodyt!I82</f>
        <v>0</v>
      </c>
      <c r="F12" s="252">
        <v>0.46500000000000002</v>
      </c>
      <c r="G12" s="253">
        <v>9.4E-2</v>
      </c>
      <c r="H12" s="253">
        <v>0.36899999999999999</v>
      </c>
      <c r="I12" s="43"/>
      <c r="J12" s="44"/>
    </row>
    <row r="13" spans="1:10" ht="15" customHeight="1" thickBot="1" x14ac:dyDescent="0.3">
      <c r="B13" s="35" t="s">
        <v>68</v>
      </c>
      <c r="C13" s="132">
        <f>J13</f>
        <v>0</v>
      </c>
      <c r="F13" s="185"/>
      <c r="G13" s="186"/>
      <c r="H13" s="186"/>
      <c r="I13" s="149">
        <f>F13/F12+G13/G12+H13/H12</f>
        <v>0</v>
      </c>
      <c r="J13" s="188">
        <f>I13*Diskonttaus!$B$11</f>
        <v>0</v>
      </c>
    </row>
    <row r="14" spans="1:10" ht="15" customHeight="1" thickBot="1" x14ac:dyDescent="0.3">
      <c r="B14" s="57" t="s">
        <v>11</v>
      </c>
      <c r="C14" s="121">
        <f>SUM(C12:C13)</f>
        <v>0</v>
      </c>
    </row>
    <row r="15" spans="1:10" ht="15" customHeight="1" thickBot="1" x14ac:dyDescent="0.3"/>
    <row r="16" spans="1:10" ht="18.600000000000001" customHeight="1" thickBot="1" x14ac:dyDescent="0.35">
      <c r="B16" s="137" t="s">
        <v>66</v>
      </c>
      <c r="C16" s="142">
        <f ca="1">IF(ISNUMBER(Diskonttaus!B20),Diskonttaus!B26*C9+Diskonttaus!B27*C14,Diskonttaus!B26*C9)*Diskonttaus!$B$10</f>
        <v>0</v>
      </c>
    </row>
    <row r="18" spans="1:3" x14ac:dyDescent="0.25">
      <c r="A18" s="11" t="s">
        <v>146</v>
      </c>
    </row>
    <row r="19" spans="1:3" ht="15" customHeight="1" thickBot="1" x14ac:dyDescent="0.3"/>
    <row r="20" spans="1:3" x14ac:dyDescent="0.25">
      <c r="B20" s="21">
        <f>Diskonttaus!B4</f>
        <v>2030</v>
      </c>
      <c r="C20" s="80"/>
    </row>
    <row r="21" spans="1:3" x14ac:dyDescent="0.25">
      <c r="B21" s="35" t="s">
        <v>64</v>
      </c>
      <c r="C21" s="68"/>
    </row>
    <row r="22" spans="1:3" x14ac:dyDescent="0.25">
      <c r="B22" s="35" t="s">
        <v>65</v>
      </c>
      <c r="C22" s="68"/>
    </row>
    <row r="23" spans="1:3" ht="15" customHeight="1" thickBot="1" x14ac:dyDescent="0.3">
      <c r="B23" s="57" t="s">
        <v>11</v>
      </c>
      <c r="C23" s="128"/>
    </row>
    <row r="24" spans="1:3" ht="15" customHeight="1" thickBot="1" x14ac:dyDescent="0.3"/>
    <row r="25" spans="1:3" x14ac:dyDescent="0.25">
      <c r="B25" s="21">
        <f>Diskonttaus!B6</f>
        <v>2050</v>
      </c>
      <c r="C25" s="80"/>
    </row>
    <row r="26" spans="1:3" x14ac:dyDescent="0.25">
      <c r="B26" s="35" t="s">
        <v>64</v>
      </c>
      <c r="C26" s="68"/>
    </row>
    <row r="27" spans="1:3" x14ac:dyDescent="0.25">
      <c r="B27" s="35" t="s">
        <v>65</v>
      </c>
      <c r="C27" s="68"/>
    </row>
    <row r="28" spans="1:3" ht="15.75" thickBot="1" x14ac:dyDescent="0.3">
      <c r="B28" s="57" t="s">
        <v>11</v>
      </c>
      <c r="C28" s="128"/>
    </row>
    <row r="29" spans="1:3" ht="15" customHeight="1" thickBot="1" x14ac:dyDescent="0.3">
      <c r="B29" s="129"/>
      <c r="C29" s="193"/>
    </row>
    <row r="30" spans="1:3" ht="18.600000000000001" customHeight="1" thickBot="1" x14ac:dyDescent="0.35">
      <c r="B30" s="137" t="s">
        <v>66</v>
      </c>
      <c r="C30" s="143"/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AA41"/>
  <sheetViews>
    <sheetView workbookViewId="0">
      <selection activeCell="AC9" sqref="AC9"/>
    </sheetView>
  </sheetViews>
  <sheetFormatPr defaultRowHeight="15" x14ac:dyDescent="0.25"/>
  <cols>
    <col min="2" max="2" width="48.28515625" customWidth="1"/>
    <col min="26" max="26" width="13.28515625" bestFit="1" customWidth="1"/>
    <col min="27" max="27" width="12" bestFit="1" customWidth="1"/>
  </cols>
  <sheetData>
    <row r="3" spans="2:27" x14ac:dyDescent="0.25">
      <c r="B3" t="s">
        <v>147</v>
      </c>
    </row>
    <row r="6" spans="2:27" ht="18" customHeight="1" x14ac:dyDescent="0.3">
      <c r="B6" s="11" t="s">
        <v>9</v>
      </c>
      <c r="D6" s="13">
        <f>SUM(C41:W41)</f>
        <v>0</v>
      </c>
      <c r="Z6" t="s">
        <v>148</v>
      </c>
      <c r="AA6" s="135" t="s">
        <v>149</v>
      </c>
    </row>
    <row r="7" spans="2:27" x14ac:dyDescent="0.25">
      <c r="Y7" t="s">
        <v>31</v>
      </c>
      <c r="Z7">
        <f>Diskonttaus!B3+Diskonttaus!B7</f>
        <v>2060</v>
      </c>
    </row>
    <row r="8" spans="2:27" ht="15" customHeight="1" thickBot="1" x14ac:dyDescent="0.3">
      <c r="C8">
        <f>Diskonttaus!B3-10</f>
        <v>2020</v>
      </c>
      <c r="D8">
        <f t="shared" ref="D8:L8" si="0">C8+1</f>
        <v>2021</v>
      </c>
      <c r="E8">
        <f t="shared" si="0"/>
        <v>2022</v>
      </c>
      <c r="F8">
        <f t="shared" si="0"/>
        <v>2023</v>
      </c>
      <c r="G8">
        <f t="shared" si="0"/>
        <v>2024</v>
      </c>
      <c r="H8">
        <f t="shared" si="0"/>
        <v>2025</v>
      </c>
      <c r="I8">
        <f t="shared" si="0"/>
        <v>2026</v>
      </c>
      <c r="J8">
        <f t="shared" si="0"/>
        <v>2027</v>
      </c>
      <c r="K8">
        <f t="shared" si="0"/>
        <v>2028</v>
      </c>
      <c r="L8">
        <f t="shared" si="0"/>
        <v>2029</v>
      </c>
      <c r="N8">
        <f>Diskonttaus!B5-10</f>
        <v>2030</v>
      </c>
      <c r="O8">
        <f t="shared" ref="O8:W8" si="1">N8+1</f>
        <v>2031</v>
      </c>
      <c r="P8">
        <f t="shared" si="1"/>
        <v>2032</v>
      </c>
      <c r="Q8">
        <f t="shared" si="1"/>
        <v>2033</v>
      </c>
      <c r="R8">
        <f t="shared" si="1"/>
        <v>2034</v>
      </c>
      <c r="S8">
        <f t="shared" si="1"/>
        <v>2035</v>
      </c>
      <c r="T8">
        <f t="shared" si="1"/>
        <v>2036</v>
      </c>
      <c r="U8">
        <f t="shared" si="1"/>
        <v>2037</v>
      </c>
      <c r="V8">
        <f t="shared" si="1"/>
        <v>2038</v>
      </c>
      <c r="W8">
        <f t="shared" si="1"/>
        <v>2039</v>
      </c>
      <c r="X8" t="s">
        <v>11</v>
      </c>
    </row>
    <row r="9" spans="2:27" x14ac:dyDescent="0.25">
      <c r="B9" t="s">
        <v>160</v>
      </c>
      <c r="C9" s="60"/>
      <c r="D9" s="61"/>
      <c r="E9" s="61"/>
      <c r="F9" s="61"/>
      <c r="G9" s="61"/>
      <c r="H9" s="61"/>
      <c r="I9" s="61"/>
      <c r="J9" s="61"/>
      <c r="K9" s="61"/>
      <c r="L9" s="62"/>
      <c r="N9" s="60"/>
      <c r="O9" s="61"/>
      <c r="P9" s="61"/>
      <c r="Q9" s="61"/>
      <c r="R9" s="61"/>
      <c r="S9" s="61"/>
      <c r="T9" s="61"/>
      <c r="U9" s="61"/>
      <c r="V9" s="61"/>
      <c r="W9" s="62"/>
      <c r="X9" s="13">
        <f t="shared" ref="X9:X22" si="2">SUM(C27:W27)</f>
        <v>0</v>
      </c>
      <c r="Y9" s="13"/>
      <c r="Z9" s="235"/>
      <c r="AA9" s="58">
        <f>Z9*X9/(1+Diskonttaus!$B$8)^(Investointikustannus!$Z$7-Diskonttaus!$B$2)</f>
        <v>0</v>
      </c>
    </row>
    <row r="10" spans="2:27" x14ac:dyDescent="0.25">
      <c r="B10" t="s">
        <v>161</v>
      </c>
      <c r="C10" s="63"/>
      <c r="L10" s="74"/>
      <c r="N10" s="63"/>
      <c r="W10" s="74"/>
      <c r="X10" s="13">
        <f t="shared" si="2"/>
        <v>0</v>
      </c>
      <c r="Y10" s="13"/>
      <c r="Z10" s="236"/>
      <c r="AA10" s="58">
        <f>Z10*X10/(1+Diskonttaus!$B$8)^(Investointikustannus!$Z$7-Diskonttaus!$B$2)</f>
        <v>0</v>
      </c>
    </row>
    <row r="11" spans="2:27" x14ac:dyDescent="0.25">
      <c r="B11" t="s">
        <v>162</v>
      </c>
      <c r="C11" s="63"/>
      <c r="L11" s="74"/>
      <c r="N11" s="63"/>
      <c r="W11" s="74"/>
      <c r="X11" s="13">
        <f t="shared" si="2"/>
        <v>0</v>
      </c>
      <c r="Y11" s="13"/>
      <c r="Z11" s="236"/>
      <c r="AA11" s="58">
        <f>Z11*X11/(1+Diskonttaus!$B$8)^(Investointikustannus!$Z$7-Diskonttaus!$B$2)</f>
        <v>0</v>
      </c>
    </row>
    <row r="12" spans="2:27" x14ac:dyDescent="0.25">
      <c r="B12" t="s">
        <v>163</v>
      </c>
      <c r="C12" s="63"/>
      <c r="L12" s="74"/>
      <c r="N12" s="63"/>
      <c r="W12" s="74"/>
      <c r="X12" s="13">
        <f t="shared" si="2"/>
        <v>0</v>
      </c>
      <c r="Y12" s="13"/>
      <c r="Z12" s="236"/>
      <c r="AA12" s="58">
        <f>Z12*X12/(1+Diskonttaus!$B$8)^(Investointikustannus!$Z$7-Diskonttaus!$B$2)</f>
        <v>0</v>
      </c>
    </row>
    <row r="13" spans="2:27" x14ac:dyDescent="0.25">
      <c r="B13" t="s">
        <v>164</v>
      </c>
      <c r="C13" s="63"/>
      <c r="L13" s="74"/>
      <c r="N13" s="63"/>
      <c r="W13" s="74"/>
      <c r="X13" s="13">
        <f t="shared" si="2"/>
        <v>0</v>
      </c>
      <c r="Y13" s="13"/>
      <c r="Z13" s="236"/>
      <c r="AA13" s="58">
        <f>Z13*X13/(1+Diskonttaus!$B$8)^(Investointikustannus!$Z$7-Diskonttaus!$B$2)</f>
        <v>0</v>
      </c>
    </row>
    <row r="14" spans="2:27" x14ac:dyDescent="0.25">
      <c r="B14" t="s">
        <v>150</v>
      </c>
      <c r="C14" s="63"/>
      <c r="L14" s="74"/>
      <c r="N14" s="63"/>
      <c r="W14" s="74"/>
      <c r="X14" s="13">
        <f t="shared" si="2"/>
        <v>0</v>
      </c>
      <c r="Y14" s="13"/>
      <c r="Z14" s="237"/>
      <c r="AA14" s="13">
        <f>Z14*X14/(1+Diskonttaus!$B$8)^(Investointikustannus!$Z$7-Diskonttaus!$B$2)</f>
        <v>0</v>
      </c>
    </row>
    <row r="15" spans="2:27" x14ac:dyDescent="0.25">
      <c r="B15" t="s">
        <v>151</v>
      </c>
      <c r="C15" s="63"/>
      <c r="L15" s="74"/>
      <c r="N15" s="63"/>
      <c r="W15" s="74"/>
      <c r="X15" s="13">
        <f t="shared" si="2"/>
        <v>0</v>
      </c>
      <c r="Y15" s="13"/>
      <c r="Z15" s="237"/>
      <c r="AA15" s="13">
        <f>Z15*X15/(1+Diskonttaus!$B$8)^(Investointikustannus!$Z$7-Diskonttaus!$B$2)</f>
        <v>0</v>
      </c>
    </row>
    <row r="16" spans="2:27" x14ac:dyDescent="0.25">
      <c r="B16" t="s">
        <v>152</v>
      </c>
      <c r="C16" s="63"/>
      <c r="L16" s="74"/>
      <c r="N16" s="63"/>
      <c r="W16" s="74"/>
      <c r="X16" s="13">
        <f t="shared" si="2"/>
        <v>0</v>
      </c>
      <c r="Y16" s="13"/>
      <c r="Z16" s="237"/>
      <c r="AA16" s="13">
        <f>Z16*X16/(1+Diskonttaus!$B$8)^(Investointikustannus!$Z$7-Diskonttaus!$B$2)</f>
        <v>0</v>
      </c>
    </row>
    <row r="17" spans="2:27" x14ac:dyDescent="0.25">
      <c r="B17" t="s">
        <v>153</v>
      </c>
      <c r="C17" s="63"/>
      <c r="L17" s="74"/>
      <c r="N17" s="63"/>
      <c r="W17" s="74"/>
      <c r="X17" s="13">
        <f t="shared" si="2"/>
        <v>0</v>
      </c>
      <c r="Y17" s="13"/>
      <c r="Z17" s="237"/>
      <c r="AA17" s="13">
        <f>Z17*X17/(1+Diskonttaus!$B$8)^(Investointikustannus!$Z$7-Diskonttaus!$B$2)</f>
        <v>0</v>
      </c>
    </row>
    <row r="18" spans="2:27" x14ac:dyDescent="0.25">
      <c r="B18" t="s">
        <v>154</v>
      </c>
      <c r="C18" s="63"/>
      <c r="L18" s="74"/>
      <c r="N18" s="63"/>
      <c r="W18" s="74"/>
      <c r="X18" s="13">
        <f t="shared" si="2"/>
        <v>0</v>
      </c>
      <c r="Y18" s="13"/>
      <c r="Z18" s="237"/>
      <c r="AA18" s="13">
        <f>Z18*X18/(1+Diskonttaus!$B$8)^(Investointikustannus!$Z$7-Diskonttaus!$B$2)</f>
        <v>0</v>
      </c>
    </row>
    <row r="19" spans="2:27" x14ac:dyDescent="0.25">
      <c r="B19" t="s">
        <v>155</v>
      </c>
      <c r="C19" s="63"/>
      <c r="L19" s="74"/>
      <c r="N19" s="63"/>
      <c r="W19" s="74"/>
      <c r="X19" s="13">
        <f t="shared" si="2"/>
        <v>0</v>
      </c>
      <c r="Y19" s="13"/>
      <c r="Z19" s="237"/>
      <c r="AA19" s="13">
        <f>Z19*X19/(1+Diskonttaus!$B$8)^(Investointikustannus!$Z$7-Diskonttaus!$B$2)</f>
        <v>0</v>
      </c>
    </row>
    <row r="20" spans="2:27" x14ac:dyDescent="0.25">
      <c r="B20" t="s">
        <v>156</v>
      </c>
      <c r="C20" s="63"/>
      <c r="L20" s="74"/>
      <c r="N20" s="63"/>
      <c r="W20" s="74"/>
      <c r="X20" s="13">
        <f t="shared" si="2"/>
        <v>0</v>
      </c>
      <c r="Y20" s="13"/>
      <c r="Z20" s="237"/>
      <c r="AA20" s="13">
        <f>Z20*X20/(1+Diskonttaus!$B$8)^(Investointikustannus!$Z$7-Diskonttaus!$B$2)</f>
        <v>0</v>
      </c>
    </row>
    <row r="21" spans="2:27" x14ac:dyDescent="0.25">
      <c r="B21" t="s">
        <v>157</v>
      </c>
      <c r="C21" s="63"/>
      <c r="L21" s="74"/>
      <c r="N21" s="63"/>
      <c r="W21" s="74"/>
      <c r="X21" s="13">
        <f t="shared" si="2"/>
        <v>0</v>
      </c>
      <c r="Y21" s="13"/>
      <c r="Z21" s="237"/>
      <c r="AA21" s="13">
        <f>Z21*X21/(1+Diskonttaus!$B$8)^(Investointikustannus!$Z$7-Diskonttaus!$B$2)</f>
        <v>0</v>
      </c>
    </row>
    <row r="22" spans="2:27" ht="15" customHeight="1" thickBot="1" x14ac:dyDescent="0.3">
      <c r="B22" t="s">
        <v>158</v>
      </c>
      <c r="C22" s="39"/>
      <c r="D22" s="79"/>
      <c r="E22" s="79"/>
      <c r="F22" s="79"/>
      <c r="G22" s="79"/>
      <c r="H22" s="79"/>
      <c r="I22" s="79"/>
      <c r="J22" s="79"/>
      <c r="K22" s="79"/>
      <c r="L22" s="83"/>
      <c r="N22" s="39"/>
      <c r="O22" s="79"/>
      <c r="P22" s="79"/>
      <c r="Q22" s="79"/>
      <c r="R22" s="79"/>
      <c r="S22" s="79"/>
      <c r="T22" s="79"/>
      <c r="U22" s="79"/>
      <c r="V22" s="79"/>
      <c r="W22" s="83"/>
      <c r="X22" s="13">
        <f t="shared" si="2"/>
        <v>0</v>
      </c>
      <c r="Y22" s="13"/>
      <c r="Z22" s="238"/>
      <c r="AA22" s="13">
        <f>Z22*X22/(1+Diskonttaus!$B$8)^(Investointikustannus!$Z$7-Diskonttaus!$B$2)</f>
        <v>0</v>
      </c>
    </row>
    <row r="23" spans="2:27" ht="18.600000000000001" customHeight="1" thickBot="1" x14ac:dyDescent="0.35">
      <c r="B23" t="s">
        <v>11</v>
      </c>
      <c r="C23">
        <f t="shared" ref="C23:L23" si="3">SUM(C9:C22)</f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N23">
        <f t="shared" ref="N23:W23" si="4">SUM(N9:N22)</f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AA23" s="183">
        <f>SUM(AA9:AA22)</f>
        <v>0</v>
      </c>
    </row>
    <row r="26" spans="2:27" x14ac:dyDescent="0.25">
      <c r="B26" t="s">
        <v>159</v>
      </c>
    </row>
    <row r="27" spans="2:27" x14ac:dyDescent="0.25">
      <c r="B27" t="s">
        <v>160</v>
      </c>
      <c r="C27" s="16">
        <f>C9/(1+Diskonttaus!$B$8)^(Investointikustannus!C$8-Diskonttaus!$B$2)*Diskonttaus!$B$10</f>
        <v>0</v>
      </c>
      <c r="D27" s="16">
        <f>D9/(1+Diskonttaus!$B$8)^(Investointikustannus!D$8-Diskonttaus!$B$2)*Diskonttaus!$B$10</f>
        <v>0</v>
      </c>
      <c r="E27" s="16">
        <f>E9/(1+Diskonttaus!$B$8)^(Investointikustannus!E$8-Diskonttaus!$B$2)*Diskonttaus!$B$10</f>
        <v>0</v>
      </c>
      <c r="F27" s="16">
        <f>F9/(1+Diskonttaus!$B$8)^(Investointikustannus!F$8-Diskonttaus!$B$2)*Diskonttaus!$B$10</f>
        <v>0</v>
      </c>
      <c r="G27" s="16">
        <f>G9/(1+Diskonttaus!$B$8)^(Investointikustannus!G$8-Diskonttaus!$B$2)*Diskonttaus!$B$10</f>
        <v>0</v>
      </c>
      <c r="H27" s="16">
        <f>H9/(1+Diskonttaus!$B$8)^(Investointikustannus!H$8-Diskonttaus!$B$2)*Diskonttaus!$B$10</f>
        <v>0</v>
      </c>
      <c r="I27" s="16">
        <f>I9/(1+Diskonttaus!$B$8)^(Investointikustannus!I$8-Diskonttaus!$B$2)*Diskonttaus!$B$10</f>
        <v>0</v>
      </c>
      <c r="J27" s="16">
        <f>J9/(1+Diskonttaus!$B$8)^(Investointikustannus!J$8-Diskonttaus!$B$2)*Diskonttaus!$B$10</f>
        <v>0</v>
      </c>
      <c r="K27" s="16">
        <f>K9/(1+Diskonttaus!$B$8)^(Investointikustannus!K$8-Diskonttaus!$B$2)*Diskonttaus!$B$10</f>
        <v>0</v>
      </c>
      <c r="L27" s="5">
        <f>L9/(1+Diskonttaus!$B$8)^(Investointikustannus!L$8-Diskonttaus!$B$2)*Diskonttaus!$B$10</f>
        <v>0</v>
      </c>
      <c r="N27" s="16">
        <f>N9/(1+Diskonttaus!$B$8)^(Investointikustannus!N$8-Diskonttaus!$B$2)*Diskonttaus!$B$10</f>
        <v>0</v>
      </c>
      <c r="O27" s="16">
        <f>O9/(1+Diskonttaus!$B$8)^(Investointikustannus!O$8-Diskonttaus!$B$2)*Diskonttaus!$B$10</f>
        <v>0</v>
      </c>
      <c r="P27" s="16">
        <f>P9/(1+Diskonttaus!$B$8)^(Investointikustannus!P$8-Diskonttaus!$B$2)*Diskonttaus!$B$10</f>
        <v>0</v>
      </c>
      <c r="Q27" s="16">
        <f>Q9/(1+Diskonttaus!$B$8)^(Investointikustannus!Q$8-Diskonttaus!$B$2)*Diskonttaus!$B$10</f>
        <v>0</v>
      </c>
      <c r="R27" s="16">
        <f>R9/(1+Diskonttaus!$B$8)^(Investointikustannus!R$8-Diskonttaus!$B$2)*Diskonttaus!$B$10</f>
        <v>0</v>
      </c>
      <c r="S27" s="16">
        <f>S9/(1+Diskonttaus!$B$8)^(Investointikustannus!S$8-Diskonttaus!$B$2)*Diskonttaus!$B$10</f>
        <v>0</v>
      </c>
      <c r="T27" s="16">
        <f>T9/(1+Diskonttaus!$B$8)^(Investointikustannus!T$8-Diskonttaus!$B$2)*Diskonttaus!$B$10</f>
        <v>0</v>
      </c>
      <c r="U27" s="16">
        <f>U9/(1+Diskonttaus!$B$8)^(Investointikustannus!U$8-Diskonttaus!$B$2)*Diskonttaus!$B$10</f>
        <v>0</v>
      </c>
      <c r="V27" s="16">
        <f>V9/(1+Diskonttaus!$B$8)^(Investointikustannus!V$8-Diskonttaus!$B$2)*Diskonttaus!$B$10</f>
        <v>0</v>
      </c>
      <c r="W27" s="5">
        <f>W9/(1+Diskonttaus!$B$8)^(Investointikustannus!W$8-Diskonttaus!$B$2)*Diskonttaus!$B$10</f>
        <v>0</v>
      </c>
    </row>
    <row r="28" spans="2:27" x14ac:dyDescent="0.25">
      <c r="B28" t="s">
        <v>161</v>
      </c>
      <c r="C28" s="16">
        <f>C10/(1+Diskonttaus!$B$8)^(Investointikustannus!C$8-Diskonttaus!$B$2)*Diskonttaus!$B$10</f>
        <v>0</v>
      </c>
      <c r="D28" s="16">
        <f>D10/(1+Diskonttaus!$B$8)^(Investointikustannus!D$8-Diskonttaus!$B$2)*Diskonttaus!$B$10</f>
        <v>0</v>
      </c>
      <c r="E28" s="16">
        <f>E10/(1+Diskonttaus!$B$8)^(Investointikustannus!E$8-Diskonttaus!$B$2)*Diskonttaus!$B$10</f>
        <v>0</v>
      </c>
      <c r="F28" s="16">
        <f>F10/(1+Diskonttaus!$B$8)^(Investointikustannus!F$8-Diskonttaus!$B$2)*Diskonttaus!$B$10</f>
        <v>0</v>
      </c>
      <c r="G28" s="16">
        <f>G10/(1+Diskonttaus!$B$8)^(Investointikustannus!G$8-Diskonttaus!$B$2)*Diskonttaus!$B$10</f>
        <v>0</v>
      </c>
      <c r="H28" s="16">
        <f>H10/(1+Diskonttaus!$B$8)^(Investointikustannus!H$8-Diskonttaus!$B$2)*Diskonttaus!$B$10</f>
        <v>0</v>
      </c>
      <c r="I28" s="16">
        <f>I10/(1+Diskonttaus!$B$8)^(Investointikustannus!I$8-Diskonttaus!$B$2)*Diskonttaus!$B$10</f>
        <v>0</v>
      </c>
      <c r="J28" s="16">
        <f>J10/(1+Diskonttaus!$B$8)^(Investointikustannus!J$8-Diskonttaus!$B$2)*Diskonttaus!$B$10</f>
        <v>0</v>
      </c>
      <c r="K28" s="16">
        <f>K10/(1+Diskonttaus!$B$8)^(Investointikustannus!K$8-Diskonttaus!$B$2)*Diskonttaus!$B$10</f>
        <v>0</v>
      </c>
      <c r="L28" s="5">
        <f>L10/(1+Diskonttaus!$B$8)^(Investointikustannus!L$8-Diskonttaus!$B$2)*Diskonttaus!$B$10</f>
        <v>0</v>
      </c>
      <c r="N28" s="16">
        <f>N10/(1+Diskonttaus!$B$8)^(Investointikustannus!N$8-Diskonttaus!$B$2)*Diskonttaus!$B$10</f>
        <v>0</v>
      </c>
      <c r="O28" s="16">
        <f>O10/(1+Diskonttaus!$B$8)^(Investointikustannus!O$8-Diskonttaus!$B$2)*Diskonttaus!$B$10</f>
        <v>0</v>
      </c>
      <c r="P28" s="16">
        <f>P10/(1+Diskonttaus!$B$8)^(Investointikustannus!P$8-Diskonttaus!$B$2)*Diskonttaus!$B$10</f>
        <v>0</v>
      </c>
      <c r="Q28" s="16">
        <f>Q10/(1+Diskonttaus!$B$8)^(Investointikustannus!Q$8-Diskonttaus!$B$2)*Diskonttaus!$B$10</f>
        <v>0</v>
      </c>
      <c r="R28" s="16">
        <f>R10/(1+Diskonttaus!$B$8)^(Investointikustannus!R$8-Diskonttaus!$B$2)*Diskonttaus!$B$10</f>
        <v>0</v>
      </c>
      <c r="S28" s="16">
        <f>S10/(1+Diskonttaus!$B$8)^(Investointikustannus!S$8-Diskonttaus!$B$2)*Diskonttaus!$B$10</f>
        <v>0</v>
      </c>
      <c r="T28" s="16">
        <f>T10/(1+Diskonttaus!$B$8)^(Investointikustannus!T$8-Diskonttaus!$B$2)*Diskonttaus!$B$10</f>
        <v>0</v>
      </c>
      <c r="U28" s="16">
        <f>U10/(1+Diskonttaus!$B$8)^(Investointikustannus!U$8-Diskonttaus!$B$2)*Diskonttaus!$B$10</f>
        <v>0</v>
      </c>
      <c r="V28" s="16">
        <f>V10/(1+Diskonttaus!$B$8)^(Investointikustannus!V$8-Diskonttaus!$B$2)*Diskonttaus!$B$10</f>
        <v>0</v>
      </c>
      <c r="W28" s="5">
        <f>W10/(1+Diskonttaus!$B$8)^(Investointikustannus!W$8-Diskonttaus!$B$2)*Diskonttaus!$B$10</f>
        <v>0</v>
      </c>
    </row>
    <row r="29" spans="2:27" x14ac:dyDescent="0.25">
      <c r="B29" t="s">
        <v>162</v>
      </c>
      <c r="C29" s="16">
        <f>C11/(1+Diskonttaus!$B$8)^(Investointikustannus!C$8-Diskonttaus!$B$2)*Diskonttaus!$B$10</f>
        <v>0</v>
      </c>
      <c r="D29" s="16">
        <f>D11/(1+Diskonttaus!$B$8)^(Investointikustannus!D$8-Diskonttaus!$B$2)*Diskonttaus!$B$10</f>
        <v>0</v>
      </c>
      <c r="E29" s="16">
        <f>E11/(1+Diskonttaus!$B$8)^(Investointikustannus!E$8-Diskonttaus!$B$2)*Diskonttaus!$B$10</f>
        <v>0</v>
      </c>
      <c r="F29" s="16">
        <f>F11/(1+Diskonttaus!$B$8)^(Investointikustannus!F$8-Diskonttaus!$B$2)*Diskonttaus!$B$10</f>
        <v>0</v>
      </c>
      <c r="G29" s="16">
        <f>G11/(1+Diskonttaus!$B$8)^(Investointikustannus!G$8-Diskonttaus!$B$2)*Diskonttaus!$B$10</f>
        <v>0</v>
      </c>
      <c r="H29" s="16">
        <f>H11/(1+Diskonttaus!$B$8)^(Investointikustannus!H$8-Diskonttaus!$B$2)*Diskonttaus!$B$10</f>
        <v>0</v>
      </c>
      <c r="I29" s="16">
        <f>I11/(1+Diskonttaus!$B$8)^(Investointikustannus!I$8-Diskonttaus!$B$2)*Diskonttaus!$B$10</f>
        <v>0</v>
      </c>
      <c r="J29" s="16">
        <f>J11/(1+Diskonttaus!$B$8)^(Investointikustannus!J$8-Diskonttaus!$B$2)*Diskonttaus!$B$10</f>
        <v>0</v>
      </c>
      <c r="K29" s="16">
        <f>K11/(1+Diskonttaus!$B$8)^(Investointikustannus!K$8-Diskonttaus!$B$2)*Diskonttaus!$B$10</f>
        <v>0</v>
      </c>
      <c r="L29" s="5">
        <f>L11/(1+Diskonttaus!$B$8)^(Investointikustannus!L$8-Diskonttaus!$B$2)*Diskonttaus!$B$10</f>
        <v>0</v>
      </c>
      <c r="N29" s="16">
        <f>N11/(1+Diskonttaus!$B$8)^(Investointikustannus!N$8-Diskonttaus!$B$2)*Diskonttaus!$B$10</f>
        <v>0</v>
      </c>
      <c r="O29" s="16">
        <f>O11/(1+Diskonttaus!$B$8)^(Investointikustannus!O$8-Diskonttaus!$B$2)*Diskonttaus!$B$10</f>
        <v>0</v>
      </c>
      <c r="P29" s="16">
        <f>P11/(1+Diskonttaus!$B$8)^(Investointikustannus!P$8-Diskonttaus!$B$2)*Diskonttaus!$B$10</f>
        <v>0</v>
      </c>
      <c r="Q29" s="16">
        <f>Q11/(1+Diskonttaus!$B$8)^(Investointikustannus!Q$8-Diskonttaus!$B$2)*Diskonttaus!$B$10</f>
        <v>0</v>
      </c>
      <c r="R29" s="16">
        <f>R11/(1+Diskonttaus!$B$8)^(Investointikustannus!R$8-Diskonttaus!$B$2)*Diskonttaus!$B$10</f>
        <v>0</v>
      </c>
      <c r="S29" s="16">
        <f>S11/(1+Diskonttaus!$B$8)^(Investointikustannus!S$8-Diskonttaus!$B$2)*Diskonttaus!$B$10</f>
        <v>0</v>
      </c>
      <c r="T29" s="16">
        <f>T11/(1+Diskonttaus!$B$8)^(Investointikustannus!T$8-Diskonttaus!$B$2)*Diskonttaus!$B$10</f>
        <v>0</v>
      </c>
      <c r="U29" s="16">
        <f>U11/(1+Diskonttaus!$B$8)^(Investointikustannus!U$8-Diskonttaus!$B$2)*Diskonttaus!$B$10</f>
        <v>0</v>
      </c>
      <c r="V29" s="16">
        <f>V11/(1+Diskonttaus!$B$8)^(Investointikustannus!V$8-Diskonttaus!$B$2)*Diskonttaus!$B$10</f>
        <v>0</v>
      </c>
      <c r="W29" s="5">
        <f>W11/(1+Diskonttaus!$B$8)^(Investointikustannus!W$8-Diskonttaus!$B$2)*Diskonttaus!$B$10</f>
        <v>0</v>
      </c>
    </row>
    <row r="30" spans="2:27" x14ac:dyDescent="0.25">
      <c r="B30" t="s">
        <v>163</v>
      </c>
      <c r="C30" s="16">
        <f>C12/(1+Diskonttaus!$B$8)^(Investointikustannus!C$8-Diskonttaus!$B$2)*Diskonttaus!$B$10</f>
        <v>0</v>
      </c>
      <c r="D30" s="16">
        <f>D12/(1+Diskonttaus!$B$8)^(Investointikustannus!D$8-Diskonttaus!$B$2)*Diskonttaus!$B$10</f>
        <v>0</v>
      </c>
      <c r="E30" s="16">
        <f>E12/(1+Diskonttaus!$B$8)^(Investointikustannus!E$8-Diskonttaus!$B$2)*Diskonttaus!$B$10</f>
        <v>0</v>
      </c>
      <c r="F30" s="16">
        <f>F12/(1+Diskonttaus!$B$8)^(Investointikustannus!F$8-Diskonttaus!$B$2)*Diskonttaus!$B$10</f>
        <v>0</v>
      </c>
      <c r="G30" s="16">
        <f>G12/(1+Diskonttaus!$B$8)^(Investointikustannus!G$8-Diskonttaus!$B$2)*Diskonttaus!$B$10</f>
        <v>0</v>
      </c>
      <c r="H30" s="16">
        <f>H12/(1+Diskonttaus!$B$8)^(Investointikustannus!H$8-Diskonttaus!$B$2)*Diskonttaus!$B$10</f>
        <v>0</v>
      </c>
      <c r="I30" s="16">
        <f>I12/(1+Diskonttaus!$B$8)^(Investointikustannus!I$8-Diskonttaus!$B$2)*Diskonttaus!$B$10</f>
        <v>0</v>
      </c>
      <c r="J30" s="16">
        <f>J12/(1+Diskonttaus!$B$8)^(Investointikustannus!J$8-Diskonttaus!$B$2)*Diskonttaus!$B$10</f>
        <v>0</v>
      </c>
      <c r="K30" s="16">
        <f>K12/(1+Diskonttaus!$B$8)^(Investointikustannus!K$8-Diskonttaus!$B$2)*Diskonttaus!$B$10</f>
        <v>0</v>
      </c>
      <c r="L30" s="5">
        <f>L12/(1+Diskonttaus!$B$8)^(Investointikustannus!L$8-Diskonttaus!$B$2)*Diskonttaus!$B$10</f>
        <v>0</v>
      </c>
      <c r="N30" s="16">
        <f>N12/(1+Diskonttaus!$B$8)^(Investointikustannus!N$8-Diskonttaus!$B$2)*Diskonttaus!$B$10</f>
        <v>0</v>
      </c>
      <c r="O30" s="16">
        <f>O12/(1+Diskonttaus!$B$8)^(Investointikustannus!O$8-Diskonttaus!$B$2)*Diskonttaus!$B$10</f>
        <v>0</v>
      </c>
      <c r="P30" s="16">
        <f>P12/(1+Diskonttaus!$B$8)^(Investointikustannus!P$8-Diskonttaus!$B$2)*Diskonttaus!$B$10</f>
        <v>0</v>
      </c>
      <c r="Q30" s="16">
        <f>Q12/(1+Diskonttaus!$B$8)^(Investointikustannus!Q$8-Diskonttaus!$B$2)*Diskonttaus!$B$10</f>
        <v>0</v>
      </c>
      <c r="R30" s="16">
        <f>R12/(1+Diskonttaus!$B$8)^(Investointikustannus!R$8-Diskonttaus!$B$2)*Diskonttaus!$B$10</f>
        <v>0</v>
      </c>
      <c r="S30" s="16">
        <f>S12/(1+Diskonttaus!$B$8)^(Investointikustannus!S$8-Diskonttaus!$B$2)*Diskonttaus!$B$10</f>
        <v>0</v>
      </c>
      <c r="T30" s="16">
        <f>T12/(1+Diskonttaus!$B$8)^(Investointikustannus!T$8-Diskonttaus!$B$2)*Diskonttaus!$B$10</f>
        <v>0</v>
      </c>
      <c r="U30" s="16">
        <f>U12/(1+Diskonttaus!$B$8)^(Investointikustannus!U$8-Diskonttaus!$B$2)*Diskonttaus!$B$10</f>
        <v>0</v>
      </c>
      <c r="V30" s="16">
        <f>V12/(1+Diskonttaus!$B$8)^(Investointikustannus!V$8-Diskonttaus!$B$2)*Diskonttaus!$B$10</f>
        <v>0</v>
      </c>
      <c r="W30" s="5">
        <f>W12/(1+Diskonttaus!$B$8)^(Investointikustannus!W$8-Diskonttaus!$B$2)*Diskonttaus!$B$10</f>
        <v>0</v>
      </c>
    </row>
    <row r="31" spans="2:27" x14ac:dyDescent="0.25">
      <c r="B31" t="s">
        <v>164</v>
      </c>
      <c r="C31" s="16">
        <f>C13/(1+Diskonttaus!$B$8)^(Investointikustannus!C$8-Diskonttaus!$B$2)*Diskonttaus!$B$10</f>
        <v>0</v>
      </c>
      <c r="D31" s="16">
        <f>D13/(1+Diskonttaus!$B$8)^(Investointikustannus!D$8-Diskonttaus!$B$2)*Diskonttaus!$B$10</f>
        <v>0</v>
      </c>
      <c r="E31" s="16">
        <f>E13/(1+Diskonttaus!$B$8)^(Investointikustannus!E$8-Diskonttaus!$B$2)*Diskonttaus!$B$10</f>
        <v>0</v>
      </c>
      <c r="F31" s="16">
        <f>F13/(1+Diskonttaus!$B$8)^(Investointikustannus!F$8-Diskonttaus!$B$2)*Diskonttaus!$B$10</f>
        <v>0</v>
      </c>
      <c r="G31" s="16">
        <f>G13/(1+Diskonttaus!$B$8)^(Investointikustannus!G$8-Diskonttaus!$B$2)*Diskonttaus!$B$10</f>
        <v>0</v>
      </c>
      <c r="H31" s="16">
        <f>H13/(1+Diskonttaus!$B$8)^(Investointikustannus!H$8-Diskonttaus!$B$2)*Diskonttaus!$B$10</f>
        <v>0</v>
      </c>
      <c r="I31" s="16">
        <f>I13/(1+Diskonttaus!$B$8)^(Investointikustannus!I$8-Diskonttaus!$B$2)*Diskonttaus!$B$10</f>
        <v>0</v>
      </c>
      <c r="J31" s="16">
        <f>J13/(1+Diskonttaus!$B$8)^(Investointikustannus!J$8-Diskonttaus!$B$2)*Diskonttaus!$B$10</f>
        <v>0</v>
      </c>
      <c r="K31" s="16">
        <f>K13/(1+Diskonttaus!$B$8)^(Investointikustannus!K$8-Diskonttaus!$B$2)*Diskonttaus!$B$10</f>
        <v>0</v>
      </c>
      <c r="L31" s="5">
        <f>L13/(1+Diskonttaus!$B$8)^(Investointikustannus!L$8-Diskonttaus!$B$2)*Diskonttaus!$B$10</f>
        <v>0</v>
      </c>
      <c r="N31" s="16">
        <f>N13/(1+Diskonttaus!$B$8)^(Investointikustannus!N$8-Diskonttaus!$B$2)*Diskonttaus!$B$10</f>
        <v>0</v>
      </c>
      <c r="O31" s="16">
        <f>O13/(1+Diskonttaus!$B$8)^(Investointikustannus!O$8-Diskonttaus!$B$2)*Diskonttaus!$B$10</f>
        <v>0</v>
      </c>
      <c r="P31" s="16">
        <f>P13/(1+Diskonttaus!$B$8)^(Investointikustannus!P$8-Diskonttaus!$B$2)*Diskonttaus!$B$10</f>
        <v>0</v>
      </c>
      <c r="Q31" s="16">
        <f>Q13/(1+Diskonttaus!$B$8)^(Investointikustannus!Q$8-Diskonttaus!$B$2)*Diskonttaus!$B$10</f>
        <v>0</v>
      </c>
      <c r="R31" s="16">
        <f>R13/(1+Diskonttaus!$B$8)^(Investointikustannus!R$8-Diskonttaus!$B$2)*Diskonttaus!$B$10</f>
        <v>0</v>
      </c>
      <c r="S31" s="16">
        <f>S13/(1+Diskonttaus!$B$8)^(Investointikustannus!S$8-Diskonttaus!$B$2)*Diskonttaus!$B$10</f>
        <v>0</v>
      </c>
      <c r="T31" s="16">
        <f>T13/(1+Diskonttaus!$B$8)^(Investointikustannus!T$8-Diskonttaus!$B$2)*Diskonttaus!$B$10</f>
        <v>0</v>
      </c>
      <c r="U31" s="16">
        <f>U13/(1+Diskonttaus!$B$8)^(Investointikustannus!U$8-Diskonttaus!$B$2)*Diskonttaus!$B$10</f>
        <v>0</v>
      </c>
      <c r="V31" s="16">
        <f>V13/(1+Diskonttaus!$B$8)^(Investointikustannus!V$8-Diskonttaus!$B$2)*Diskonttaus!$B$10</f>
        <v>0</v>
      </c>
      <c r="W31" s="5">
        <f>W13/(1+Diskonttaus!$B$8)^(Investointikustannus!W$8-Diskonttaus!$B$2)*Diskonttaus!$B$10</f>
        <v>0</v>
      </c>
    </row>
    <row r="32" spans="2:27" x14ac:dyDescent="0.25">
      <c r="B32" t="s">
        <v>150</v>
      </c>
      <c r="C32" s="16">
        <f>C14/(1+Diskonttaus!$B$8)^(Investointikustannus!C$8-Diskonttaus!$B$2)*Diskonttaus!$B$10</f>
        <v>0</v>
      </c>
      <c r="D32" s="16">
        <f>D14/(1+Diskonttaus!$B$8)^(Investointikustannus!D$8-Diskonttaus!$B$2)*Diskonttaus!$B$10</f>
        <v>0</v>
      </c>
      <c r="E32" s="16">
        <f>E14/(1+Diskonttaus!$B$8)^(Investointikustannus!E$8-Diskonttaus!$B$2)*Diskonttaus!$B$10</f>
        <v>0</v>
      </c>
      <c r="F32" s="16">
        <f>F14/(1+Diskonttaus!$B$8)^(Investointikustannus!F$8-Diskonttaus!$B$2)*Diskonttaus!$B$10</f>
        <v>0</v>
      </c>
      <c r="G32" s="16">
        <f>G14/(1+Diskonttaus!$B$8)^(Investointikustannus!G$8-Diskonttaus!$B$2)*Diskonttaus!$B$10</f>
        <v>0</v>
      </c>
      <c r="H32" s="16">
        <f>H14/(1+Diskonttaus!$B$8)^(Investointikustannus!H$8-Diskonttaus!$B$2)*Diskonttaus!$B$10</f>
        <v>0</v>
      </c>
      <c r="I32" s="16">
        <f>I14/(1+Diskonttaus!$B$8)^(Investointikustannus!I$8-Diskonttaus!$B$2)*Diskonttaus!$B$10</f>
        <v>0</v>
      </c>
      <c r="J32" s="16">
        <f>J14/(1+Diskonttaus!$B$8)^(Investointikustannus!J$8-Diskonttaus!$B$2)*Diskonttaus!$B$10</f>
        <v>0</v>
      </c>
      <c r="K32" s="16">
        <f>K14/(1+Diskonttaus!$B$8)^(Investointikustannus!K$8-Diskonttaus!$B$2)*Diskonttaus!$B$10</f>
        <v>0</v>
      </c>
      <c r="L32" s="5">
        <f>L14/(1+Diskonttaus!$B$8)^(Investointikustannus!L$8-Diskonttaus!$B$2)*Diskonttaus!$B$10</f>
        <v>0</v>
      </c>
      <c r="N32" s="16">
        <f>N14/(1+Diskonttaus!$B$8)^(Investointikustannus!N$8-Diskonttaus!$B$2)*Diskonttaus!$B$10</f>
        <v>0</v>
      </c>
      <c r="O32" s="16">
        <f>O14/(1+Diskonttaus!$B$8)^(Investointikustannus!O$8-Diskonttaus!$B$2)*Diskonttaus!$B$10</f>
        <v>0</v>
      </c>
      <c r="P32" s="16">
        <f>P14/(1+Diskonttaus!$B$8)^(Investointikustannus!P$8-Diskonttaus!$B$2)*Diskonttaus!$B$10</f>
        <v>0</v>
      </c>
      <c r="Q32" s="16">
        <f>Q14/(1+Diskonttaus!$B$8)^(Investointikustannus!Q$8-Diskonttaus!$B$2)*Diskonttaus!$B$10</f>
        <v>0</v>
      </c>
      <c r="R32" s="16">
        <f>R14/(1+Diskonttaus!$B$8)^(Investointikustannus!R$8-Diskonttaus!$B$2)*Diskonttaus!$B$10</f>
        <v>0</v>
      </c>
      <c r="S32" s="16">
        <f>S14/(1+Diskonttaus!$B$8)^(Investointikustannus!S$8-Diskonttaus!$B$2)*Diskonttaus!$B$10</f>
        <v>0</v>
      </c>
      <c r="T32" s="16">
        <f>T14/(1+Diskonttaus!$B$8)^(Investointikustannus!T$8-Diskonttaus!$B$2)*Diskonttaus!$B$10</f>
        <v>0</v>
      </c>
      <c r="U32" s="16">
        <f>U14/(1+Diskonttaus!$B$8)^(Investointikustannus!U$8-Diskonttaus!$B$2)*Diskonttaus!$B$10</f>
        <v>0</v>
      </c>
      <c r="V32" s="16">
        <f>V14/(1+Diskonttaus!$B$8)^(Investointikustannus!V$8-Diskonttaus!$B$2)*Diskonttaus!$B$10</f>
        <v>0</v>
      </c>
      <c r="W32" s="5">
        <f>W14/(1+Diskonttaus!$B$8)^(Investointikustannus!W$8-Diskonttaus!$B$2)*Diskonttaus!$B$10</f>
        <v>0</v>
      </c>
    </row>
    <row r="33" spans="2:23" x14ac:dyDescent="0.25">
      <c r="B33" t="s">
        <v>151</v>
      </c>
      <c r="C33" s="16">
        <f>C15/(1+Diskonttaus!$B$8)^(Investointikustannus!C$8-Diskonttaus!$B$2)*Diskonttaus!$B$10</f>
        <v>0</v>
      </c>
      <c r="D33" s="16">
        <f>D15/(1+Diskonttaus!$B$8)^(Investointikustannus!D$8-Diskonttaus!$B$2)*Diskonttaus!$B$10</f>
        <v>0</v>
      </c>
      <c r="E33" s="16">
        <f>E15/(1+Diskonttaus!$B$8)^(Investointikustannus!E$8-Diskonttaus!$B$2)*Diskonttaus!$B$10</f>
        <v>0</v>
      </c>
      <c r="F33" s="16">
        <f>F15/(1+Diskonttaus!$B$8)^(Investointikustannus!F$8-Diskonttaus!$B$2)*Diskonttaus!$B$10</f>
        <v>0</v>
      </c>
      <c r="G33" s="16">
        <f>G15/(1+Diskonttaus!$B$8)^(Investointikustannus!G$8-Diskonttaus!$B$2)*Diskonttaus!$B$10</f>
        <v>0</v>
      </c>
      <c r="H33" s="16">
        <f>H15/(1+Diskonttaus!$B$8)^(Investointikustannus!H$8-Diskonttaus!$B$2)*Diskonttaus!$B$10</f>
        <v>0</v>
      </c>
      <c r="I33" s="16">
        <f>I15/(1+Diskonttaus!$B$8)^(Investointikustannus!I$8-Diskonttaus!$B$2)*Diskonttaus!$B$10</f>
        <v>0</v>
      </c>
      <c r="J33" s="16">
        <f>J15/(1+Diskonttaus!$B$8)^(Investointikustannus!J$8-Diskonttaus!$B$2)*Diskonttaus!$B$10</f>
        <v>0</v>
      </c>
      <c r="K33" s="16">
        <f>K15/(1+Diskonttaus!$B$8)^(Investointikustannus!K$8-Diskonttaus!$B$2)*Diskonttaus!$B$10</f>
        <v>0</v>
      </c>
      <c r="L33" s="5">
        <f>L15/(1+Diskonttaus!$B$8)^(Investointikustannus!L$8-Diskonttaus!$B$2)*Diskonttaus!$B$10</f>
        <v>0</v>
      </c>
      <c r="N33" s="16">
        <f>N15/(1+Diskonttaus!$B$8)^(Investointikustannus!N$8-Diskonttaus!$B$2)*Diskonttaus!$B$10</f>
        <v>0</v>
      </c>
      <c r="O33" s="16">
        <f>O15/(1+Diskonttaus!$B$8)^(Investointikustannus!O$8-Diskonttaus!$B$2)*Diskonttaus!$B$10</f>
        <v>0</v>
      </c>
      <c r="P33" s="16">
        <f>P15/(1+Diskonttaus!$B$8)^(Investointikustannus!P$8-Diskonttaus!$B$2)*Diskonttaus!$B$10</f>
        <v>0</v>
      </c>
      <c r="Q33" s="16">
        <f>Q15/(1+Diskonttaus!$B$8)^(Investointikustannus!Q$8-Diskonttaus!$B$2)*Diskonttaus!$B$10</f>
        <v>0</v>
      </c>
      <c r="R33" s="16">
        <f>R15/(1+Diskonttaus!$B$8)^(Investointikustannus!R$8-Diskonttaus!$B$2)*Diskonttaus!$B$10</f>
        <v>0</v>
      </c>
      <c r="S33" s="16">
        <f>S15/(1+Diskonttaus!$B$8)^(Investointikustannus!S$8-Diskonttaus!$B$2)*Diskonttaus!$B$10</f>
        <v>0</v>
      </c>
      <c r="T33" s="16">
        <f>T15/(1+Diskonttaus!$B$8)^(Investointikustannus!T$8-Diskonttaus!$B$2)*Diskonttaus!$B$10</f>
        <v>0</v>
      </c>
      <c r="U33" s="16">
        <f>U15/(1+Diskonttaus!$B$8)^(Investointikustannus!U$8-Diskonttaus!$B$2)*Diskonttaus!$B$10</f>
        <v>0</v>
      </c>
      <c r="V33" s="16">
        <f>V15/(1+Diskonttaus!$B$8)^(Investointikustannus!V$8-Diskonttaus!$B$2)*Diskonttaus!$B$10</f>
        <v>0</v>
      </c>
      <c r="W33" s="5">
        <f>W15/(1+Diskonttaus!$B$8)^(Investointikustannus!W$8-Diskonttaus!$B$2)*Diskonttaus!$B$10</f>
        <v>0</v>
      </c>
    </row>
    <row r="34" spans="2:23" x14ac:dyDescent="0.25">
      <c r="B34" t="s">
        <v>152</v>
      </c>
      <c r="C34" s="16">
        <f>C16/(1+Diskonttaus!$B$8)^(Investointikustannus!C$8-Diskonttaus!$B$2)*Diskonttaus!$B$10</f>
        <v>0</v>
      </c>
      <c r="D34" s="16">
        <f>D16/(1+Diskonttaus!$B$8)^(Investointikustannus!D$8-Diskonttaus!$B$2)*Diskonttaus!$B$10</f>
        <v>0</v>
      </c>
      <c r="E34" s="16">
        <f>E16/(1+Diskonttaus!$B$8)^(Investointikustannus!E$8-Diskonttaus!$B$2)*Diskonttaus!$B$10</f>
        <v>0</v>
      </c>
      <c r="F34" s="16">
        <f>F16/(1+Diskonttaus!$B$8)^(Investointikustannus!F$8-Diskonttaus!$B$2)*Diskonttaus!$B$10</f>
        <v>0</v>
      </c>
      <c r="G34" s="16">
        <f>G16/(1+Diskonttaus!$B$8)^(Investointikustannus!G$8-Diskonttaus!$B$2)*Diskonttaus!$B$10</f>
        <v>0</v>
      </c>
      <c r="H34" s="16">
        <f>H16/(1+Diskonttaus!$B$8)^(Investointikustannus!H$8-Diskonttaus!$B$2)*Diskonttaus!$B$10</f>
        <v>0</v>
      </c>
      <c r="I34" s="16">
        <f>I16/(1+Diskonttaus!$B$8)^(Investointikustannus!I$8-Diskonttaus!$B$2)*Diskonttaus!$B$10</f>
        <v>0</v>
      </c>
      <c r="J34" s="16">
        <f>J16/(1+Diskonttaus!$B$8)^(Investointikustannus!J$8-Diskonttaus!$B$2)*Diskonttaus!$B$10</f>
        <v>0</v>
      </c>
      <c r="K34" s="16">
        <f>K16/(1+Diskonttaus!$B$8)^(Investointikustannus!K$8-Diskonttaus!$B$2)*Diskonttaus!$B$10</f>
        <v>0</v>
      </c>
      <c r="L34" s="5">
        <f>L16/(1+Diskonttaus!$B$8)^(Investointikustannus!L$8-Diskonttaus!$B$2)*Diskonttaus!$B$10</f>
        <v>0</v>
      </c>
      <c r="N34" s="16">
        <f>N16/(1+Diskonttaus!$B$8)^(Investointikustannus!N$8-Diskonttaus!$B$2)*Diskonttaus!$B$10</f>
        <v>0</v>
      </c>
      <c r="O34" s="16">
        <f>O16/(1+Diskonttaus!$B$8)^(Investointikustannus!O$8-Diskonttaus!$B$2)*Diskonttaus!$B$10</f>
        <v>0</v>
      </c>
      <c r="P34" s="16">
        <f>P16/(1+Diskonttaus!$B$8)^(Investointikustannus!P$8-Diskonttaus!$B$2)*Diskonttaus!$B$10</f>
        <v>0</v>
      </c>
      <c r="Q34" s="16">
        <f>Q16/(1+Diskonttaus!$B$8)^(Investointikustannus!Q$8-Diskonttaus!$B$2)*Diskonttaus!$B$10</f>
        <v>0</v>
      </c>
      <c r="R34" s="16">
        <f>R16/(1+Diskonttaus!$B$8)^(Investointikustannus!R$8-Diskonttaus!$B$2)*Diskonttaus!$B$10</f>
        <v>0</v>
      </c>
      <c r="S34" s="16">
        <f>S16/(1+Diskonttaus!$B$8)^(Investointikustannus!S$8-Diskonttaus!$B$2)*Diskonttaus!$B$10</f>
        <v>0</v>
      </c>
      <c r="T34" s="16">
        <f>T16/(1+Diskonttaus!$B$8)^(Investointikustannus!T$8-Diskonttaus!$B$2)*Diskonttaus!$B$10</f>
        <v>0</v>
      </c>
      <c r="U34" s="16">
        <f>U16/(1+Diskonttaus!$B$8)^(Investointikustannus!U$8-Diskonttaus!$B$2)*Diskonttaus!$B$10</f>
        <v>0</v>
      </c>
      <c r="V34" s="16">
        <f>V16/(1+Diskonttaus!$B$8)^(Investointikustannus!V$8-Diskonttaus!$B$2)*Diskonttaus!$B$10</f>
        <v>0</v>
      </c>
      <c r="W34" s="5">
        <f>W16/(1+Diskonttaus!$B$8)^(Investointikustannus!W$8-Diskonttaus!$B$2)*Diskonttaus!$B$10</f>
        <v>0</v>
      </c>
    </row>
    <row r="35" spans="2:23" x14ac:dyDescent="0.25">
      <c r="B35" t="s">
        <v>153</v>
      </c>
      <c r="C35" s="16">
        <f>C17/(1+Diskonttaus!$B$8)^(Investointikustannus!C$8-Diskonttaus!$B$2)*Diskonttaus!$B$10</f>
        <v>0</v>
      </c>
      <c r="D35" s="16">
        <f>D17/(1+Diskonttaus!$B$8)^(Investointikustannus!D$8-Diskonttaus!$B$2)*Diskonttaus!$B$10</f>
        <v>0</v>
      </c>
      <c r="E35" s="16">
        <f>E17/(1+Diskonttaus!$B$8)^(Investointikustannus!E$8-Diskonttaus!$B$2)*Diskonttaus!$B$10</f>
        <v>0</v>
      </c>
      <c r="F35" s="16">
        <f>F17/(1+Diskonttaus!$B$8)^(Investointikustannus!F$8-Diskonttaus!$B$2)*Diskonttaus!$B$10</f>
        <v>0</v>
      </c>
      <c r="G35" s="16">
        <f>G17/(1+Diskonttaus!$B$8)^(Investointikustannus!G$8-Diskonttaus!$B$2)*Diskonttaus!$B$10</f>
        <v>0</v>
      </c>
      <c r="H35" s="16">
        <f>H17/(1+Diskonttaus!$B$8)^(Investointikustannus!H$8-Diskonttaus!$B$2)*Diskonttaus!$B$10</f>
        <v>0</v>
      </c>
      <c r="I35" s="16">
        <f>I17/(1+Diskonttaus!$B$8)^(Investointikustannus!I$8-Diskonttaus!$B$2)*Diskonttaus!$B$10</f>
        <v>0</v>
      </c>
      <c r="J35" s="16">
        <f>J17/(1+Diskonttaus!$B$8)^(Investointikustannus!J$8-Diskonttaus!$B$2)*Diskonttaus!$B$10</f>
        <v>0</v>
      </c>
      <c r="K35" s="16">
        <f>K17/(1+Diskonttaus!$B$8)^(Investointikustannus!K$8-Diskonttaus!$B$2)*Diskonttaus!$B$10</f>
        <v>0</v>
      </c>
      <c r="L35" s="5">
        <f>L17/(1+Diskonttaus!$B$8)^(Investointikustannus!L$8-Diskonttaus!$B$2)*Diskonttaus!$B$10</f>
        <v>0</v>
      </c>
      <c r="N35" s="16">
        <f>N17/(1+Diskonttaus!$B$8)^(Investointikustannus!N$8-Diskonttaus!$B$2)*Diskonttaus!$B$10</f>
        <v>0</v>
      </c>
      <c r="O35" s="16">
        <f>O17/(1+Diskonttaus!$B$8)^(Investointikustannus!O$8-Diskonttaus!$B$2)*Diskonttaus!$B$10</f>
        <v>0</v>
      </c>
      <c r="P35" s="16">
        <f>P17/(1+Diskonttaus!$B$8)^(Investointikustannus!P$8-Diskonttaus!$B$2)*Diskonttaus!$B$10</f>
        <v>0</v>
      </c>
      <c r="Q35" s="16">
        <f>Q17/(1+Diskonttaus!$B$8)^(Investointikustannus!Q$8-Diskonttaus!$B$2)*Diskonttaus!$B$10</f>
        <v>0</v>
      </c>
      <c r="R35" s="16">
        <f>R17/(1+Diskonttaus!$B$8)^(Investointikustannus!R$8-Diskonttaus!$B$2)*Diskonttaus!$B$10</f>
        <v>0</v>
      </c>
      <c r="S35" s="16">
        <f>S17/(1+Diskonttaus!$B$8)^(Investointikustannus!S$8-Diskonttaus!$B$2)*Diskonttaus!$B$10</f>
        <v>0</v>
      </c>
      <c r="T35" s="16">
        <f>T17/(1+Diskonttaus!$B$8)^(Investointikustannus!T$8-Diskonttaus!$B$2)*Diskonttaus!$B$10</f>
        <v>0</v>
      </c>
      <c r="U35" s="16">
        <f>U17/(1+Diskonttaus!$B$8)^(Investointikustannus!U$8-Diskonttaus!$B$2)*Diskonttaus!$B$10</f>
        <v>0</v>
      </c>
      <c r="V35" s="16">
        <f>V17/(1+Diskonttaus!$B$8)^(Investointikustannus!V$8-Diskonttaus!$B$2)*Diskonttaus!$B$10</f>
        <v>0</v>
      </c>
      <c r="W35" s="5">
        <f>W17/(1+Diskonttaus!$B$8)^(Investointikustannus!W$8-Diskonttaus!$B$2)*Diskonttaus!$B$10</f>
        <v>0</v>
      </c>
    </row>
    <row r="36" spans="2:23" x14ac:dyDescent="0.25">
      <c r="B36" t="s">
        <v>154</v>
      </c>
      <c r="C36" s="16">
        <f>C18/(1+Diskonttaus!$B$8)^(Investointikustannus!C$8-Diskonttaus!$B$2)*Diskonttaus!$B$10</f>
        <v>0</v>
      </c>
      <c r="D36" s="16">
        <f>D18/(1+Diskonttaus!$B$8)^(Investointikustannus!D$8-Diskonttaus!$B$2)*Diskonttaus!$B$10</f>
        <v>0</v>
      </c>
      <c r="E36" s="16">
        <f>E18/(1+Diskonttaus!$B$8)^(Investointikustannus!E$8-Diskonttaus!$B$2)*Diskonttaus!$B$10</f>
        <v>0</v>
      </c>
      <c r="F36" s="16">
        <f>F18/(1+Diskonttaus!$B$8)^(Investointikustannus!F$8-Diskonttaus!$B$2)*Diskonttaus!$B$10</f>
        <v>0</v>
      </c>
      <c r="G36" s="16">
        <f>G18/(1+Diskonttaus!$B$8)^(Investointikustannus!G$8-Diskonttaus!$B$2)*Diskonttaus!$B$10</f>
        <v>0</v>
      </c>
      <c r="H36" s="16">
        <f>H18/(1+Diskonttaus!$B$8)^(Investointikustannus!H$8-Diskonttaus!$B$2)*Diskonttaus!$B$10</f>
        <v>0</v>
      </c>
      <c r="I36" s="16">
        <f>I18/(1+Diskonttaus!$B$8)^(Investointikustannus!I$8-Diskonttaus!$B$2)*Diskonttaus!$B$10</f>
        <v>0</v>
      </c>
      <c r="J36" s="16">
        <f>J18/(1+Diskonttaus!$B$8)^(Investointikustannus!J$8-Diskonttaus!$B$2)*Diskonttaus!$B$10</f>
        <v>0</v>
      </c>
      <c r="K36" s="16">
        <f>K18/(1+Diskonttaus!$B$8)^(Investointikustannus!K$8-Diskonttaus!$B$2)*Diskonttaus!$B$10</f>
        <v>0</v>
      </c>
      <c r="L36" s="5">
        <f>L18/(1+Diskonttaus!$B$8)^(Investointikustannus!L$8-Diskonttaus!$B$2)*Diskonttaus!$B$10</f>
        <v>0</v>
      </c>
      <c r="N36" s="16">
        <f>N18/(1+Diskonttaus!$B$8)^(Investointikustannus!N$8-Diskonttaus!$B$2)*Diskonttaus!$B$10</f>
        <v>0</v>
      </c>
      <c r="O36" s="16">
        <f>O18/(1+Diskonttaus!$B$8)^(Investointikustannus!O$8-Diskonttaus!$B$2)*Diskonttaus!$B$10</f>
        <v>0</v>
      </c>
      <c r="P36" s="16">
        <f>P18/(1+Diskonttaus!$B$8)^(Investointikustannus!P$8-Diskonttaus!$B$2)*Diskonttaus!$B$10</f>
        <v>0</v>
      </c>
      <c r="Q36" s="16">
        <f>Q18/(1+Diskonttaus!$B$8)^(Investointikustannus!Q$8-Diskonttaus!$B$2)*Diskonttaus!$B$10</f>
        <v>0</v>
      </c>
      <c r="R36" s="16">
        <f>R18/(1+Diskonttaus!$B$8)^(Investointikustannus!R$8-Diskonttaus!$B$2)*Diskonttaus!$B$10</f>
        <v>0</v>
      </c>
      <c r="S36" s="16">
        <f>S18/(1+Diskonttaus!$B$8)^(Investointikustannus!S$8-Diskonttaus!$B$2)*Diskonttaus!$B$10</f>
        <v>0</v>
      </c>
      <c r="T36" s="16">
        <f>T18/(1+Diskonttaus!$B$8)^(Investointikustannus!T$8-Diskonttaus!$B$2)*Diskonttaus!$B$10</f>
        <v>0</v>
      </c>
      <c r="U36" s="16">
        <f>U18/(1+Diskonttaus!$B$8)^(Investointikustannus!U$8-Diskonttaus!$B$2)*Diskonttaus!$B$10</f>
        <v>0</v>
      </c>
      <c r="V36" s="16">
        <f>V18/(1+Diskonttaus!$B$8)^(Investointikustannus!V$8-Diskonttaus!$B$2)*Diskonttaus!$B$10</f>
        <v>0</v>
      </c>
      <c r="W36" s="5">
        <f>W18/(1+Diskonttaus!$B$8)^(Investointikustannus!W$8-Diskonttaus!$B$2)*Diskonttaus!$B$10</f>
        <v>0</v>
      </c>
    </row>
    <row r="37" spans="2:23" x14ac:dyDescent="0.25">
      <c r="B37" t="s">
        <v>155</v>
      </c>
      <c r="C37" s="16">
        <f>C19/(1+Diskonttaus!$B$8)^(Investointikustannus!C$8-Diskonttaus!$B$2)*Diskonttaus!$B$10</f>
        <v>0</v>
      </c>
      <c r="D37" s="16">
        <f>D19/(1+Diskonttaus!$B$8)^(Investointikustannus!D$8-Diskonttaus!$B$2)*Diskonttaus!$B$10</f>
        <v>0</v>
      </c>
      <c r="E37" s="16">
        <f>E19/(1+Diskonttaus!$B$8)^(Investointikustannus!E$8-Diskonttaus!$B$2)*Diskonttaus!$B$10</f>
        <v>0</v>
      </c>
      <c r="F37" s="16">
        <f>F19/(1+Diskonttaus!$B$8)^(Investointikustannus!F$8-Diskonttaus!$B$2)*Diskonttaus!$B$10</f>
        <v>0</v>
      </c>
      <c r="G37" s="16">
        <f>G19/(1+Diskonttaus!$B$8)^(Investointikustannus!G$8-Diskonttaus!$B$2)*Diskonttaus!$B$10</f>
        <v>0</v>
      </c>
      <c r="H37" s="16">
        <f>H19/(1+Diskonttaus!$B$8)^(Investointikustannus!H$8-Diskonttaus!$B$2)*Diskonttaus!$B$10</f>
        <v>0</v>
      </c>
      <c r="I37" s="16">
        <f>I19/(1+Diskonttaus!$B$8)^(Investointikustannus!I$8-Diskonttaus!$B$2)*Diskonttaus!$B$10</f>
        <v>0</v>
      </c>
      <c r="J37" s="16">
        <f>J19/(1+Diskonttaus!$B$8)^(Investointikustannus!J$8-Diskonttaus!$B$2)*Diskonttaus!$B$10</f>
        <v>0</v>
      </c>
      <c r="K37" s="16">
        <f>K19/(1+Diskonttaus!$B$8)^(Investointikustannus!K$8-Diskonttaus!$B$2)*Diskonttaus!$B$10</f>
        <v>0</v>
      </c>
      <c r="L37" s="5">
        <f>L19/(1+Diskonttaus!$B$8)^(Investointikustannus!L$8-Diskonttaus!$B$2)*Diskonttaus!$B$10</f>
        <v>0</v>
      </c>
      <c r="N37" s="16">
        <f>N19/(1+Diskonttaus!$B$8)^(Investointikustannus!N$8-Diskonttaus!$B$2)*Diskonttaus!$B$10</f>
        <v>0</v>
      </c>
      <c r="O37" s="16">
        <f>O19/(1+Diskonttaus!$B$8)^(Investointikustannus!O$8-Diskonttaus!$B$2)*Diskonttaus!$B$10</f>
        <v>0</v>
      </c>
      <c r="P37" s="16">
        <f>P19/(1+Diskonttaus!$B$8)^(Investointikustannus!P$8-Diskonttaus!$B$2)*Diskonttaus!$B$10</f>
        <v>0</v>
      </c>
      <c r="Q37" s="16">
        <f>Q19/(1+Diskonttaus!$B$8)^(Investointikustannus!Q$8-Diskonttaus!$B$2)*Diskonttaus!$B$10</f>
        <v>0</v>
      </c>
      <c r="R37" s="16">
        <f>R19/(1+Diskonttaus!$B$8)^(Investointikustannus!R$8-Diskonttaus!$B$2)*Diskonttaus!$B$10</f>
        <v>0</v>
      </c>
      <c r="S37" s="16">
        <f>S19/(1+Diskonttaus!$B$8)^(Investointikustannus!S$8-Diskonttaus!$B$2)*Diskonttaus!$B$10</f>
        <v>0</v>
      </c>
      <c r="T37" s="16">
        <f>T19/(1+Diskonttaus!$B$8)^(Investointikustannus!T$8-Diskonttaus!$B$2)*Diskonttaus!$B$10</f>
        <v>0</v>
      </c>
      <c r="U37" s="16">
        <f>U19/(1+Diskonttaus!$B$8)^(Investointikustannus!U$8-Diskonttaus!$B$2)*Diskonttaus!$B$10</f>
        <v>0</v>
      </c>
      <c r="V37" s="16">
        <f>V19/(1+Diskonttaus!$B$8)^(Investointikustannus!V$8-Diskonttaus!$B$2)*Diskonttaus!$B$10</f>
        <v>0</v>
      </c>
      <c r="W37" s="5">
        <f>W19/(1+Diskonttaus!$B$8)^(Investointikustannus!W$8-Diskonttaus!$B$2)*Diskonttaus!$B$10</f>
        <v>0</v>
      </c>
    </row>
    <row r="38" spans="2:23" x14ac:dyDescent="0.25">
      <c r="B38" t="s">
        <v>156</v>
      </c>
      <c r="C38" s="16">
        <f>C20/(1+Diskonttaus!$B$8)^(Investointikustannus!C$8-Diskonttaus!$B$2)*Diskonttaus!$B$10</f>
        <v>0</v>
      </c>
      <c r="D38" s="16">
        <f>D20/(1+Diskonttaus!$B$8)^(Investointikustannus!D$8-Diskonttaus!$B$2)*Diskonttaus!$B$10</f>
        <v>0</v>
      </c>
      <c r="E38" s="16">
        <f>E20/(1+Diskonttaus!$B$8)^(Investointikustannus!E$8-Diskonttaus!$B$2)*Diskonttaus!$B$10</f>
        <v>0</v>
      </c>
      <c r="F38" s="16">
        <f>F20/(1+Diskonttaus!$B$8)^(Investointikustannus!F$8-Diskonttaus!$B$2)*Diskonttaus!$B$10</f>
        <v>0</v>
      </c>
      <c r="G38" s="16">
        <f>G20/(1+Diskonttaus!$B$8)^(Investointikustannus!G$8-Diskonttaus!$B$2)*Diskonttaus!$B$10</f>
        <v>0</v>
      </c>
      <c r="H38" s="16">
        <f>H20/(1+Diskonttaus!$B$8)^(Investointikustannus!H$8-Diskonttaus!$B$2)*Diskonttaus!$B$10</f>
        <v>0</v>
      </c>
      <c r="I38" s="16">
        <f>I20/(1+Diskonttaus!$B$8)^(Investointikustannus!I$8-Diskonttaus!$B$2)*Diskonttaus!$B$10</f>
        <v>0</v>
      </c>
      <c r="J38" s="16">
        <f>J20/(1+Diskonttaus!$B$8)^(Investointikustannus!J$8-Diskonttaus!$B$2)*Diskonttaus!$B$10</f>
        <v>0</v>
      </c>
      <c r="K38" s="16">
        <f>K20/(1+Diskonttaus!$B$8)^(Investointikustannus!K$8-Diskonttaus!$B$2)*Diskonttaus!$B$10</f>
        <v>0</v>
      </c>
      <c r="L38" s="5">
        <f>L20/(1+Diskonttaus!$B$8)^(Investointikustannus!L$8-Diskonttaus!$B$2)*Diskonttaus!$B$10</f>
        <v>0</v>
      </c>
      <c r="N38" s="16">
        <f>N20/(1+Diskonttaus!$B$8)^(Investointikustannus!N$8-Diskonttaus!$B$2)*Diskonttaus!$B$10</f>
        <v>0</v>
      </c>
      <c r="O38" s="16">
        <f>O20/(1+Diskonttaus!$B$8)^(Investointikustannus!O$8-Diskonttaus!$B$2)*Diskonttaus!$B$10</f>
        <v>0</v>
      </c>
      <c r="P38" s="16">
        <f>P20/(1+Diskonttaus!$B$8)^(Investointikustannus!P$8-Diskonttaus!$B$2)*Diskonttaus!$B$10</f>
        <v>0</v>
      </c>
      <c r="Q38" s="16">
        <f>Q20/(1+Diskonttaus!$B$8)^(Investointikustannus!Q$8-Diskonttaus!$B$2)*Diskonttaus!$B$10</f>
        <v>0</v>
      </c>
      <c r="R38" s="16">
        <f>R20/(1+Diskonttaus!$B$8)^(Investointikustannus!R$8-Diskonttaus!$B$2)*Diskonttaus!$B$10</f>
        <v>0</v>
      </c>
      <c r="S38" s="16">
        <f>S20/(1+Diskonttaus!$B$8)^(Investointikustannus!S$8-Diskonttaus!$B$2)*Diskonttaus!$B$10</f>
        <v>0</v>
      </c>
      <c r="T38" s="16">
        <f>T20/(1+Diskonttaus!$B$8)^(Investointikustannus!T$8-Diskonttaus!$B$2)*Diskonttaus!$B$10</f>
        <v>0</v>
      </c>
      <c r="U38" s="16">
        <f>U20/(1+Diskonttaus!$B$8)^(Investointikustannus!U$8-Diskonttaus!$B$2)*Diskonttaus!$B$10</f>
        <v>0</v>
      </c>
      <c r="V38" s="16">
        <f>V20/(1+Diskonttaus!$B$8)^(Investointikustannus!V$8-Diskonttaus!$B$2)*Diskonttaus!$B$10</f>
        <v>0</v>
      </c>
      <c r="W38" s="5">
        <f>W20/(1+Diskonttaus!$B$8)^(Investointikustannus!W$8-Diskonttaus!$B$2)*Diskonttaus!$B$10</f>
        <v>0</v>
      </c>
    </row>
    <row r="39" spans="2:23" x14ac:dyDescent="0.25">
      <c r="B39" t="s">
        <v>157</v>
      </c>
      <c r="C39" s="16">
        <f>C21/(1+Diskonttaus!$B$8)^(Investointikustannus!C$8-Diskonttaus!$B$2)*Diskonttaus!$B$10</f>
        <v>0</v>
      </c>
      <c r="D39" s="16">
        <f>D21/(1+Diskonttaus!$B$8)^(Investointikustannus!D$8-Diskonttaus!$B$2)*Diskonttaus!$B$10</f>
        <v>0</v>
      </c>
      <c r="E39" s="16">
        <f>E21/(1+Diskonttaus!$B$8)^(Investointikustannus!E$8-Diskonttaus!$B$2)*Diskonttaus!$B$10</f>
        <v>0</v>
      </c>
      <c r="F39" s="16">
        <f>F21/(1+Diskonttaus!$B$8)^(Investointikustannus!F$8-Diskonttaus!$B$2)*Diskonttaus!$B$10</f>
        <v>0</v>
      </c>
      <c r="G39" s="16">
        <f>G21/(1+Diskonttaus!$B$8)^(Investointikustannus!G$8-Diskonttaus!$B$2)*Diskonttaus!$B$10</f>
        <v>0</v>
      </c>
      <c r="H39" s="16">
        <f>H21/(1+Diskonttaus!$B$8)^(Investointikustannus!H$8-Diskonttaus!$B$2)*Diskonttaus!$B$10</f>
        <v>0</v>
      </c>
      <c r="I39" s="16">
        <f>I21/(1+Diskonttaus!$B$8)^(Investointikustannus!I$8-Diskonttaus!$B$2)*Diskonttaus!$B$10</f>
        <v>0</v>
      </c>
      <c r="J39" s="16">
        <f>J21/(1+Diskonttaus!$B$8)^(Investointikustannus!J$8-Diskonttaus!$B$2)*Diskonttaus!$B$10</f>
        <v>0</v>
      </c>
      <c r="K39" s="16">
        <f>K21/(1+Diskonttaus!$B$8)^(Investointikustannus!K$8-Diskonttaus!$B$2)*Diskonttaus!$B$10</f>
        <v>0</v>
      </c>
      <c r="L39" s="5">
        <f>L21/(1+Diskonttaus!$B$8)^(Investointikustannus!L$8-Diskonttaus!$B$2)*Diskonttaus!$B$10</f>
        <v>0</v>
      </c>
      <c r="N39" s="16">
        <f>N21/(1+Diskonttaus!$B$8)^(Investointikustannus!N$8-Diskonttaus!$B$2)*Diskonttaus!$B$10</f>
        <v>0</v>
      </c>
      <c r="O39" s="16">
        <f>O21/(1+Diskonttaus!$B$8)^(Investointikustannus!O$8-Diskonttaus!$B$2)*Diskonttaus!$B$10</f>
        <v>0</v>
      </c>
      <c r="P39" s="16">
        <f>P21/(1+Diskonttaus!$B$8)^(Investointikustannus!P$8-Diskonttaus!$B$2)*Diskonttaus!$B$10</f>
        <v>0</v>
      </c>
      <c r="Q39" s="16">
        <f>Q21/(1+Diskonttaus!$B$8)^(Investointikustannus!Q$8-Diskonttaus!$B$2)*Diskonttaus!$B$10</f>
        <v>0</v>
      </c>
      <c r="R39" s="16">
        <f>R21/(1+Diskonttaus!$B$8)^(Investointikustannus!R$8-Diskonttaus!$B$2)*Diskonttaus!$B$10</f>
        <v>0</v>
      </c>
      <c r="S39" s="16">
        <f>S21/(1+Diskonttaus!$B$8)^(Investointikustannus!S$8-Diskonttaus!$B$2)*Diskonttaus!$B$10</f>
        <v>0</v>
      </c>
      <c r="T39" s="16">
        <f>T21/(1+Diskonttaus!$B$8)^(Investointikustannus!T$8-Diskonttaus!$B$2)*Diskonttaus!$B$10</f>
        <v>0</v>
      </c>
      <c r="U39" s="16">
        <f>U21/(1+Diskonttaus!$B$8)^(Investointikustannus!U$8-Diskonttaus!$B$2)*Diskonttaus!$B$10</f>
        <v>0</v>
      </c>
      <c r="V39" s="16">
        <f>V21/(1+Diskonttaus!$B$8)^(Investointikustannus!V$8-Diskonttaus!$B$2)*Diskonttaus!$B$10</f>
        <v>0</v>
      </c>
      <c r="W39" s="5">
        <f>W21/(1+Diskonttaus!$B$8)^(Investointikustannus!W$8-Diskonttaus!$B$2)*Diskonttaus!$B$10</f>
        <v>0</v>
      </c>
    </row>
    <row r="40" spans="2:23" x14ac:dyDescent="0.25">
      <c r="B40" t="s">
        <v>158</v>
      </c>
      <c r="C40" s="103">
        <f>C22/(1+Diskonttaus!$B$8)^(Investointikustannus!C$8-Diskonttaus!$B$2)*Diskonttaus!$B$10</f>
        <v>0</v>
      </c>
      <c r="D40" s="103">
        <f>D22/(1+Diskonttaus!$B$8)^(Investointikustannus!D$8-Diskonttaus!$B$2)*Diskonttaus!$B$10</f>
        <v>0</v>
      </c>
      <c r="E40" s="103">
        <f>E22/(1+Diskonttaus!$B$8)^(Investointikustannus!E$8-Diskonttaus!$B$2)*Diskonttaus!$B$10</f>
        <v>0</v>
      </c>
      <c r="F40" s="103">
        <f>F22/(1+Diskonttaus!$B$8)^(Investointikustannus!F$8-Diskonttaus!$B$2)*Diskonttaus!$B$10</f>
        <v>0</v>
      </c>
      <c r="G40" s="103">
        <f>G22/(1+Diskonttaus!$B$8)^(Investointikustannus!G$8-Diskonttaus!$B$2)*Diskonttaus!$B$10</f>
        <v>0</v>
      </c>
      <c r="H40" s="103">
        <f>H22/(1+Diskonttaus!$B$8)^(Investointikustannus!H$8-Diskonttaus!$B$2)*Diskonttaus!$B$10</f>
        <v>0</v>
      </c>
      <c r="I40" s="103">
        <f>I22/(1+Diskonttaus!$B$8)^(Investointikustannus!I$8-Diskonttaus!$B$2)*Diskonttaus!$B$10</f>
        <v>0</v>
      </c>
      <c r="J40" s="103">
        <f>J22/(1+Diskonttaus!$B$8)^(Investointikustannus!J$8-Diskonttaus!$B$2)*Diskonttaus!$B$10</f>
        <v>0</v>
      </c>
      <c r="K40" s="103">
        <f>K22/(1+Diskonttaus!$B$8)^(Investointikustannus!K$8-Diskonttaus!$B$2)*Diskonttaus!$B$10</f>
        <v>0</v>
      </c>
      <c r="L40" s="59">
        <f>L22/(1+Diskonttaus!$B$8)^(Investointikustannus!L$8-Diskonttaus!$B$2)*Diskonttaus!$B$10</f>
        <v>0</v>
      </c>
      <c r="N40" s="103">
        <f>N22/(1+Diskonttaus!$B$8)^(Investointikustannus!N$8-Diskonttaus!$B$2)*Diskonttaus!$B$10</f>
        <v>0</v>
      </c>
      <c r="O40" s="103">
        <f>O22/(1+Diskonttaus!$B$8)^(Investointikustannus!O$8-Diskonttaus!$B$2)*Diskonttaus!$B$10</f>
        <v>0</v>
      </c>
      <c r="P40" s="103">
        <f>P22/(1+Diskonttaus!$B$8)^(Investointikustannus!P$8-Diskonttaus!$B$2)*Diskonttaus!$B$10</f>
        <v>0</v>
      </c>
      <c r="Q40" s="103">
        <f>Q22/(1+Diskonttaus!$B$8)^(Investointikustannus!Q$8-Diskonttaus!$B$2)*Diskonttaus!$B$10</f>
        <v>0</v>
      </c>
      <c r="R40" s="103">
        <f>R22/(1+Diskonttaus!$B$8)^(Investointikustannus!R$8-Diskonttaus!$B$2)*Diskonttaus!$B$10</f>
        <v>0</v>
      </c>
      <c r="S40" s="103">
        <f>S22/(1+Diskonttaus!$B$8)^(Investointikustannus!S$8-Diskonttaus!$B$2)*Diskonttaus!$B$10</f>
        <v>0</v>
      </c>
      <c r="T40" s="103">
        <f>T22/(1+Diskonttaus!$B$8)^(Investointikustannus!T$8-Diskonttaus!$B$2)*Diskonttaus!$B$10</f>
        <v>0</v>
      </c>
      <c r="U40" s="103">
        <f>U22/(1+Diskonttaus!$B$8)^(Investointikustannus!U$8-Diskonttaus!$B$2)*Diskonttaus!$B$10</f>
        <v>0</v>
      </c>
      <c r="V40" s="103">
        <f>V22/(1+Diskonttaus!$B$8)^(Investointikustannus!V$8-Diskonttaus!$B$2)*Diskonttaus!$B$10</f>
        <v>0</v>
      </c>
      <c r="W40" s="59">
        <f>W22/(1+Diskonttaus!$B$8)^(Investointikustannus!W$8-Diskonttaus!$B$2)*Diskonttaus!$B$10</f>
        <v>0</v>
      </c>
    </row>
    <row r="41" spans="2:23" x14ac:dyDescent="0.25">
      <c r="B41" t="s">
        <v>11</v>
      </c>
      <c r="C41" s="13">
        <f t="shared" ref="C41:L41" si="5">SUM(C27:C40)</f>
        <v>0</v>
      </c>
      <c r="D41" s="13">
        <f t="shared" si="5"/>
        <v>0</v>
      </c>
      <c r="E41" s="13">
        <f t="shared" si="5"/>
        <v>0</v>
      </c>
      <c r="F41" s="13">
        <f t="shared" si="5"/>
        <v>0</v>
      </c>
      <c r="G41" s="13">
        <f t="shared" si="5"/>
        <v>0</v>
      </c>
      <c r="H41" s="13">
        <f t="shared" si="5"/>
        <v>0</v>
      </c>
      <c r="I41" s="13">
        <f t="shared" si="5"/>
        <v>0</v>
      </c>
      <c r="J41" s="13">
        <f t="shared" si="5"/>
        <v>0</v>
      </c>
      <c r="K41" s="13">
        <f t="shared" si="5"/>
        <v>0</v>
      </c>
      <c r="L41" s="13">
        <f t="shared" si="5"/>
        <v>0</v>
      </c>
      <c r="N41" s="13">
        <f t="shared" ref="N41:W41" si="6">SUM(N27:N40)</f>
        <v>0</v>
      </c>
      <c r="O41" s="13">
        <f t="shared" si="6"/>
        <v>0</v>
      </c>
      <c r="P41" s="13">
        <f t="shared" si="6"/>
        <v>0</v>
      </c>
      <c r="Q41" s="13">
        <f t="shared" si="6"/>
        <v>0</v>
      </c>
      <c r="R41" s="13">
        <f t="shared" si="6"/>
        <v>0</v>
      </c>
      <c r="S41" s="13">
        <f t="shared" si="6"/>
        <v>0</v>
      </c>
      <c r="T41" s="13">
        <f t="shared" si="6"/>
        <v>0</v>
      </c>
      <c r="U41" s="13">
        <f t="shared" si="6"/>
        <v>0</v>
      </c>
      <c r="V41" s="13">
        <f t="shared" si="6"/>
        <v>0</v>
      </c>
      <c r="W41" s="13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ul1"/>
  <dimension ref="A1:AH67"/>
  <sheetViews>
    <sheetView zoomScaleNormal="100" workbookViewId="0">
      <selection activeCell="C29" sqref="C29"/>
    </sheetView>
  </sheetViews>
  <sheetFormatPr defaultRowHeight="15" x14ac:dyDescent="0.25"/>
  <cols>
    <col min="1" max="1" width="24.85546875" bestFit="1" customWidth="1"/>
    <col min="2" max="2" width="10.140625" customWidth="1"/>
    <col min="5" max="5" width="10.5703125" bestFit="1" customWidth="1"/>
    <col min="6" max="6" width="12.7109375" bestFit="1" customWidth="1"/>
    <col min="7" max="7" width="12.7109375" customWidth="1"/>
    <col min="8" max="8" width="9.140625" customWidth="1"/>
    <col min="9" max="9" width="10.5703125" bestFit="1" customWidth="1"/>
    <col min="10" max="10" width="12.7109375" customWidth="1"/>
    <col min="13" max="13" width="11" bestFit="1" customWidth="1"/>
    <col min="15" max="15" width="9.5703125" bestFit="1" customWidth="1"/>
    <col min="18" max="18" width="11" bestFit="1" customWidth="1"/>
    <col min="23" max="24" width="11" bestFit="1" customWidth="1"/>
    <col min="27" max="27" width="11" bestFit="1" customWidth="1"/>
  </cols>
  <sheetData>
    <row r="1" spans="1:34" x14ac:dyDescent="0.25">
      <c r="E1" t="s">
        <v>23</v>
      </c>
      <c r="F1" s="12">
        <f>B3</f>
        <v>2030</v>
      </c>
      <c r="G1" s="12"/>
      <c r="I1" t="s">
        <v>23</v>
      </c>
      <c r="J1" s="12">
        <f>B5</f>
        <v>2040</v>
      </c>
      <c r="M1" t="s">
        <v>24</v>
      </c>
      <c r="R1" t="s">
        <v>25</v>
      </c>
      <c r="X1" t="s">
        <v>26</v>
      </c>
      <c r="AB1" t="s">
        <v>27</v>
      </c>
      <c r="AE1" t="s">
        <v>28</v>
      </c>
      <c r="AH1" t="s">
        <v>29</v>
      </c>
    </row>
    <row r="2" spans="1:34" x14ac:dyDescent="0.25">
      <c r="A2" t="s">
        <v>30</v>
      </c>
      <c r="B2" s="191">
        <v>2030</v>
      </c>
      <c r="D2" t="s">
        <v>31</v>
      </c>
      <c r="E2" t="s">
        <v>32</v>
      </c>
      <c r="F2" t="s">
        <v>33</v>
      </c>
      <c r="H2" t="s">
        <v>31</v>
      </c>
      <c r="I2" t="s">
        <v>32</v>
      </c>
      <c r="J2" t="s">
        <v>33</v>
      </c>
      <c r="L2" t="s">
        <v>31</v>
      </c>
      <c r="M2" t="s">
        <v>34</v>
      </c>
      <c r="N2" t="s">
        <v>35</v>
      </c>
      <c r="O2" t="s">
        <v>33</v>
      </c>
      <c r="Q2" t="s">
        <v>31</v>
      </c>
      <c r="R2" t="s">
        <v>34</v>
      </c>
      <c r="S2" t="s">
        <v>35</v>
      </c>
      <c r="T2" t="s">
        <v>33</v>
      </c>
      <c r="V2" t="s">
        <v>31</v>
      </c>
      <c r="W2" t="s">
        <v>34</v>
      </c>
      <c r="X2" t="s">
        <v>33</v>
      </c>
      <c r="Z2" t="s">
        <v>31</v>
      </c>
      <c r="AA2" t="s">
        <v>34</v>
      </c>
      <c r="AB2" t="s">
        <v>33</v>
      </c>
      <c r="AD2" t="s">
        <v>31</v>
      </c>
      <c r="AE2" t="s">
        <v>33</v>
      </c>
      <c r="AG2" t="s">
        <v>31</v>
      </c>
      <c r="AH2" t="s">
        <v>33</v>
      </c>
    </row>
    <row r="3" spans="1:34" x14ac:dyDescent="0.25">
      <c r="A3" t="s">
        <v>36</v>
      </c>
      <c r="B3" s="192">
        <v>2030</v>
      </c>
      <c r="D3">
        <f>B3-1</f>
        <v>2029</v>
      </c>
      <c r="E3" s="2">
        <f>Investointikustannus!L23</f>
        <v>0</v>
      </c>
      <c r="F3" s="5">
        <f t="shared" ref="F3:F12" si="0">E3*(1+$B$8)^($B$2-D3)</f>
        <v>0</v>
      </c>
      <c r="G3" s="13"/>
      <c r="H3">
        <f>B5-1</f>
        <v>2039</v>
      </c>
      <c r="I3" s="2">
        <f>Investointikustannus!W23</f>
        <v>0</v>
      </c>
      <c r="J3" s="5">
        <f t="shared" ref="J3:J12" si="1">I3*(1+$B$8)^($B$2-H3)</f>
        <v>0</v>
      </c>
      <c r="L3">
        <f>B3</f>
        <v>2030</v>
      </c>
      <c r="M3" s="1">
        <f t="shared" ref="M3:M34" si="2">(1+$B$17)^(L3-$B$4)</f>
        <v>1</v>
      </c>
      <c r="N3" s="1">
        <f t="shared" ref="N3:N34" si="3">M3*(1+$B$9)^(L3-$B$2)</f>
        <v>1</v>
      </c>
      <c r="O3" s="1">
        <f t="shared" ref="O3:O34" si="4">N3/(1+$B$8)^(L3-$B$2)</f>
        <v>1</v>
      </c>
      <c r="Q3">
        <f>B5</f>
        <v>2040</v>
      </c>
      <c r="R3" s="1">
        <f t="shared" ref="R3:R34" si="5">(1+$B$17)^(Q3-$B$6)</f>
        <v>1</v>
      </c>
      <c r="S3" s="1">
        <f t="shared" ref="S3:S34" si="6">R3*(1+$B$9)^(Q3-$B$2)</f>
        <v>1.1605408250251485</v>
      </c>
      <c r="T3" s="1">
        <f t="shared" ref="T3:T34" si="7">S3/(1+$B$8)^(Q3-$B$2)</f>
        <v>0.82272922493858858</v>
      </c>
      <c r="V3">
        <f>B3</f>
        <v>2030</v>
      </c>
      <c r="W3" s="1">
        <f t="shared" ref="W3:W34" si="8">(1+$B$24)^(L3-$B$4)</f>
        <v>1</v>
      </c>
      <c r="X3" s="1">
        <f t="shared" ref="X3:X34" si="9">W3/(1+$B$8)^(L3-$B$2)</f>
        <v>1</v>
      </c>
      <c r="Z3">
        <f>B5</f>
        <v>2040</v>
      </c>
      <c r="AA3" s="1">
        <f t="shared" ref="AA3:AA34" si="10">(1+$B$24)^(Q3-$B$6)</f>
        <v>1</v>
      </c>
      <c r="AB3" s="1">
        <f t="shared" ref="AB3:AB34" si="11">AA3/(1+$B$8)^(Q3-$B$2)</f>
        <v>0.70891881370977217</v>
      </c>
      <c r="AD3">
        <f>B3</f>
        <v>2030</v>
      </c>
      <c r="AE3" s="1">
        <f t="shared" ref="AE3:AE34" si="12">1/(1+$B$8)^(L3-$B$2)</f>
        <v>1</v>
      </c>
      <c r="AG3">
        <f>B5</f>
        <v>2040</v>
      </c>
      <c r="AH3" s="1">
        <f t="shared" ref="AH3:AH34" si="13">1/(1+$B$8)^(Q3-$B$2)</f>
        <v>0.70891881370977217</v>
      </c>
    </row>
    <row r="4" spans="1:34" x14ac:dyDescent="0.25">
      <c r="A4" t="s">
        <v>37</v>
      </c>
      <c r="B4" s="192">
        <v>2030</v>
      </c>
      <c r="D4">
        <f t="shared" ref="D4:D12" si="14">D3-1</f>
        <v>2028</v>
      </c>
      <c r="E4" s="3">
        <f>Investointikustannus!K23</f>
        <v>0</v>
      </c>
      <c r="F4" s="6">
        <f t="shared" si="0"/>
        <v>0</v>
      </c>
      <c r="G4" s="13"/>
      <c r="H4">
        <f t="shared" ref="H4:H12" si="15">H3-1</f>
        <v>2038</v>
      </c>
      <c r="I4" s="3">
        <f>Investointikustannus!V23</f>
        <v>0</v>
      </c>
      <c r="J4" s="6">
        <f t="shared" si="1"/>
        <v>0</v>
      </c>
      <c r="L4">
        <f t="shared" ref="L4:L35" si="16">L3+1</f>
        <v>2031</v>
      </c>
      <c r="M4" s="1">
        <f t="shared" si="2"/>
        <v>1</v>
      </c>
      <c r="N4" s="1">
        <f t="shared" si="3"/>
        <v>1.0149999999999999</v>
      </c>
      <c r="O4" s="1">
        <f t="shared" si="4"/>
        <v>0.98067632850241548</v>
      </c>
      <c r="Q4">
        <f t="shared" ref="Q4:Q35" si="17">Q3+1</f>
        <v>2041</v>
      </c>
      <c r="R4" s="1">
        <f t="shared" si="5"/>
        <v>1</v>
      </c>
      <c r="S4" s="1">
        <f t="shared" si="6"/>
        <v>1.1779489374005256</v>
      </c>
      <c r="T4" s="1">
        <f t="shared" si="7"/>
        <v>0.80683107566441281</v>
      </c>
      <c r="V4">
        <f t="shared" ref="V4:V35" si="18">V3+1</f>
        <v>2031</v>
      </c>
      <c r="W4" s="1">
        <f t="shared" si="8"/>
        <v>1</v>
      </c>
      <c r="X4" s="1">
        <f t="shared" si="9"/>
        <v>0.96618357487922713</v>
      </c>
      <c r="Z4">
        <f t="shared" ref="Z4:Z35" si="19">Z3+1</f>
        <v>2041</v>
      </c>
      <c r="AA4" s="1">
        <f t="shared" si="10"/>
        <v>1</v>
      </c>
      <c r="AB4" s="1">
        <f t="shared" si="11"/>
        <v>0.68494571372924851</v>
      </c>
      <c r="AD4">
        <f t="shared" ref="AD4:AD35" si="20">AD3+1</f>
        <v>2031</v>
      </c>
      <c r="AE4" s="1">
        <f t="shared" si="12"/>
        <v>0.96618357487922713</v>
      </c>
      <c r="AG4">
        <f t="shared" ref="AG4:AG35" si="21">AG3+1</f>
        <v>2041</v>
      </c>
      <c r="AH4" s="1">
        <f t="shared" si="13"/>
        <v>0.68494571372924851</v>
      </c>
    </row>
    <row r="5" spans="1:34" x14ac:dyDescent="0.25">
      <c r="A5" t="s">
        <v>38</v>
      </c>
      <c r="B5" s="192">
        <v>2040</v>
      </c>
      <c r="D5">
        <f t="shared" si="14"/>
        <v>2027</v>
      </c>
      <c r="E5" s="3">
        <f>Investointikustannus!J23</f>
        <v>0</v>
      </c>
      <c r="F5" s="6">
        <f t="shared" si="0"/>
        <v>0</v>
      </c>
      <c r="G5" s="13"/>
      <c r="H5">
        <f t="shared" si="15"/>
        <v>2037</v>
      </c>
      <c r="I5" s="3">
        <f>Investointikustannus!U23</f>
        <v>0</v>
      </c>
      <c r="J5" s="6">
        <f t="shared" si="1"/>
        <v>0</v>
      </c>
      <c r="L5">
        <f t="shared" si="16"/>
        <v>2032</v>
      </c>
      <c r="M5" s="1">
        <f t="shared" si="2"/>
        <v>1</v>
      </c>
      <c r="N5" s="1">
        <f t="shared" si="3"/>
        <v>1.0302249999999997</v>
      </c>
      <c r="O5" s="1">
        <f t="shared" si="4"/>
        <v>0.96172606128497728</v>
      </c>
      <c r="Q5">
        <f t="shared" si="17"/>
        <v>2042</v>
      </c>
      <c r="R5" s="1">
        <f t="shared" si="5"/>
        <v>1</v>
      </c>
      <c r="S5" s="1">
        <f t="shared" si="6"/>
        <v>1.1956181714615333</v>
      </c>
      <c r="T5" s="1">
        <f t="shared" si="7"/>
        <v>0.79124013700423079</v>
      </c>
      <c r="V5">
        <f t="shared" si="18"/>
        <v>2032</v>
      </c>
      <c r="W5" s="1">
        <f t="shared" si="8"/>
        <v>1</v>
      </c>
      <c r="X5" s="1">
        <f t="shared" si="9"/>
        <v>0.93351070036640305</v>
      </c>
      <c r="Z5">
        <f t="shared" si="19"/>
        <v>2042</v>
      </c>
      <c r="AA5" s="1">
        <f t="shared" si="10"/>
        <v>1</v>
      </c>
      <c r="AB5" s="1">
        <f t="shared" si="11"/>
        <v>0.66178329828912896</v>
      </c>
      <c r="AD5">
        <f t="shared" si="20"/>
        <v>2032</v>
      </c>
      <c r="AE5" s="1">
        <f t="shared" si="12"/>
        <v>0.93351070036640305</v>
      </c>
      <c r="AG5">
        <f t="shared" si="21"/>
        <v>2042</v>
      </c>
      <c r="AH5" s="1">
        <f t="shared" si="13"/>
        <v>0.66178329828912896</v>
      </c>
    </row>
    <row r="6" spans="1:34" x14ac:dyDescent="0.25">
      <c r="A6" t="s">
        <v>39</v>
      </c>
      <c r="B6" s="192">
        <v>2050</v>
      </c>
      <c r="D6">
        <f t="shared" si="14"/>
        <v>2026</v>
      </c>
      <c r="E6" s="3">
        <f>Investointikustannus!I23</f>
        <v>0</v>
      </c>
      <c r="F6" s="6">
        <f t="shared" si="0"/>
        <v>0</v>
      </c>
      <c r="G6" s="13"/>
      <c r="H6">
        <f t="shared" si="15"/>
        <v>2036</v>
      </c>
      <c r="I6" s="3">
        <f>Investointikustannus!T23</f>
        <v>0</v>
      </c>
      <c r="J6" s="6">
        <f t="shared" si="1"/>
        <v>0</v>
      </c>
      <c r="L6">
        <f t="shared" si="16"/>
        <v>2033</v>
      </c>
      <c r="M6" s="1">
        <f t="shared" si="2"/>
        <v>1</v>
      </c>
      <c r="N6" s="1">
        <f t="shared" si="3"/>
        <v>1.0456783749999996</v>
      </c>
      <c r="O6" s="1">
        <f t="shared" si="4"/>
        <v>0.94314198280604056</v>
      </c>
      <c r="Q6">
        <f t="shared" si="17"/>
        <v>2043</v>
      </c>
      <c r="R6" s="1">
        <f t="shared" si="5"/>
        <v>1</v>
      </c>
      <c r="S6" s="1">
        <f t="shared" si="6"/>
        <v>1.2135524440334562</v>
      </c>
      <c r="T6" s="1">
        <f t="shared" si="7"/>
        <v>0.77595047252105742</v>
      </c>
      <c r="V6">
        <f t="shared" si="18"/>
        <v>2033</v>
      </c>
      <c r="W6" s="1">
        <f t="shared" si="8"/>
        <v>1</v>
      </c>
      <c r="X6" s="1">
        <f t="shared" si="9"/>
        <v>0.90194270566802237</v>
      </c>
      <c r="Z6">
        <f t="shared" si="19"/>
        <v>2043</v>
      </c>
      <c r="AA6" s="1">
        <f t="shared" si="10"/>
        <v>1</v>
      </c>
      <c r="AB6" s="1">
        <f t="shared" si="11"/>
        <v>0.63940415293635666</v>
      </c>
      <c r="AD6">
        <f t="shared" si="20"/>
        <v>2033</v>
      </c>
      <c r="AE6" s="1">
        <f t="shared" si="12"/>
        <v>0.90194270566802237</v>
      </c>
      <c r="AG6">
        <f t="shared" si="21"/>
        <v>2043</v>
      </c>
      <c r="AH6" s="1">
        <f t="shared" si="13"/>
        <v>0.63940415293635666</v>
      </c>
    </row>
    <row r="7" spans="1:34" x14ac:dyDescent="0.25">
      <c r="A7" t="s">
        <v>40</v>
      </c>
      <c r="B7" s="192">
        <v>30</v>
      </c>
      <c r="D7">
        <f t="shared" si="14"/>
        <v>2025</v>
      </c>
      <c r="E7" s="3">
        <f>Investointikustannus!H23</f>
        <v>0</v>
      </c>
      <c r="F7" s="6">
        <f t="shared" si="0"/>
        <v>0</v>
      </c>
      <c r="G7" s="13"/>
      <c r="H7">
        <f t="shared" si="15"/>
        <v>2035</v>
      </c>
      <c r="I7" s="3">
        <f>Investointikustannus!S23</f>
        <v>0</v>
      </c>
      <c r="J7" s="6">
        <f t="shared" si="1"/>
        <v>0</v>
      </c>
      <c r="L7">
        <f t="shared" si="16"/>
        <v>2034</v>
      </c>
      <c r="M7" s="1">
        <f t="shared" si="2"/>
        <v>1</v>
      </c>
      <c r="N7" s="1">
        <f t="shared" si="3"/>
        <v>1.0613635506249994</v>
      </c>
      <c r="O7" s="1">
        <f t="shared" si="4"/>
        <v>0.92491701695471606</v>
      </c>
      <c r="Q7">
        <f t="shared" si="17"/>
        <v>2044</v>
      </c>
      <c r="R7" s="1">
        <f t="shared" si="5"/>
        <v>1</v>
      </c>
      <c r="S7" s="1">
        <f t="shared" si="6"/>
        <v>1.2317557306939577</v>
      </c>
      <c r="T7" s="1">
        <f t="shared" si="7"/>
        <v>0.76095626049166476</v>
      </c>
      <c r="V7">
        <f t="shared" si="18"/>
        <v>2034</v>
      </c>
      <c r="W7" s="1">
        <f t="shared" si="8"/>
        <v>1</v>
      </c>
      <c r="X7" s="1">
        <f t="shared" si="9"/>
        <v>0.87144222769857238</v>
      </c>
      <c r="Z7">
        <f t="shared" si="19"/>
        <v>2044</v>
      </c>
      <c r="AA7" s="1">
        <f t="shared" si="10"/>
        <v>1</v>
      </c>
      <c r="AB7" s="1">
        <f t="shared" si="11"/>
        <v>0.61778179027667302</v>
      </c>
      <c r="AD7">
        <f t="shared" si="20"/>
        <v>2034</v>
      </c>
      <c r="AE7" s="1">
        <f t="shared" si="12"/>
        <v>0.87144222769857238</v>
      </c>
      <c r="AG7">
        <f t="shared" si="21"/>
        <v>2044</v>
      </c>
      <c r="AH7" s="1">
        <f t="shared" si="13"/>
        <v>0.61778179027667302</v>
      </c>
    </row>
    <row r="8" spans="1:34" x14ac:dyDescent="0.25">
      <c r="A8" t="s">
        <v>41</v>
      </c>
      <c r="B8" s="216">
        <v>3.5000000000000003E-2</v>
      </c>
      <c r="D8">
        <f t="shared" si="14"/>
        <v>2024</v>
      </c>
      <c r="E8" s="3">
        <f>Investointikustannus!G23</f>
        <v>0</v>
      </c>
      <c r="F8" s="6">
        <f t="shared" si="0"/>
        <v>0</v>
      </c>
      <c r="G8" s="13"/>
      <c r="H8">
        <f t="shared" si="15"/>
        <v>2034</v>
      </c>
      <c r="I8" s="3">
        <f>Investointikustannus!R23</f>
        <v>0</v>
      </c>
      <c r="J8" s="6">
        <f t="shared" si="1"/>
        <v>0</v>
      </c>
      <c r="L8">
        <f t="shared" si="16"/>
        <v>2035</v>
      </c>
      <c r="M8" s="1">
        <f t="shared" si="2"/>
        <v>1</v>
      </c>
      <c r="N8" s="1">
        <f t="shared" si="3"/>
        <v>1.0772840038843743</v>
      </c>
      <c r="O8" s="1">
        <f t="shared" si="4"/>
        <v>0.90704422435655729</v>
      </c>
      <c r="Q8">
        <f t="shared" si="17"/>
        <v>2045</v>
      </c>
      <c r="R8" s="1">
        <f t="shared" si="5"/>
        <v>1</v>
      </c>
      <c r="S8" s="1">
        <f t="shared" si="6"/>
        <v>1.2502320666543669</v>
      </c>
      <c r="T8" s="1">
        <f t="shared" si="7"/>
        <v>0.74625179168989342</v>
      </c>
      <c r="V8">
        <f t="shared" si="18"/>
        <v>2035</v>
      </c>
      <c r="W8" s="1">
        <f t="shared" si="8"/>
        <v>1</v>
      </c>
      <c r="X8" s="1">
        <f t="shared" si="9"/>
        <v>0.84197316685852419</v>
      </c>
      <c r="Z8">
        <f t="shared" si="19"/>
        <v>2045</v>
      </c>
      <c r="AA8" s="1">
        <f t="shared" si="10"/>
        <v>1</v>
      </c>
      <c r="AB8" s="1">
        <f t="shared" si="11"/>
        <v>0.59689061862480497</v>
      </c>
      <c r="AD8">
        <f t="shared" si="20"/>
        <v>2035</v>
      </c>
      <c r="AE8" s="1">
        <f t="shared" si="12"/>
        <v>0.84197316685852419</v>
      </c>
      <c r="AG8">
        <f t="shared" si="21"/>
        <v>2045</v>
      </c>
      <c r="AH8" s="1">
        <f t="shared" si="13"/>
        <v>0.59689061862480497</v>
      </c>
    </row>
    <row r="9" spans="1:34" x14ac:dyDescent="0.25">
      <c r="A9" t="s">
        <v>42</v>
      </c>
      <c r="B9" s="216">
        <v>1.4999999999999999E-2</v>
      </c>
      <c r="D9">
        <f t="shared" si="14"/>
        <v>2023</v>
      </c>
      <c r="E9" s="3">
        <f>Investointikustannus!F23</f>
        <v>0</v>
      </c>
      <c r="F9" s="6">
        <f t="shared" si="0"/>
        <v>0</v>
      </c>
      <c r="G9" s="13"/>
      <c r="H9">
        <f t="shared" si="15"/>
        <v>2033</v>
      </c>
      <c r="I9" s="3">
        <f>Investointikustannus!Q23</f>
        <v>0</v>
      </c>
      <c r="J9" s="6">
        <f t="shared" si="1"/>
        <v>0</v>
      </c>
      <c r="L9">
        <f t="shared" si="16"/>
        <v>2036</v>
      </c>
      <c r="M9" s="1">
        <f t="shared" si="2"/>
        <v>1</v>
      </c>
      <c r="N9" s="1">
        <f t="shared" si="3"/>
        <v>1.0934432639426397</v>
      </c>
      <c r="O9" s="1">
        <f t="shared" si="4"/>
        <v>0.88951679973130959</v>
      </c>
      <c r="Q9">
        <f t="shared" si="17"/>
        <v>2046</v>
      </c>
      <c r="R9" s="1">
        <f t="shared" si="5"/>
        <v>1</v>
      </c>
      <c r="S9" s="1">
        <f t="shared" si="6"/>
        <v>1.2689855476541823</v>
      </c>
      <c r="T9" s="1">
        <f t="shared" si="7"/>
        <v>0.73183146721279413</v>
      </c>
      <c r="V9">
        <f t="shared" si="18"/>
        <v>2036</v>
      </c>
      <c r="W9" s="1">
        <f t="shared" si="8"/>
        <v>1</v>
      </c>
      <c r="X9" s="1">
        <f t="shared" si="9"/>
        <v>0.81350064430775282</v>
      </c>
      <c r="Z9">
        <f t="shared" si="19"/>
        <v>2046</v>
      </c>
      <c r="AA9" s="1">
        <f t="shared" si="10"/>
        <v>1</v>
      </c>
      <c r="AB9" s="1">
        <f t="shared" si="11"/>
        <v>0.57670591171478747</v>
      </c>
      <c r="AD9">
        <f t="shared" si="20"/>
        <v>2036</v>
      </c>
      <c r="AE9" s="1">
        <f t="shared" si="12"/>
        <v>0.81350064430775282</v>
      </c>
      <c r="AG9">
        <f t="shared" si="21"/>
        <v>2046</v>
      </c>
      <c r="AH9" s="1">
        <f t="shared" si="13"/>
        <v>0.57670591171478747</v>
      </c>
    </row>
    <row r="10" spans="1:34" x14ac:dyDescent="0.25">
      <c r="A10" t="s">
        <v>179</v>
      </c>
      <c r="B10" s="192">
        <v>1.2</v>
      </c>
      <c r="D10">
        <f t="shared" si="14"/>
        <v>2022</v>
      </c>
      <c r="E10" s="3">
        <f>Investointikustannus!E23</f>
        <v>0</v>
      </c>
      <c r="F10" s="6">
        <f t="shared" si="0"/>
        <v>0</v>
      </c>
      <c r="G10" s="13"/>
      <c r="H10">
        <f t="shared" si="15"/>
        <v>2032</v>
      </c>
      <c r="I10" s="3">
        <f>Investointikustannus!P23</f>
        <v>0</v>
      </c>
      <c r="J10" s="6">
        <f t="shared" si="1"/>
        <v>0</v>
      </c>
      <c r="L10">
        <f t="shared" si="16"/>
        <v>2037</v>
      </c>
      <c r="M10" s="1">
        <f t="shared" si="2"/>
        <v>1</v>
      </c>
      <c r="N10" s="1">
        <f t="shared" si="3"/>
        <v>1.1098449129017791</v>
      </c>
      <c r="O10" s="1">
        <f t="shared" si="4"/>
        <v>0.87232806930171902</v>
      </c>
      <c r="Q10">
        <f t="shared" si="17"/>
        <v>2047</v>
      </c>
      <c r="R10" s="1">
        <f t="shared" si="5"/>
        <v>1</v>
      </c>
      <c r="S10" s="1">
        <f t="shared" si="6"/>
        <v>1.2880203308689948</v>
      </c>
      <c r="T10" s="1">
        <f t="shared" si="7"/>
        <v>0.71768979634877872</v>
      </c>
      <c r="V10">
        <f t="shared" si="18"/>
        <v>2037</v>
      </c>
      <c r="W10" s="1">
        <f t="shared" si="8"/>
        <v>1</v>
      </c>
      <c r="X10" s="1">
        <f t="shared" si="9"/>
        <v>0.78599096068381913</v>
      </c>
      <c r="Z10">
        <f t="shared" si="19"/>
        <v>2047</v>
      </c>
      <c r="AA10" s="1">
        <f t="shared" si="10"/>
        <v>1</v>
      </c>
      <c r="AB10" s="1">
        <f t="shared" si="11"/>
        <v>0.55720377943457733</v>
      </c>
      <c r="AD10">
        <f t="shared" si="20"/>
        <v>2037</v>
      </c>
      <c r="AE10" s="1">
        <f t="shared" si="12"/>
        <v>0.78599096068381913</v>
      </c>
      <c r="AG10">
        <f t="shared" si="21"/>
        <v>2047</v>
      </c>
      <c r="AH10" s="1">
        <f t="shared" si="13"/>
        <v>0.55720377943457733</v>
      </c>
    </row>
    <row r="11" spans="1:34" x14ac:dyDescent="0.25">
      <c r="A11" t="s">
        <v>186</v>
      </c>
      <c r="B11" s="228">
        <v>300</v>
      </c>
      <c r="D11">
        <f t="shared" si="14"/>
        <v>2021</v>
      </c>
      <c r="E11" s="3">
        <f>Investointikustannus!D23</f>
        <v>0</v>
      </c>
      <c r="F11" s="6">
        <f t="shared" si="0"/>
        <v>0</v>
      </c>
      <c r="G11" s="13"/>
      <c r="H11">
        <f t="shared" si="15"/>
        <v>2031</v>
      </c>
      <c r="I11" s="3">
        <f>Investointikustannus!O23</f>
        <v>0</v>
      </c>
      <c r="J11" s="6">
        <f t="shared" si="1"/>
        <v>0</v>
      </c>
      <c r="L11">
        <f t="shared" si="16"/>
        <v>2038</v>
      </c>
      <c r="M11" s="1">
        <f t="shared" si="2"/>
        <v>1</v>
      </c>
      <c r="N11" s="1">
        <f t="shared" si="3"/>
        <v>1.1264925865953057</v>
      </c>
      <c r="O11" s="1">
        <f t="shared" si="4"/>
        <v>0.85547148825241048</v>
      </c>
      <c r="Q11">
        <f t="shared" si="17"/>
        <v>2048</v>
      </c>
      <c r="R11" s="1">
        <f t="shared" si="5"/>
        <v>1</v>
      </c>
      <c r="S11" s="1">
        <f t="shared" si="6"/>
        <v>1.3073406358320296</v>
      </c>
      <c r="T11" s="1">
        <f t="shared" si="7"/>
        <v>0.70382139448696657</v>
      </c>
      <c r="V11">
        <f t="shared" si="18"/>
        <v>2038</v>
      </c>
      <c r="W11" s="1">
        <f t="shared" si="8"/>
        <v>1</v>
      </c>
      <c r="X11" s="1">
        <f t="shared" si="9"/>
        <v>0.75941155621625056</v>
      </c>
      <c r="Z11">
        <f t="shared" si="19"/>
        <v>2048</v>
      </c>
      <c r="AA11" s="1">
        <f t="shared" si="10"/>
        <v>1</v>
      </c>
      <c r="AB11" s="1">
        <f t="shared" si="11"/>
        <v>0.53836113955031628</v>
      </c>
      <c r="AD11">
        <f t="shared" si="20"/>
        <v>2038</v>
      </c>
      <c r="AE11" s="1">
        <f t="shared" si="12"/>
        <v>0.75941155621625056</v>
      </c>
      <c r="AG11">
        <f t="shared" si="21"/>
        <v>2048</v>
      </c>
      <c r="AH11" s="1">
        <f t="shared" si="13"/>
        <v>0.53836113955031628</v>
      </c>
    </row>
    <row r="12" spans="1:34" x14ac:dyDescent="0.25">
      <c r="D12">
        <f t="shared" si="14"/>
        <v>2020</v>
      </c>
      <c r="E12" s="4">
        <f>Investointikustannus!C23</f>
        <v>0</v>
      </c>
      <c r="F12" s="7">
        <f t="shared" si="0"/>
        <v>0</v>
      </c>
      <c r="G12" s="13"/>
      <c r="H12">
        <f t="shared" si="15"/>
        <v>2030</v>
      </c>
      <c r="I12" s="4">
        <f>Investointikustannus!N23</f>
        <v>0</v>
      </c>
      <c r="J12" s="7">
        <f t="shared" si="1"/>
        <v>0</v>
      </c>
      <c r="L12">
        <f t="shared" si="16"/>
        <v>2039</v>
      </c>
      <c r="M12" s="1">
        <f t="shared" si="2"/>
        <v>1</v>
      </c>
      <c r="N12" s="1">
        <f t="shared" si="3"/>
        <v>1.1433899753942351</v>
      </c>
      <c r="O12" s="1">
        <f t="shared" si="4"/>
        <v>0.83894063823787113</v>
      </c>
      <c r="Q12">
        <f t="shared" si="17"/>
        <v>2049</v>
      </c>
      <c r="R12" s="1">
        <f t="shared" si="5"/>
        <v>1</v>
      </c>
      <c r="S12" s="1">
        <f t="shared" si="6"/>
        <v>1.32695074536951</v>
      </c>
      <c r="T12" s="1">
        <f t="shared" si="7"/>
        <v>0.69022098106692853</v>
      </c>
      <c r="V12">
        <f t="shared" si="18"/>
        <v>2039</v>
      </c>
      <c r="W12" s="1">
        <f t="shared" si="8"/>
        <v>1</v>
      </c>
      <c r="X12" s="1">
        <f t="shared" si="9"/>
        <v>0.73373097218961414</v>
      </c>
      <c r="Z12">
        <f t="shared" si="19"/>
        <v>2049</v>
      </c>
      <c r="AA12" s="1">
        <f t="shared" si="10"/>
        <v>1</v>
      </c>
      <c r="AB12" s="1">
        <f t="shared" si="11"/>
        <v>0.52015569038677911</v>
      </c>
      <c r="AD12">
        <f t="shared" si="20"/>
        <v>2039</v>
      </c>
      <c r="AE12" s="1">
        <f t="shared" si="12"/>
        <v>0.73373097218961414</v>
      </c>
      <c r="AG12">
        <f t="shared" si="21"/>
        <v>2049</v>
      </c>
      <c r="AH12" s="1">
        <f t="shared" si="13"/>
        <v>0.52015569038677911</v>
      </c>
    </row>
    <row r="13" spans="1:34" x14ac:dyDescent="0.25">
      <c r="D13" t="s">
        <v>11</v>
      </c>
      <c r="E13">
        <f>SUM(E3:E12)</f>
        <v>0</v>
      </c>
      <c r="F13" s="13">
        <f>SUM(F3:F12)</f>
        <v>0</v>
      </c>
      <c r="G13" s="13"/>
      <c r="H13" t="s">
        <v>11</v>
      </c>
      <c r="I13">
        <f>SUM(I3:I12)</f>
        <v>0</v>
      </c>
      <c r="J13" s="13">
        <f>SUM(J3:J12)</f>
        <v>0</v>
      </c>
      <c r="L13">
        <f t="shared" si="16"/>
        <v>2040</v>
      </c>
      <c r="M13" s="1">
        <f t="shared" si="2"/>
        <v>1</v>
      </c>
      <c r="N13" s="1">
        <f t="shared" si="3"/>
        <v>1.1605408250251485</v>
      </c>
      <c r="O13" s="1">
        <f t="shared" si="4"/>
        <v>0.82272922493858858</v>
      </c>
      <c r="Q13">
        <f t="shared" si="17"/>
        <v>2050</v>
      </c>
      <c r="R13" s="1">
        <f t="shared" si="5"/>
        <v>1</v>
      </c>
      <c r="S13" s="1">
        <f t="shared" si="6"/>
        <v>1.3468550065500522</v>
      </c>
      <c r="T13" s="1">
        <f t="shared" si="7"/>
        <v>0.6768833775680505</v>
      </c>
      <c r="V13">
        <f t="shared" si="18"/>
        <v>2040</v>
      </c>
      <c r="W13" s="1">
        <f t="shared" si="8"/>
        <v>1</v>
      </c>
      <c r="X13" s="1">
        <f t="shared" si="9"/>
        <v>0.70891881370977217</v>
      </c>
      <c r="Z13">
        <f t="shared" si="19"/>
        <v>2050</v>
      </c>
      <c r="AA13" s="1">
        <f t="shared" si="10"/>
        <v>1</v>
      </c>
      <c r="AB13" s="1">
        <f t="shared" si="11"/>
        <v>0.50256588443167061</v>
      </c>
      <c r="AD13">
        <f t="shared" si="20"/>
        <v>2040</v>
      </c>
      <c r="AE13" s="1">
        <f t="shared" si="12"/>
        <v>0.70891881370977217</v>
      </c>
      <c r="AG13">
        <f t="shared" si="21"/>
        <v>2050</v>
      </c>
      <c r="AH13" s="1">
        <f t="shared" si="13"/>
        <v>0.50256588443167061</v>
      </c>
    </row>
    <row r="14" spans="1:34" x14ac:dyDescent="0.25">
      <c r="L14">
        <f t="shared" si="16"/>
        <v>2041</v>
      </c>
      <c r="M14" s="1">
        <f t="shared" si="2"/>
        <v>1</v>
      </c>
      <c r="N14" s="1">
        <f t="shared" si="3"/>
        <v>1.1779489374005256</v>
      </c>
      <c r="O14" s="1">
        <f t="shared" si="4"/>
        <v>0.80683107566441281</v>
      </c>
      <c r="Q14">
        <f t="shared" si="17"/>
        <v>2051</v>
      </c>
      <c r="R14" s="1">
        <f t="shared" si="5"/>
        <v>1</v>
      </c>
      <c r="S14" s="1">
        <f t="shared" si="6"/>
        <v>1.3670578316483029</v>
      </c>
      <c r="T14" s="1">
        <f t="shared" si="7"/>
        <v>0.66380350553775014</v>
      </c>
      <c r="V14">
        <f t="shared" si="18"/>
        <v>2041</v>
      </c>
      <c r="W14" s="1">
        <f t="shared" si="8"/>
        <v>1</v>
      </c>
      <c r="X14" s="1">
        <f t="shared" si="9"/>
        <v>0.68494571372924851</v>
      </c>
      <c r="Z14">
        <f t="shared" si="19"/>
        <v>2051</v>
      </c>
      <c r="AA14" s="1">
        <f t="shared" si="10"/>
        <v>1</v>
      </c>
      <c r="AB14" s="1">
        <f t="shared" si="11"/>
        <v>0.48557090283253213</v>
      </c>
      <c r="AD14">
        <f t="shared" si="20"/>
        <v>2041</v>
      </c>
      <c r="AE14" s="1">
        <f t="shared" si="12"/>
        <v>0.68494571372924851</v>
      </c>
      <c r="AG14">
        <f t="shared" si="21"/>
        <v>2051</v>
      </c>
      <c r="AH14" s="1">
        <f t="shared" si="13"/>
        <v>0.48557090283253213</v>
      </c>
    </row>
    <row r="15" spans="1:34" x14ac:dyDescent="0.25">
      <c r="A15" t="s">
        <v>43</v>
      </c>
      <c r="B15" s="5">
        <v>100</v>
      </c>
      <c r="G15" s="13"/>
      <c r="J15" s="13"/>
      <c r="L15">
        <f t="shared" si="16"/>
        <v>2042</v>
      </c>
      <c r="M15" s="1">
        <f t="shared" si="2"/>
        <v>1</v>
      </c>
      <c r="N15" s="1">
        <f t="shared" si="3"/>
        <v>1.1956181714615333</v>
      </c>
      <c r="O15" s="1">
        <f t="shared" si="4"/>
        <v>0.79124013700423079</v>
      </c>
      <c r="Q15">
        <f t="shared" si="17"/>
        <v>2052</v>
      </c>
      <c r="R15" s="1">
        <f t="shared" si="5"/>
        <v>1</v>
      </c>
      <c r="S15" s="1">
        <f t="shared" si="6"/>
        <v>1.3875636991230271</v>
      </c>
      <c r="T15" s="1">
        <f t="shared" si="7"/>
        <v>0.65097638465779339</v>
      </c>
      <c r="V15">
        <f t="shared" si="18"/>
        <v>2042</v>
      </c>
      <c r="W15" s="1">
        <f t="shared" si="8"/>
        <v>1</v>
      </c>
      <c r="X15" s="1">
        <f t="shared" si="9"/>
        <v>0.66178329828912896</v>
      </c>
      <c r="Z15">
        <f t="shared" si="19"/>
        <v>2052</v>
      </c>
      <c r="AA15" s="1">
        <f t="shared" si="10"/>
        <v>1</v>
      </c>
      <c r="AB15" s="1">
        <f t="shared" si="11"/>
        <v>0.46915063075606966</v>
      </c>
      <c r="AD15">
        <f t="shared" si="20"/>
        <v>2042</v>
      </c>
      <c r="AE15" s="1">
        <f t="shared" si="12"/>
        <v>0.66178329828912896</v>
      </c>
      <c r="AG15">
        <f t="shared" si="21"/>
        <v>2052</v>
      </c>
      <c r="AH15" s="1">
        <f t="shared" si="13"/>
        <v>0.46915063075606966</v>
      </c>
    </row>
    <row r="16" spans="1:34" x14ac:dyDescent="0.25">
      <c r="A16" t="s">
        <v>44</v>
      </c>
      <c r="B16" s="7" t="str">
        <f>IF(Kayttajahyodyt!M16=0,"Ennuste 2 puuttuu",Kayttajahyodyt!M16/Kayttajahyodyt!M11*100)</f>
        <v>Ennuste 2 puuttuu</v>
      </c>
      <c r="L16">
        <f t="shared" si="16"/>
        <v>2043</v>
      </c>
      <c r="M16" s="1">
        <f t="shared" si="2"/>
        <v>1</v>
      </c>
      <c r="N16" s="1">
        <f t="shared" si="3"/>
        <v>1.2135524440334562</v>
      </c>
      <c r="O16" s="1">
        <f t="shared" si="4"/>
        <v>0.77595047252105742</v>
      </c>
      <c r="Q16">
        <f t="shared" si="17"/>
        <v>2053</v>
      </c>
      <c r="R16" s="1">
        <f t="shared" si="5"/>
        <v>1</v>
      </c>
      <c r="S16" s="1">
        <f t="shared" si="6"/>
        <v>1.4083771546098725</v>
      </c>
      <c r="T16" s="1">
        <f t="shared" si="7"/>
        <v>0.638397130847981</v>
      </c>
      <c r="V16">
        <f t="shared" si="18"/>
        <v>2043</v>
      </c>
      <c r="W16" s="1">
        <f t="shared" si="8"/>
        <v>1</v>
      </c>
      <c r="X16" s="1">
        <f t="shared" si="9"/>
        <v>0.63940415293635666</v>
      </c>
      <c r="Z16">
        <f t="shared" si="19"/>
        <v>2053</v>
      </c>
      <c r="AA16" s="1">
        <f t="shared" si="10"/>
        <v>1</v>
      </c>
      <c r="AB16" s="1">
        <f t="shared" si="11"/>
        <v>0.45328563358074364</v>
      </c>
      <c r="AD16">
        <f t="shared" si="20"/>
        <v>2043</v>
      </c>
      <c r="AE16" s="1">
        <f t="shared" si="12"/>
        <v>0.63940415293635666</v>
      </c>
      <c r="AG16">
        <f t="shared" si="21"/>
        <v>2053</v>
      </c>
      <c r="AH16" s="1">
        <f t="shared" si="13"/>
        <v>0.45328563358074364</v>
      </c>
    </row>
    <row r="17" spans="1:34" x14ac:dyDescent="0.25">
      <c r="A17" t="s">
        <v>45</v>
      </c>
      <c r="B17" s="189">
        <f>IF(AND(ISNUMBER(B6),B6&gt;B4,ISNUMBER(B16)),_xlfn.RRI(B6-B4,B15,B16),0)</f>
        <v>0</v>
      </c>
      <c r="L17">
        <f t="shared" si="16"/>
        <v>2044</v>
      </c>
      <c r="M17" s="1">
        <f t="shared" si="2"/>
        <v>1</v>
      </c>
      <c r="N17" s="1">
        <f t="shared" si="3"/>
        <v>1.2317557306939577</v>
      </c>
      <c r="O17" s="1">
        <f t="shared" si="4"/>
        <v>0.76095626049166476</v>
      </c>
      <c r="Q17">
        <f t="shared" si="17"/>
        <v>2054</v>
      </c>
      <c r="R17" s="1">
        <f t="shared" si="5"/>
        <v>1</v>
      </c>
      <c r="S17" s="1">
        <f t="shared" si="6"/>
        <v>1.4295028119290203</v>
      </c>
      <c r="T17" s="1">
        <f t="shared" si="7"/>
        <v>0.62606095440647413</v>
      </c>
      <c r="V17">
        <f t="shared" si="18"/>
        <v>2044</v>
      </c>
      <c r="W17" s="1">
        <f t="shared" si="8"/>
        <v>1</v>
      </c>
      <c r="X17" s="1">
        <f t="shared" si="9"/>
        <v>0.61778179027667302</v>
      </c>
      <c r="Z17">
        <f t="shared" si="19"/>
        <v>2054</v>
      </c>
      <c r="AA17" s="1">
        <f t="shared" si="10"/>
        <v>1</v>
      </c>
      <c r="AB17" s="1">
        <f t="shared" si="11"/>
        <v>0.43795713389443841</v>
      </c>
      <c r="AD17">
        <f t="shared" si="20"/>
        <v>2044</v>
      </c>
      <c r="AE17" s="1">
        <f t="shared" si="12"/>
        <v>0.61778179027667302</v>
      </c>
      <c r="AG17">
        <f t="shared" si="21"/>
        <v>2054</v>
      </c>
      <c r="AH17" s="1">
        <f t="shared" si="13"/>
        <v>0.43795713389443841</v>
      </c>
    </row>
    <row r="18" spans="1:34" x14ac:dyDescent="0.25">
      <c r="L18">
        <f t="shared" si="16"/>
        <v>2045</v>
      </c>
      <c r="M18" s="1">
        <f t="shared" si="2"/>
        <v>1</v>
      </c>
      <c r="N18" s="1">
        <f t="shared" si="3"/>
        <v>1.2502320666543669</v>
      </c>
      <c r="O18" s="1">
        <f t="shared" si="4"/>
        <v>0.74625179168989342</v>
      </c>
      <c r="Q18">
        <f t="shared" si="17"/>
        <v>2055</v>
      </c>
      <c r="R18" s="1">
        <f t="shared" si="5"/>
        <v>1</v>
      </c>
      <c r="S18" s="1">
        <f t="shared" si="6"/>
        <v>1.4509453541079556</v>
      </c>
      <c r="T18" s="1">
        <f t="shared" si="7"/>
        <v>0.61396315818605918</v>
      </c>
      <c r="V18">
        <f t="shared" si="18"/>
        <v>2045</v>
      </c>
      <c r="W18" s="1">
        <f t="shared" si="8"/>
        <v>1</v>
      </c>
      <c r="X18" s="1">
        <f t="shared" si="9"/>
        <v>0.59689061862480497</v>
      </c>
      <c r="Z18">
        <f t="shared" si="19"/>
        <v>2055</v>
      </c>
      <c r="AA18" s="1">
        <f t="shared" si="10"/>
        <v>1</v>
      </c>
      <c r="AB18" s="1">
        <f t="shared" si="11"/>
        <v>0.42314698926998884</v>
      </c>
      <c r="AD18">
        <f t="shared" si="20"/>
        <v>2045</v>
      </c>
      <c r="AE18" s="1">
        <f t="shared" si="12"/>
        <v>0.59689061862480497</v>
      </c>
      <c r="AG18">
        <f t="shared" si="21"/>
        <v>2055</v>
      </c>
      <c r="AH18" s="1">
        <f t="shared" si="13"/>
        <v>0.42314698926998884</v>
      </c>
    </row>
    <row r="19" spans="1:34" x14ac:dyDescent="0.25">
      <c r="A19" t="s">
        <v>46</v>
      </c>
      <c r="B19" s="1">
        <f ca="1">IF(OR(B5&gt;B3+B7,NOT(ISNUMBER(B5)),NOT(ISNUMBER(B16))),SUM(OFFSET(O3,0,0,B7)),IF(B5-B3&lt;=0,"Avausvuosi 2 tulee olla ensimmäisen avausvuoden jälkeen",SUM(OFFSET(O3,0,0,B5-B3))))</f>
        <v>22.930852630930456</v>
      </c>
      <c r="L19">
        <f t="shared" si="16"/>
        <v>2046</v>
      </c>
      <c r="M19" s="1">
        <f t="shared" si="2"/>
        <v>1</v>
      </c>
      <c r="N19" s="1">
        <f t="shared" si="3"/>
        <v>1.2689855476541823</v>
      </c>
      <c r="O19" s="1">
        <f t="shared" si="4"/>
        <v>0.73183146721279413</v>
      </c>
      <c r="Q19">
        <f t="shared" si="17"/>
        <v>2056</v>
      </c>
      <c r="R19" s="1">
        <f t="shared" si="5"/>
        <v>1</v>
      </c>
      <c r="S19" s="1">
        <f t="shared" si="6"/>
        <v>1.4727095344195746</v>
      </c>
      <c r="T19" s="1">
        <f t="shared" si="7"/>
        <v>0.60209913580565222</v>
      </c>
      <c r="V19">
        <f t="shared" si="18"/>
        <v>2046</v>
      </c>
      <c r="W19" s="1">
        <f t="shared" si="8"/>
        <v>1</v>
      </c>
      <c r="X19" s="1">
        <f t="shared" si="9"/>
        <v>0.57670591171478747</v>
      </c>
      <c r="Z19">
        <f t="shared" si="19"/>
        <v>2056</v>
      </c>
      <c r="AA19" s="1">
        <f t="shared" si="10"/>
        <v>1</v>
      </c>
      <c r="AB19" s="1">
        <f t="shared" si="11"/>
        <v>0.40883767079225974</v>
      </c>
      <c r="AD19">
        <f t="shared" si="20"/>
        <v>2046</v>
      </c>
      <c r="AE19" s="1">
        <f t="shared" si="12"/>
        <v>0.57670591171478747</v>
      </c>
      <c r="AG19">
        <f t="shared" si="21"/>
        <v>2056</v>
      </c>
      <c r="AH19" s="1">
        <f t="shared" si="13"/>
        <v>0.40883767079225974</v>
      </c>
    </row>
    <row r="20" spans="1:34" x14ac:dyDescent="0.25">
      <c r="A20" t="s">
        <v>47</v>
      </c>
      <c r="B20" s="1" t="str">
        <f ca="1">IF(AND(ISNUMBER(B5),ISNUMBER(B16)),IF(B5-B3&lt;=0,"Avausvuosi 2 tulee olla ensimmäisen avausvuoden jälkeen",IF(B5-B3&gt;=B7,"Avausvuosi 2 ei ole tarkastelujakson sisällä",SUM(OFFSET(T3,0,0,B7-(B5-B3))))),"Ennuste/avausvuosi 2 puuttuu")</f>
        <v>Ennuste/avausvuosi 2 puuttuu</v>
      </c>
      <c r="L20">
        <f t="shared" si="16"/>
        <v>2047</v>
      </c>
      <c r="M20" s="1">
        <f t="shared" si="2"/>
        <v>1</v>
      </c>
      <c r="N20" s="1">
        <f t="shared" si="3"/>
        <v>1.2880203308689948</v>
      </c>
      <c r="O20" s="1">
        <f t="shared" si="4"/>
        <v>0.71768979634877872</v>
      </c>
      <c r="Q20">
        <f t="shared" si="17"/>
        <v>2057</v>
      </c>
      <c r="R20" s="1">
        <f t="shared" si="5"/>
        <v>1</v>
      </c>
      <c r="S20" s="1">
        <f t="shared" si="6"/>
        <v>1.4948001774358681</v>
      </c>
      <c r="T20" s="1">
        <f t="shared" si="7"/>
        <v>0.59046436989636419</v>
      </c>
      <c r="V20">
        <f t="shared" si="18"/>
        <v>2047</v>
      </c>
      <c r="W20" s="1">
        <f t="shared" si="8"/>
        <v>1</v>
      </c>
      <c r="X20" s="1">
        <f t="shared" si="9"/>
        <v>0.55720377943457733</v>
      </c>
      <c r="Z20">
        <f t="shared" si="19"/>
        <v>2057</v>
      </c>
      <c r="AA20" s="1">
        <f t="shared" si="10"/>
        <v>1</v>
      </c>
      <c r="AB20" s="1">
        <f t="shared" si="11"/>
        <v>0.39501224231136206</v>
      </c>
      <c r="AD20">
        <f t="shared" si="20"/>
        <v>2047</v>
      </c>
      <c r="AE20" s="1">
        <f t="shared" si="12"/>
        <v>0.55720377943457733</v>
      </c>
      <c r="AG20">
        <f t="shared" si="21"/>
        <v>2057</v>
      </c>
      <c r="AH20" s="1">
        <f t="shared" si="13"/>
        <v>0.39501224231136206</v>
      </c>
    </row>
    <row r="21" spans="1:34" x14ac:dyDescent="0.25">
      <c r="L21">
        <f t="shared" si="16"/>
        <v>2048</v>
      </c>
      <c r="M21" s="1">
        <f t="shared" si="2"/>
        <v>1</v>
      </c>
      <c r="N21" s="1">
        <f t="shared" si="3"/>
        <v>1.3073406358320296</v>
      </c>
      <c r="O21" s="1">
        <f t="shared" si="4"/>
        <v>0.70382139448696657</v>
      </c>
      <c r="Q21">
        <f t="shared" si="17"/>
        <v>2058</v>
      </c>
      <c r="R21" s="1">
        <f t="shared" si="5"/>
        <v>1</v>
      </c>
      <c r="S21" s="1">
        <f t="shared" si="6"/>
        <v>1.5172221800974057</v>
      </c>
      <c r="T21" s="1">
        <f t="shared" si="7"/>
        <v>0.57905443038145843</v>
      </c>
      <c r="V21">
        <f t="shared" si="18"/>
        <v>2048</v>
      </c>
      <c r="W21" s="1">
        <f t="shared" si="8"/>
        <v>1</v>
      </c>
      <c r="X21" s="1">
        <f t="shared" si="9"/>
        <v>0.53836113955031628</v>
      </c>
      <c r="Z21">
        <f t="shared" si="19"/>
        <v>2058</v>
      </c>
      <c r="AA21" s="1">
        <f t="shared" si="10"/>
        <v>1</v>
      </c>
      <c r="AB21" s="1">
        <f t="shared" si="11"/>
        <v>0.38165434039745127</v>
      </c>
      <c r="AD21">
        <f t="shared" si="20"/>
        <v>2048</v>
      </c>
      <c r="AE21" s="1">
        <f t="shared" si="12"/>
        <v>0.53836113955031628</v>
      </c>
      <c r="AG21">
        <f t="shared" si="21"/>
        <v>2058</v>
      </c>
      <c r="AH21" s="1">
        <f t="shared" si="13"/>
        <v>0.38165434039745127</v>
      </c>
    </row>
    <row r="22" spans="1:34" x14ac:dyDescent="0.25">
      <c r="A22" t="s">
        <v>48</v>
      </c>
      <c r="B22">
        <v>100</v>
      </c>
      <c r="L22">
        <f t="shared" si="16"/>
        <v>2049</v>
      </c>
      <c r="M22" s="1">
        <f t="shared" si="2"/>
        <v>1</v>
      </c>
      <c r="N22" s="1">
        <f t="shared" si="3"/>
        <v>1.32695074536951</v>
      </c>
      <c r="O22" s="1">
        <f t="shared" si="4"/>
        <v>0.69022098106692853</v>
      </c>
      <c r="Q22">
        <f t="shared" si="17"/>
        <v>2059</v>
      </c>
      <c r="R22" s="1">
        <f t="shared" si="5"/>
        <v>1</v>
      </c>
      <c r="S22" s="1">
        <f t="shared" si="6"/>
        <v>1.5399805127988668</v>
      </c>
      <c r="T22" s="1">
        <f t="shared" si="7"/>
        <v>0.56786497278954629</v>
      </c>
      <c r="V22">
        <f t="shared" si="18"/>
        <v>2049</v>
      </c>
      <c r="W22" s="1">
        <f t="shared" si="8"/>
        <v>1</v>
      </c>
      <c r="X22" s="1">
        <f t="shared" si="9"/>
        <v>0.52015569038677911</v>
      </c>
      <c r="Z22">
        <f t="shared" si="19"/>
        <v>2059</v>
      </c>
      <c r="AA22" s="1">
        <f t="shared" si="10"/>
        <v>1</v>
      </c>
      <c r="AB22" s="1">
        <f t="shared" si="11"/>
        <v>0.36874815497338298</v>
      </c>
      <c r="AD22">
        <f t="shared" si="20"/>
        <v>2049</v>
      </c>
      <c r="AE22" s="1">
        <f t="shared" si="12"/>
        <v>0.52015569038677911</v>
      </c>
      <c r="AG22">
        <f t="shared" si="21"/>
        <v>2059</v>
      </c>
      <c r="AH22" s="1">
        <f t="shared" si="13"/>
        <v>0.36874815497338298</v>
      </c>
    </row>
    <row r="23" spans="1:34" x14ac:dyDescent="0.25">
      <c r="A23" t="s">
        <v>49</v>
      </c>
      <c r="B23" t="str">
        <f>IF(Tuottajahyodyt!L68=0,"Ennuste 2 puuttuu",(Kayttajahyodyt!M29+Kayttajahyodyt!M44+Tuottajahyodyt!F46-Tuottajahyodyt!L68-Julkistaloudelliset!C14)/(Kayttajahyodyt!M24+Kayttajahyodyt!M39+Tuottajahyodyt!F43-Tuottajahyodyt!L60-Julkistaloudelliset!C9)*100)</f>
        <v>Ennuste 2 puuttuu</v>
      </c>
      <c r="L23">
        <f t="shared" si="16"/>
        <v>2050</v>
      </c>
      <c r="M23" s="1">
        <f t="shared" si="2"/>
        <v>1</v>
      </c>
      <c r="N23" s="1">
        <f t="shared" si="3"/>
        <v>1.3468550065500522</v>
      </c>
      <c r="O23" s="1">
        <f t="shared" si="4"/>
        <v>0.6768833775680505</v>
      </c>
      <c r="Q23">
        <f t="shared" si="17"/>
        <v>2060</v>
      </c>
      <c r="R23" s="1">
        <f t="shared" si="5"/>
        <v>1</v>
      </c>
      <c r="S23" s="1">
        <f t="shared" si="6"/>
        <v>1.5630802204908494</v>
      </c>
      <c r="T23" s="1">
        <f t="shared" si="7"/>
        <v>0.55689173660037616</v>
      </c>
      <c r="V23">
        <f t="shared" si="18"/>
        <v>2050</v>
      </c>
      <c r="W23" s="1">
        <f t="shared" si="8"/>
        <v>1</v>
      </c>
      <c r="X23" s="1">
        <f t="shared" si="9"/>
        <v>0.50256588443167061</v>
      </c>
      <c r="Z23">
        <f t="shared" si="19"/>
        <v>2060</v>
      </c>
      <c r="AA23" s="1">
        <f t="shared" si="10"/>
        <v>1</v>
      </c>
      <c r="AB23" s="1">
        <f t="shared" si="11"/>
        <v>0.35627841060230236</v>
      </c>
      <c r="AD23">
        <f t="shared" si="20"/>
        <v>2050</v>
      </c>
      <c r="AE23" s="1">
        <f t="shared" si="12"/>
        <v>0.50256588443167061</v>
      </c>
      <c r="AG23">
        <f t="shared" si="21"/>
        <v>2060</v>
      </c>
      <c r="AH23" s="1">
        <f t="shared" si="13"/>
        <v>0.35627841060230236</v>
      </c>
    </row>
    <row r="24" spans="1:34" x14ac:dyDescent="0.25">
      <c r="A24" t="s">
        <v>50</v>
      </c>
      <c r="B24" s="190">
        <f>IF(AND(ISNUMBER(B6),B6&gt;B4,ISNUMBER(B23)),_xlfn.RRI(B6-B4,B22,B23),0)</f>
        <v>0</v>
      </c>
      <c r="L24">
        <f t="shared" si="16"/>
        <v>2051</v>
      </c>
      <c r="M24" s="1">
        <f t="shared" si="2"/>
        <v>1</v>
      </c>
      <c r="N24" s="1">
        <f t="shared" si="3"/>
        <v>1.3670578316483029</v>
      </c>
      <c r="O24" s="1">
        <f t="shared" si="4"/>
        <v>0.66380350553775014</v>
      </c>
      <c r="Q24">
        <f t="shared" si="17"/>
        <v>2061</v>
      </c>
      <c r="R24" s="1">
        <f t="shared" si="5"/>
        <v>1</v>
      </c>
      <c r="S24" s="1">
        <f t="shared" si="6"/>
        <v>1.586526423798212</v>
      </c>
      <c r="T24" s="1">
        <f t="shared" si="7"/>
        <v>0.54613054362259106</v>
      </c>
      <c r="V24">
        <f t="shared" si="18"/>
        <v>2051</v>
      </c>
      <c r="W24" s="1">
        <f t="shared" si="8"/>
        <v>1</v>
      </c>
      <c r="X24" s="1">
        <f t="shared" si="9"/>
        <v>0.48557090283253213</v>
      </c>
      <c r="Z24">
        <f t="shared" si="19"/>
        <v>2061</v>
      </c>
      <c r="AA24" s="1">
        <f t="shared" si="10"/>
        <v>1</v>
      </c>
      <c r="AB24" s="1">
        <f t="shared" si="11"/>
        <v>0.34423034840802164</v>
      </c>
      <c r="AD24">
        <f t="shared" si="20"/>
        <v>2051</v>
      </c>
      <c r="AE24" s="1">
        <f t="shared" si="12"/>
        <v>0.48557090283253213</v>
      </c>
      <c r="AG24">
        <f t="shared" si="21"/>
        <v>2061</v>
      </c>
      <c r="AH24" s="1">
        <f t="shared" si="13"/>
        <v>0.34423034840802164</v>
      </c>
    </row>
    <row r="25" spans="1:34" x14ac:dyDescent="0.25">
      <c r="L25">
        <f t="shared" si="16"/>
        <v>2052</v>
      </c>
      <c r="M25" s="1">
        <f t="shared" si="2"/>
        <v>1</v>
      </c>
      <c r="N25" s="1">
        <f t="shared" si="3"/>
        <v>1.3875636991230271</v>
      </c>
      <c r="O25" s="1">
        <f t="shared" si="4"/>
        <v>0.65097638465779339</v>
      </c>
      <c r="Q25">
        <f t="shared" si="17"/>
        <v>2062</v>
      </c>
      <c r="R25" s="1">
        <f t="shared" si="5"/>
        <v>1</v>
      </c>
      <c r="S25" s="1">
        <f t="shared" si="6"/>
        <v>1.6103243201551849</v>
      </c>
      <c r="T25" s="1">
        <f t="shared" si="7"/>
        <v>0.53557729640283092</v>
      </c>
      <c r="V25">
        <f t="shared" si="18"/>
        <v>2052</v>
      </c>
      <c r="W25" s="1">
        <f t="shared" si="8"/>
        <v>1</v>
      </c>
      <c r="X25" s="1">
        <f t="shared" si="9"/>
        <v>0.46915063075606966</v>
      </c>
      <c r="Z25">
        <f t="shared" si="19"/>
        <v>2062</v>
      </c>
      <c r="AA25" s="1">
        <f t="shared" si="10"/>
        <v>1</v>
      </c>
      <c r="AB25" s="1">
        <f t="shared" si="11"/>
        <v>0.33258970860678427</v>
      </c>
      <c r="AD25">
        <f t="shared" si="20"/>
        <v>2052</v>
      </c>
      <c r="AE25" s="1">
        <f t="shared" si="12"/>
        <v>0.46915063075606966</v>
      </c>
      <c r="AG25">
        <f t="shared" si="21"/>
        <v>2062</v>
      </c>
      <c r="AH25" s="1">
        <f t="shared" si="13"/>
        <v>0.33258970860678427</v>
      </c>
    </row>
    <row r="26" spans="1:34" x14ac:dyDescent="0.25">
      <c r="A26" t="s">
        <v>51</v>
      </c>
      <c r="B26" s="1">
        <f ca="1">IF(OR(B5&gt;B3+B7,NOT(ISNUMBER(B5)),NOT(ISNUMBER(B16))),SUM(OFFSET(X3,0,0,B7)),IF(B5-B3&lt;=0,"Avausvuosi 2 tulee olla ensimmäisen avausvuoden jälkeen",SUM(OFFSET(X3,0,0,B5-B3))))</f>
        <v>19.035767000760526</v>
      </c>
      <c r="L26">
        <f t="shared" si="16"/>
        <v>2053</v>
      </c>
      <c r="M26" s="1">
        <f t="shared" si="2"/>
        <v>1</v>
      </c>
      <c r="N26" s="1">
        <f t="shared" si="3"/>
        <v>1.4083771546098725</v>
      </c>
      <c r="O26" s="1">
        <f t="shared" si="4"/>
        <v>0.638397130847981</v>
      </c>
      <c r="Q26">
        <f t="shared" si="17"/>
        <v>2063</v>
      </c>
      <c r="R26" s="1">
        <f t="shared" si="5"/>
        <v>1</v>
      </c>
      <c r="S26" s="1">
        <f t="shared" si="6"/>
        <v>1.6344791849575124</v>
      </c>
      <c r="T26" s="1">
        <f t="shared" si="7"/>
        <v>0.52522797666557808</v>
      </c>
      <c r="V26">
        <f t="shared" si="18"/>
        <v>2053</v>
      </c>
      <c r="W26" s="1">
        <f t="shared" si="8"/>
        <v>1</v>
      </c>
      <c r="X26" s="1">
        <f t="shared" si="9"/>
        <v>0.45328563358074364</v>
      </c>
      <c r="Z26">
        <f t="shared" si="19"/>
        <v>2063</v>
      </c>
      <c r="AA26" s="1">
        <f t="shared" si="10"/>
        <v>1</v>
      </c>
      <c r="AB26" s="1">
        <f t="shared" si="11"/>
        <v>0.32134271362974326</v>
      </c>
      <c r="AD26">
        <f t="shared" si="20"/>
        <v>2053</v>
      </c>
      <c r="AE26" s="1">
        <f t="shared" si="12"/>
        <v>0.45328563358074364</v>
      </c>
      <c r="AG26">
        <f t="shared" si="21"/>
        <v>2063</v>
      </c>
      <c r="AH26" s="1">
        <f t="shared" si="13"/>
        <v>0.32134271362974326</v>
      </c>
    </row>
    <row r="27" spans="1:34" x14ac:dyDescent="0.25">
      <c r="A27" t="s">
        <v>52</v>
      </c>
      <c r="B27" s="1" t="str">
        <f ca="1">IF(AND(ISNUMBER(B5),ISNUMBER(B16)),IF(B5-B3&lt;=0,"Avausvuosi 2 tulee olla ensimmäisen avausvuoden jälkeen",IF(B5-B3&gt;=B7,"Avausvuosi 2 ei ole tarkastelujakson sisällä",SUM(OFFSET(AB3,0,0,B7-(B5-B3))))),"Ennuste/avausvuosi 2 puuttuu")</f>
        <v>Ennuste/avausvuosi 2 puuttuu</v>
      </c>
      <c r="L27">
        <f t="shared" si="16"/>
        <v>2054</v>
      </c>
      <c r="M27" s="1">
        <f t="shared" si="2"/>
        <v>1</v>
      </c>
      <c r="N27" s="1">
        <f t="shared" si="3"/>
        <v>1.4295028119290203</v>
      </c>
      <c r="O27" s="1">
        <f t="shared" si="4"/>
        <v>0.62606095440647413</v>
      </c>
      <c r="Q27">
        <f t="shared" si="17"/>
        <v>2064</v>
      </c>
      <c r="R27" s="1">
        <f t="shared" si="5"/>
        <v>1</v>
      </c>
      <c r="S27" s="1">
        <f t="shared" si="6"/>
        <v>1.6589963727318748</v>
      </c>
      <c r="T27" s="1">
        <f t="shared" si="7"/>
        <v>0.51507864378315138</v>
      </c>
      <c r="V27">
        <f t="shared" si="18"/>
        <v>2054</v>
      </c>
      <c r="W27" s="1">
        <f t="shared" si="8"/>
        <v>1</v>
      </c>
      <c r="X27" s="1">
        <f t="shared" si="9"/>
        <v>0.43795713389443841</v>
      </c>
      <c r="Z27">
        <f t="shared" si="19"/>
        <v>2064</v>
      </c>
      <c r="AA27" s="1">
        <f t="shared" si="10"/>
        <v>1</v>
      </c>
      <c r="AB27" s="1">
        <f t="shared" si="11"/>
        <v>0.3104760518161771</v>
      </c>
      <c r="AD27">
        <f t="shared" si="20"/>
        <v>2054</v>
      </c>
      <c r="AE27" s="1">
        <f t="shared" si="12"/>
        <v>0.43795713389443841</v>
      </c>
      <c r="AG27">
        <f t="shared" si="21"/>
        <v>2064</v>
      </c>
      <c r="AH27" s="1">
        <f t="shared" si="13"/>
        <v>0.3104760518161771</v>
      </c>
    </row>
    <row r="28" spans="1:34" x14ac:dyDescent="0.25">
      <c r="L28">
        <f t="shared" si="16"/>
        <v>2055</v>
      </c>
      <c r="M28" s="1">
        <f t="shared" si="2"/>
        <v>1</v>
      </c>
      <c r="N28" s="1">
        <f t="shared" si="3"/>
        <v>1.4509453541079556</v>
      </c>
      <c r="O28" s="1">
        <f t="shared" si="4"/>
        <v>0.61396315818605918</v>
      </c>
      <c r="Q28">
        <f t="shared" si="17"/>
        <v>2065</v>
      </c>
      <c r="R28" s="1">
        <f t="shared" si="5"/>
        <v>1</v>
      </c>
      <c r="S28" s="1">
        <f t="shared" si="6"/>
        <v>1.6838813183228529</v>
      </c>
      <c r="T28" s="1">
        <f t="shared" si="7"/>
        <v>0.50512543327526449</v>
      </c>
      <c r="V28">
        <f t="shared" si="18"/>
        <v>2055</v>
      </c>
      <c r="W28" s="1">
        <f t="shared" si="8"/>
        <v>1</v>
      </c>
      <c r="X28" s="1">
        <f t="shared" si="9"/>
        <v>0.42314698926998884</v>
      </c>
      <c r="Z28">
        <f t="shared" si="19"/>
        <v>2065</v>
      </c>
      <c r="AA28" s="1">
        <f t="shared" si="10"/>
        <v>1</v>
      </c>
      <c r="AB28" s="1">
        <f t="shared" si="11"/>
        <v>0.29997686165814214</v>
      </c>
      <c r="AD28">
        <f t="shared" si="20"/>
        <v>2055</v>
      </c>
      <c r="AE28" s="1">
        <f t="shared" si="12"/>
        <v>0.42314698926998884</v>
      </c>
      <c r="AG28">
        <f t="shared" si="21"/>
        <v>2065</v>
      </c>
      <c r="AH28" s="1">
        <f t="shared" si="13"/>
        <v>0.29997686165814214</v>
      </c>
    </row>
    <row r="29" spans="1:34" x14ac:dyDescent="0.25">
      <c r="A29" t="s">
        <v>53</v>
      </c>
      <c r="B29" s="1">
        <f ca="1">IF(OR(B5&gt;B3+B7,NOT(ISNUMBER(B5)),NOT(ISNUMBER(B16))),SUM(OFFSET(AE3,0,0,B7)),IF(B5-B3&lt;=0,"Avausvuosi 2 tulee olla ensimmäisen avausvuoden jälkeen",SUM(OFFSET(AE3,0,0,B5-B3))))</f>
        <v>19.035767000760526</v>
      </c>
      <c r="L29">
        <f t="shared" si="16"/>
        <v>2056</v>
      </c>
      <c r="M29" s="1">
        <f t="shared" si="2"/>
        <v>1</v>
      </c>
      <c r="N29" s="1">
        <f t="shared" si="3"/>
        <v>1.4727095344195746</v>
      </c>
      <c r="O29" s="1">
        <f t="shared" si="4"/>
        <v>0.60209913580565222</v>
      </c>
      <c r="Q29">
        <f t="shared" si="17"/>
        <v>2066</v>
      </c>
      <c r="R29" s="1">
        <f t="shared" si="5"/>
        <v>1</v>
      </c>
      <c r="S29" s="1">
        <f t="shared" si="6"/>
        <v>1.7091395380976955</v>
      </c>
      <c r="T29" s="1">
        <f t="shared" si="7"/>
        <v>0.49536455533757817</v>
      </c>
      <c r="V29">
        <f t="shared" si="18"/>
        <v>2056</v>
      </c>
      <c r="W29" s="1">
        <f t="shared" si="8"/>
        <v>1</v>
      </c>
      <c r="X29" s="1">
        <f t="shared" si="9"/>
        <v>0.40883767079225974</v>
      </c>
      <c r="Z29">
        <f t="shared" si="19"/>
        <v>2066</v>
      </c>
      <c r="AA29" s="1">
        <f t="shared" si="10"/>
        <v>1</v>
      </c>
      <c r="AB29" s="1">
        <f t="shared" si="11"/>
        <v>0.28983271657791515</v>
      </c>
      <c r="AD29">
        <f t="shared" si="20"/>
        <v>2056</v>
      </c>
      <c r="AE29" s="1">
        <f t="shared" si="12"/>
        <v>0.40883767079225974</v>
      </c>
      <c r="AG29">
        <f t="shared" si="21"/>
        <v>2066</v>
      </c>
      <c r="AH29" s="1">
        <f t="shared" si="13"/>
        <v>0.28983271657791515</v>
      </c>
    </row>
    <row r="30" spans="1:34" x14ac:dyDescent="0.25">
      <c r="A30" t="s">
        <v>54</v>
      </c>
      <c r="B30" s="1" t="str">
        <f ca="1">IF(AND(ISNUMBER(B5),ISNUMBER(B16)),IF(B5-B3&lt;=0,"Avausvuosi 2 tulee olla ensimmäisen avausvuoden jälkeen",IF(B5-B3&gt;=B7,"Avausvuosi 2 ei ole tarkastelujakson sisällä",SUM(OFFSET(AH3,0,0,B7-(B5-B3))))),"Ennuste/avausvuosi 2 puuttuu")</f>
        <v>Ennuste/avausvuosi 2 puuttuu</v>
      </c>
      <c r="L30">
        <f t="shared" si="16"/>
        <v>2057</v>
      </c>
      <c r="M30" s="1">
        <f t="shared" si="2"/>
        <v>1</v>
      </c>
      <c r="N30" s="1">
        <f t="shared" si="3"/>
        <v>1.4948001774358681</v>
      </c>
      <c r="O30" s="1">
        <f t="shared" si="4"/>
        <v>0.59046436989636419</v>
      </c>
      <c r="Q30">
        <f t="shared" si="17"/>
        <v>2067</v>
      </c>
      <c r="R30" s="1">
        <f t="shared" si="5"/>
        <v>1</v>
      </c>
      <c r="S30" s="1">
        <f t="shared" si="6"/>
        <v>1.7347766311691606</v>
      </c>
      <c r="T30" s="1">
        <f t="shared" si="7"/>
        <v>0.48579229339868774</v>
      </c>
      <c r="V30">
        <f t="shared" si="18"/>
        <v>2057</v>
      </c>
      <c r="W30" s="1">
        <f t="shared" si="8"/>
        <v>1</v>
      </c>
      <c r="X30" s="1">
        <f t="shared" si="9"/>
        <v>0.39501224231136206</v>
      </c>
      <c r="Z30">
        <f t="shared" si="19"/>
        <v>2067</v>
      </c>
      <c r="AA30" s="1">
        <f t="shared" si="10"/>
        <v>1</v>
      </c>
      <c r="AB30" s="1">
        <f t="shared" si="11"/>
        <v>0.28003161022020789</v>
      </c>
      <c r="AD30">
        <f t="shared" si="20"/>
        <v>2057</v>
      </c>
      <c r="AE30" s="1">
        <f t="shared" si="12"/>
        <v>0.39501224231136206</v>
      </c>
      <c r="AG30">
        <f t="shared" si="21"/>
        <v>2067</v>
      </c>
      <c r="AH30" s="1">
        <f t="shared" si="13"/>
        <v>0.28003161022020789</v>
      </c>
    </row>
    <row r="31" spans="1:34" x14ac:dyDescent="0.25">
      <c r="L31">
        <f t="shared" si="16"/>
        <v>2058</v>
      </c>
      <c r="M31" s="1">
        <f t="shared" si="2"/>
        <v>1</v>
      </c>
      <c r="N31" s="1">
        <f t="shared" si="3"/>
        <v>1.5172221800974057</v>
      </c>
      <c r="O31" s="1">
        <f t="shared" si="4"/>
        <v>0.57905443038145843</v>
      </c>
      <c r="Q31">
        <f t="shared" si="17"/>
        <v>2068</v>
      </c>
      <c r="R31" s="1">
        <f t="shared" si="5"/>
        <v>1</v>
      </c>
      <c r="S31" s="1">
        <f t="shared" si="6"/>
        <v>1.7607982806366977</v>
      </c>
      <c r="T31" s="1">
        <f t="shared" si="7"/>
        <v>0.4764050027049932</v>
      </c>
      <c r="V31">
        <f t="shared" si="18"/>
        <v>2058</v>
      </c>
      <c r="W31" s="1">
        <f t="shared" si="8"/>
        <v>1</v>
      </c>
      <c r="X31" s="1">
        <f t="shared" si="9"/>
        <v>0.38165434039745127</v>
      </c>
      <c r="Z31">
        <f t="shared" si="19"/>
        <v>2068</v>
      </c>
      <c r="AA31" s="1">
        <f t="shared" si="10"/>
        <v>1</v>
      </c>
      <c r="AB31" s="1">
        <f t="shared" si="11"/>
        <v>0.27056194224174673</v>
      </c>
      <c r="AD31">
        <f t="shared" si="20"/>
        <v>2058</v>
      </c>
      <c r="AE31" s="1">
        <f t="shared" si="12"/>
        <v>0.38165434039745127</v>
      </c>
      <c r="AG31">
        <f t="shared" si="21"/>
        <v>2068</v>
      </c>
      <c r="AH31" s="1">
        <f t="shared" si="13"/>
        <v>0.27056194224174673</v>
      </c>
    </row>
    <row r="32" spans="1:34" x14ac:dyDescent="0.25">
      <c r="L32">
        <f t="shared" si="16"/>
        <v>2059</v>
      </c>
      <c r="M32" s="1">
        <f t="shared" si="2"/>
        <v>1</v>
      </c>
      <c r="N32" s="1">
        <f t="shared" si="3"/>
        <v>1.5399805127988668</v>
      </c>
      <c r="O32" s="1">
        <f t="shared" si="4"/>
        <v>0.56786497278954629</v>
      </c>
      <c r="Q32">
        <f t="shared" si="17"/>
        <v>2069</v>
      </c>
      <c r="R32" s="1">
        <f t="shared" si="5"/>
        <v>1</v>
      </c>
      <c r="S32" s="1">
        <f t="shared" si="6"/>
        <v>1.7872102548462478</v>
      </c>
      <c r="T32" s="1">
        <f t="shared" si="7"/>
        <v>0.467199108932916</v>
      </c>
      <c r="V32">
        <f t="shared" si="18"/>
        <v>2059</v>
      </c>
      <c r="W32" s="1">
        <f t="shared" si="8"/>
        <v>1</v>
      </c>
      <c r="X32" s="1">
        <f t="shared" si="9"/>
        <v>0.36874815497338298</v>
      </c>
      <c r="Z32">
        <f t="shared" si="19"/>
        <v>2069</v>
      </c>
      <c r="AA32" s="1">
        <f t="shared" si="10"/>
        <v>1</v>
      </c>
      <c r="AB32" s="1">
        <f t="shared" si="11"/>
        <v>0.26141250458139786</v>
      </c>
      <c r="AD32">
        <f t="shared" si="20"/>
        <v>2059</v>
      </c>
      <c r="AE32" s="1">
        <f t="shared" si="12"/>
        <v>0.36874815497338298</v>
      </c>
      <c r="AG32">
        <f t="shared" si="21"/>
        <v>2069</v>
      </c>
      <c r="AH32" s="1">
        <f t="shared" si="13"/>
        <v>0.26141250458139786</v>
      </c>
    </row>
    <row r="33" spans="12:34" x14ac:dyDescent="0.25">
      <c r="L33">
        <f t="shared" si="16"/>
        <v>2060</v>
      </c>
      <c r="M33" s="1">
        <f t="shared" si="2"/>
        <v>1</v>
      </c>
      <c r="N33" s="1">
        <f t="shared" si="3"/>
        <v>1.5630802204908494</v>
      </c>
      <c r="O33" s="1">
        <f t="shared" si="4"/>
        <v>0.55689173660037616</v>
      </c>
      <c r="Q33">
        <f t="shared" si="17"/>
        <v>2070</v>
      </c>
      <c r="R33" s="1">
        <f t="shared" si="5"/>
        <v>1</v>
      </c>
      <c r="S33" s="1">
        <f t="shared" si="6"/>
        <v>1.8140184086689415</v>
      </c>
      <c r="T33" s="1">
        <f t="shared" si="7"/>
        <v>0.45817110682793216</v>
      </c>
      <c r="V33">
        <f t="shared" si="18"/>
        <v>2060</v>
      </c>
      <c r="W33" s="1">
        <f t="shared" si="8"/>
        <v>1</v>
      </c>
      <c r="X33" s="1">
        <f t="shared" si="9"/>
        <v>0.35627841060230236</v>
      </c>
      <c r="Z33">
        <f t="shared" si="19"/>
        <v>2070</v>
      </c>
      <c r="AA33" s="1">
        <f t="shared" si="10"/>
        <v>1</v>
      </c>
      <c r="AB33" s="1">
        <f t="shared" si="11"/>
        <v>0.25257246819458734</v>
      </c>
      <c r="AD33">
        <f t="shared" si="20"/>
        <v>2060</v>
      </c>
      <c r="AE33" s="1">
        <f t="shared" si="12"/>
        <v>0.35627841060230236</v>
      </c>
      <c r="AG33">
        <f t="shared" si="21"/>
        <v>2070</v>
      </c>
      <c r="AH33" s="1">
        <f t="shared" si="13"/>
        <v>0.25257246819458734</v>
      </c>
    </row>
    <row r="34" spans="12:34" x14ac:dyDescent="0.25">
      <c r="L34">
        <f t="shared" si="16"/>
        <v>2061</v>
      </c>
      <c r="M34" s="1">
        <f t="shared" si="2"/>
        <v>1</v>
      </c>
      <c r="N34" s="1">
        <f t="shared" si="3"/>
        <v>1.586526423798212</v>
      </c>
      <c r="O34" s="1">
        <f t="shared" si="4"/>
        <v>0.54613054362259106</v>
      </c>
      <c r="Q34">
        <f t="shared" si="17"/>
        <v>2071</v>
      </c>
      <c r="R34" s="1">
        <f t="shared" si="5"/>
        <v>1</v>
      </c>
      <c r="S34" s="1">
        <f t="shared" si="6"/>
        <v>1.8412286847989754</v>
      </c>
      <c r="T34" s="1">
        <f t="shared" si="7"/>
        <v>0.44931755886990454</v>
      </c>
      <c r="V34">
        <f t="shared" si="18"/>
        <v>2061</v>
      </c>
      <c r="W34" s="1">
        <f t="shared" si="8"/>
        <v>1</v>
      </c>
      <c r="X34" s="1">
        <f t="shared" si="9"/>
        <v>0.34423034840802164</v>
      </c>
      <c r="Z34">
        <f t="shared" si="19"/>
        <v>2071</v>
      </c>
      <c r="AA34" s="1">
        <f t="shared" si="10"/>
        <v>1</v>
      </c>
      <c r="AB34" s="1">
        <f t="shared" si="11"/>
        <v>0.24403137023631633</v>
      </c>
      <c r="AD34">
        <f t="shared" si="20"/>
        <v>2061</v>
      </c>
      <c r="AE34" s="1">
        <f t="shared" si="12"/>
        <v>0.34423034840802164</v>
      </c>
      <c r="AG34">
        <f t="shared" si="21"/>
        <v>2071</v>
      </c>
      <c r="AH34" s="1">
        <f t="shared" si="13"/>
        <v>0.24403137023631633</v>
      </c>
    </row>
    <row r="35" spans="12:34" x14ac:dyDescent="0.25">
      <c r="L35">
        <f t="shared" si="16"/>
        <v>2062</v>
      </c>
      <c r="M35" s="1">
        <f t="shared" ref="M35:M62" si="22">(1+$B$17)^(L35-$B$4)</f>
        <v>1</v>
      </c>
      <c r="N35" s="1">
        <f t="shared" ref="N35:N62" si="23">M35*(1+$B$9)^(L35-$B$2)</f>
        <v>1.6103243201551849</v>
      </c>
      <c r="O35" s="1">
        <f t="shared" ref="O35:O62" si="24">N35/(1+$B$8)^(L35-$B$2)</f>
        <v>0.53557729640283092</v>
      </c>
      <c r="Q35">
        <f t="shared" si="17"/>
        <v>2072</v>
      </c>
      <c r="R35" s="1">
        <f t="shared" ref="R35:R62" si="25">(1+$B$17)^(Q35-$B$6)</f>
        <v>1</v>
      </c>
      <c r="S35" s="1">
        <f t="shared" ref="S35:S62" si="26">R35*(1+$B$9)^(Q35-$B$2)</f>
        <v>1.8688471150709598</v>
      </c>
      <c r="T35" s="1">
        <f t="shared" ref="T35:T62" si="27">S35/(1+$B$8)^(Q35-$B$2)</f>
        <v>0.4406350939642058</v>
      </c>
      <c r="V35">
        <f t="shared" si="18"/>
        <v>2062</v>
      </c>
      <c r="W35" s="1">
        <f t="shared" ref="W35:W62" si="28">(1+$B$24)^(L35-$B$4)</f>
        <v>1</v>
      </c>
      <c r="X35" s="1">
        <f t="shared" ref="X35:X62" si="29">W35/(1+$B$8)^(L35-$B$2)</f>
        <v>0.33258970860678427</v>
      </c>
      <c r="Z35">
        <f t="shared" si="19"/>
        <v>2072</v>
      </c>
      <c r="AA35" s="1">
        <f t="shared" ref="AA35:AA62" si="30">(1+$B$24)^(Q35-$B$6)</f>
        <v>1</v>
      </c>
      <c r="AB35" s="1">
        <f t="shared" ref="AB35:AB62" si="31">AA35/(1+$B$8)^(Q35-$B$2)</f>
        <v>0.2357791016776003</v>
      </c>
      <c r="AD35">
        <f t="shared" si="20"/>
        <v>2062</v>
      </c>
      <c r="AE35" s="1">
        <f t="shared" ref="AE35:AE62" si="32">1/(1+$B$8)^(L35-$B$2)</f>
        <v>0.33258970860678427</v>
      </c>
      <c r="AG35">
        <f t="shared" si="21"/>
        <v>2072</v>
      </c>
      <c r="AH35" s="1">
        <f t="shared" ref="AH35:AH62" si="33">1/(1+$B$8)^(Q35-$B$2)</f>
        <v>0.2357791016776003</v>
      </c>
    </row>
    <row r="36" spans="12:34" x14ac:dyDescent="0.25">
      <c r="L36">
        <f t="shared" ref="L36:L62" si="34">L35+1</f>
        <v>2063</v>
      </c>
      <c r="M36" s="1">
        <f t="shared" si="22"/>
        <v>1</v>
      </c>
      <c r="N36" s="1">
        <f t="shared" si="23"/>
        <v>1.6344791849575124</v>
      </c>
      <c r="O36" s="1">
        <f t="shared" si="24"/>
        <v>0.52522797666557808</v>
      </c>
      <c r="Q36">
        <f t="shared" ref="Q36:Q62" si="35">Q35+1</f>
        <v>2073</v>
      </c>
      <c r="R36" s="1">
        <f t="shared" si="25"/>
        <v>1</v>
      </c>
      <c r="S36" s="1">
        <f t="shared" si="26"/>
        <v>1.896879821797024</v>
      </c>
      <c r="T36" s="1">
        <f t="shared" si="27"/>
        <v>0.43212040615813413</v>
      </c>
      <c r="V36">
        <f t="shared" ref="V36:V62" si="36">V35+1</f>
        <v>2063</v>
      </c>
      <c r="W36" s="1">
        <f t="shared" si="28"/>
        <v>1</v>
      </c>
      <c r="X36" s="1">
        <f t="shared" si="29"/>
        <v>0.32134271362974326</v>
      </c>
      <c r="Z36">
        <f t="shared" ref="Z36:Z62" si="37">Z35+1</f>
        <v>2073</v>
      </c>
      <c r="AA36" s="1">
        <f t="shared" si="30"/>
        <v>1</v>
      </c>
      <c r="AB36" s="1">
        <f t="shared" si="31"/>
        <v>0.22780589534067661</v>
      </c>
      <c r="AD36">
        <f t="shared" ref="AD36:AD62" si="38">AD35+1</f>
        <v>2063</v>
      </c>
      <c r="AE36" s="1">
        <f t="shared" si="32"/>
        <v>0.32134271362974326</v>
      </c>
      <c r="AG36">
        <f t="shared" ref="AG36:AG62" si="39">AG35+1</f>
        <v>2073</v>
      </c>
      <c r="AH36" s="1">
        <f t="shared" si="33"/>
        <v>0.22780589534067661</v>
      </c>
    </row>
    <row r="37" spans="12:34" x14ac:dyDescent="0.25">
      <c r="L37">
        <f t="shared" si="34"/>
        <v>2064</v>
      </c>
      <c r="M37" s="1">
        <f t="shared" si="22"/>
        <v>1</v>
      </c>
      <c r="N37" s="1">
        <f t="shared" si="23"/>
        <v>1.6589963727318748</v>
      </c>
      <c r="O37" s="1">
        <f t="shared" si="24"/>
        <v>0.51507864378315138</v>
      </c>
      <c r="Q37">
        <f t="shared" si="35"/>
        <v>2074</v>
      </c>
      <c r="R37" s="1">
        <f t="shared" si="25"/>
        <v>1</v>
      </c>
      <c r="S37" s="1">
        <f t="shared" si="26"/>
        <v>1.9253330191239788</v>
      </c>
      <c r="T37" s="1">
        <f t="shared" si="27"/>
        <v>0.42377025338213148</v>
      </c>
      <c r="V37">
        <f t="shared" si="36"/>
        <v>2064</v>
      </c>
      <c r="W37" s="1">
        <f t="shared" si="28"/>
        <v>1</v>
      </c>
      <c r="X37" s="1">
        <f t="shared" si="29"/>
        <v>0.3104760518161771</v>
      </c>
      <c r="Z37">
        <f t="shared" si="37"/>
        <v>2074</v>
      </c>
      <c r="AA37" s="1">
        <f t="shared" si="30"/>
        <v>1</v>
      </c>
      <c r="AB37" s="1">
        <f t="shared" si="31"/>
        <v>0.22010231433881802</v>
      </c>
      <c r="AD37">
        <f t="shared" si="38"/>
        <v>2064</v>
      </c>
      <c r="AE37" s="1">
        <f t="shared" si="32"/>
        <v>0.3104760518161771</v>
      </c>
      <c r="AG37">
        <f t="shared" si="39"/>
        <v>2074</v>
      </c>
      <c r="AH37" s="1">
        <f t="shared" si="33"/>
        <v>0.22010231433881802</v>
      </c>
    </row>
    <row r="38" spans="12:34" x14ac:dyDescent="0.25">
      <c r="L38">
        <f t="shared" si="34"/>
        <v>2065</v>
      </c>
      <c r="M38" s="1">
        <f t="shared" si="22"/>
        <v>1</v>
      </c>
      <c r="N38" s="1">
        <f t="shared" si="23"/>
        <v>1.6838813183228529</v>
      </c>
      <c r="O38" s="1">
        <f t="shared" si="24"/>
        <v>0.50512543327526449</v>
      </c>
      <c r="Q38">
        <f t="shared" si="35"/>
        <v>2075</v>
      </c>
      <c r="R38" s="1">
        <f t="shared" si="25"/>
        <v>1</v>
      </c>
      <c r="S38" s="1">
        <f t="shared" si="26"/>
        <v>1.9542130144108385</v>
      </c>
      <c r="T38" s="1">
        <f t="shared" si="27"/>
        <v>0.41558145621532705</v>
      </c>
      <c r="V38">
        <f t="shared" si="36"/>
        <v>2065</v>
      </c>
      <c r="W38" s="1">
        <f t="shared" si="28"/>
        <v>1</v>
      </c>
      <c r="X38" s="1">
        <f t="shared" si="29"/>
        <v>0.29997686165814214</v>
      </c>
      <c r="Z38">
        <f t="shared" si="37"/>
        <v>2075</v>
      </c>
      <c r="AA38" s="1">
        <f t="shared" si="30"/>
        <v>1</v>
      </c>
      <c r="AB38" s="1">
        <f t="shared" si="31"/>
        <v>0.21265924090707056</v>
      </c>
      <c r="AD38">
        <f t="shared" si="38"/>
        <v>2065</v>
      </c>
      <c r="AE38" s="1">
        <f t="shared" si="32"/>
        <v>0.29997686165814214</v>
      </c>
      <c r="AG38">
        <f t="shared" si="39"/>
        <v>2075</v>
      </c>
      <c r="AH38" s="1">
        <f t="shared" si="33"/>
        <v>0.21265924090707056</v>
      </c>
    </row>
    <row r="39" spans="12:34" x14ac:dyDescent="0.25">
      <c r="L39">
        <f t="shared" si="34"/>
        <v>2066</v>
      </c>
      <c r="M39" s="1">
        <f t="shared" si="22"/>
        <v>1</v>
      </c>
      <c r="N39" s="1">
        <f t="shared" si="23"/>
        <v>1.7091395380976955</v>
      </c>
      <c r="O39" s="1">
        <f t="shared" si="24"/>
        <v>0.49536455533757817</v>
      </c>
      <c r="Q39">
        <f t="shared" si="35"/>
        <v>2076</v>
      </c>
      <c r="R39" s="1">
        <f t="shared" si="25"/>
        <v>1</v>
      </c>
      <c r="S39" s="1">
        <f t="shared" si="26"/>
        <v>1.9835262096270005</v>
      </c>
      <c r="T39" s="1">
        <f t="shared" si="27"/>
        <v>0.4075508966749341</v>
      </c>
      <c r="V39">
        <f t="shared" si="36"/>
        <v>2066</v>
      </c>
      <c r="W39" s="1">
        <f t="shared" si="28"/>
        <v>1</v>
      </c>
      <c r="X39" s="1">
        <f t="shared" si="29"/>
        <v>0.28983271657791515</v>
      </c>
      <c r="Z39">
        <f t="shared" si="37"/>
        <v>2076</v>
      </c>
      <c r="AA39" s="1">
        <f t="shared" si="30"/>
        <v>1</v>
      </c>
      <c r="AB39" s="1">
        <f t="shared" si="31"/>
        <v>0.20546786561069619</v>
      </c>
      <c r="AD39">
        <f t="shared" si="38"/>
        <v>2066</v>
      </c>
      <c r="AE39" s="1">
        <f t="shared" si="32"/>
        <v>0.28983271657791515</v>
      </c>
      <c r="AG39">
        <f t="shared" si="39"/>
        <v>2076</v>
      </c>
      <c r="AH39" s="1">
        <f t="shared" si="33"/>
        <v>0.20546786561069619</v>
      </c>
    </row>
    <row r="40" spans="12:34" x14ac:dyDescent="0.25">
      <c r="L40">
        <f t="shared" si="34"/>
        <v>2067</v>
      </c>
      <c r="M40" s="1">
        <f t="shared" si="22"/>
        <v>1</v>
      </c>
      <c r="N40" s="1">
        <f t="shared" si="23"/>
        <v>1.7347766311691606</v>
      </c>
      <c r="O40" s="1">
        <f t="shared" si="24"/>
        <v>0.48579229339868774</v>
      </c>
      <c r="Q40">
        <f t="shared" si="35"/>
        <v>2077</v>
      </c>
      <c r="R40" s="1">
        <f t="shared" si="25"/>
        <v>1</v>
      </c>
      <c r="S40" s="1">
        <f t="shared" si="26"/>
        <v>2.0132791027714054</v>
      </c>
      <c r="T40" s="1">
        <f t="shared" si="27"/>
        <v>0.39967551702904175</v>
      </c>
      <c r="V40">
        <f t="shared" si="36"/>
        <v>2067</v>
      </c>
      <c r="W40" s="1">
        <f t="shared" si="28"/>
        <v>1</v>
      </c>
      <c r="X40" s="1">
        <f t="shared" si="29"/>
        <v>0.28003161022020789</v>
      </c>
      <c r="Z40">
        <f t="shared" si="37"/>
        <v>2077</v>
      </c>
      <c r="AA40" s="1">
        <f t="shared" si="30"/>
        <v>1</v>
      </c>
      <c r="AB40" s="1">
        <f t="shared" si="31"/>
        <v>0.19851967691854708</v>
      </c>
      <c r="AD40">
        <f t="shared" si="38"/>
        <v>2067</v>
      </c>
      <c r="AE40" s="1">
        <f t="shared" si="32"/>
        <v>0.28003161022020789</v>
      </c>
      <c r="AG40">
        <f t="shared" si="39"/>
        <v>2077</v>
      </c>
      <c r="AH40" s="1">
        <f t="shared" si="33"/>
        <v>0.19851967691854708</v>
      </c>
    </row>
    <row r="41" spans="12:34" x14ac:dyDescent="0.25">
      <c r="L41">
        <f t="shared" si="34"/>
        <v>2068</v>
      </c>
      <c r="M41" s="1">
        <f t="shared" si="22"/>
        <v>1</v>
      </c>
      <c r="N41" s="1">
        <f t="shared" si="23"/>
        <v>1.7607982806366977</v>
      </c>
      <c r="O41" s="1">
        <f t="shared" si="24"/>
        <v>0.4764050027049932</v>
      </c>
      <c r="Q41">
        <f t="shared" si="35"/>
        <v>2078</v>
      </c>
      <c r="R41" s="1">
        <f t="shared" si="25"/>
        <v>1</v>
      </c>
      <c r="S41" s="1">
        <f t="shared" si="26"/>
        <v>2.0434782893129761</v>
      </c>
      <c r="T41" s="1">
        <f t="shared" si="27"/>
        <v>0.39195231863234525</v>
      </c>
      <c r="V41">
        <f t="shared" si="36"/>
        <v>2068</v>
      </c>
      <c r="W41" s="1">
        <f t="shared" si="28"/>
        <v>1</v>
      </c>
      <c r="X41" s="1">
        <f t="shared" si="29"/>
        <v>0.27056194224174673</v>
      </c>
      <c r="Z41">
        <f t="shared" si="37"/>
        <v>2078</v>
      </c>
      <c r="AA41" s="1">
        <f t="shared" si="30"/>
        <v>1</v>
      </c>
      <c r="AB41" s="1">
        <f t="shared" si="31"/>
        <v>0.19180645112903102</v>
      </c>
      <c r="AD41">
        <f t="shared" si="38"/>
        <v>2068</v>
      </c>
      <c r="AE41" s="1">
        <f t="shared" si="32"/>
        <v>0.27056194224174673</v>
      </c>
      <c r="AG41">
        <f t="shared" si="39"/>
        <v>2078</v>
      </c>
      <c r="AH41" s="1">
        <f t="shared" si="33"/>
        <v>0.19180645112903102</v>
      </c>
    </row>
    <row r="42" spans="12:34" x14ac:dyDescent="0.25">
      <c r="L42">
        <f t="shared" si="34"/>
        <v>2069</v>
      </c>
      <c r="M42" s="1">
        <f t="shared" si="22"/>
        <v>1</v>
      </c>
      <c r="N42" s="1">
        <f t="shared" si="23"/>
        <v>1.7872102548462478</v>
      </c>
      <c r="O42" s="1">
        <f t="shared" si="24"/>
        <v>0.467199108932916</v>
      </c>
      <c r="Q42">
        <f t="shared" si="35"/>
        <v>2079</v>
      </c>
      <c r="R42" s="1">
        <f t="shared" si="25"/>
        <v>1</v>
      </c>
      <c r="S42" s="1">
        <f t="shared" si="26"/>
        <v>2.0741304636526703</v>
      </c>
      <c r="T42" s="1">
        <f t="shared" si="27"/>
        <v>0.3843783607843772</v>
      </c>
      <c r="V42">
        <f t="shared" si="36"/>
        <v>2069</v>
      </c>
      <c r="W42" s="1">
        <f t="shared" si="28"/>
        <v>1</v>
      </c>
      <c r="X42" s="1">
        <f t="shared" si="29"/>
        <v>0.26141250458139786</v>
      </c>
      <c r="Z42">
        <f t="shared" si="37"/>
        <v>2079</v>
      </c>
      <c r="AA42" s="1">
        <f t="shared" si="30"/>
        <v>1</v>
      </c>
      <c r="AB42" s="1">
        <f t="shared" si="31"/>
        <v>0.18532024263674499</v>
      </c>
      <c r="AD42">
        <f t="shared" si="38"/>
        <v>2069</v>
      </c>
      <c r="AE42" s="1">
        <f t="shared" si="32"/>
        <v>0.26141250458139786</v>
      </c>
      <c r="AG42">
        <f t="shared" si="39"/>
        <v>2079</v>
      </c>
      <c r="AH42" s="1">
        <f t="shared" si="33"/>
        <v>0.18532024263674499</v>
      </c>
    </row>
    <row r="43" spans="12:34" x14ac:dyDescent="0.25">
      <c r="L43">
        <f t="shared" si="34"/>
        <v>2070</v>
      </c>
      <c r="M43" s="1">
        <f t="shared" si="22"/>
        <v>1</v>
      </c>
      <c r="N43" s="1">
        <f t="shared" si="23"/>
        <v>1.8140184086689415</v>
      </c>
      <c r="O43" s="1">
        <f t="shared" si="24"/>
        <v>0.45817110682793216</v>
      </c>
      <c r="Q43">
        <f t="shared" si="35"/>
        <v>2080</v>
      </c>
      <c r="R43" s="1">
        <f t="shared" si="25"/>
        <v>1</v>
      </c>
      <c r="S43" s="1">
        <f t="shared" si="26"/>
        <v>2.1052424206074605</v>
      </c>
      <c r="T43" s="1">
        <f t="shared" si="27"/>
        <v>0.3769507596097999</v>
      </c>
      <c r="V43">
        <f t="shared" si="36"/>
        <v>2070</v>
      </c>
      <c r="W43" s="1">
        <f t="shared" si="28"/>
        <v>1</v>
      </c>
      <c r="X43" s="1">
        <f t="shared" si="29"/>
        <v>0.25257246819458734</v>
      </c>
      <c r="Z43">
        <f t="shared" si="37"/>
        <v>2080</v>
      </c>
      <c r="AA43" s="1">
        <f t="shared" si="30"/>
        <v>1</v>
      </c>
      <c r="AB43" s="1">
        <f t="shared" si="31"/>
        <v>0.17905337452825601</v>
      </c>
      <c r="AD43">
        <f t="shared" si="38"/>
        <v>2070</v>
      </c>
      <c r="AE43" s="1">
        <f t="shared" si="32"/>
        <v>0.25257246819458734</v>
      </c>
      <c r="AG43">
        <f t="shared" si="39"/>
        <v>2080</v>
      </c>
      <c r="AH43" s="1">
        <f t="shared" si="33"/>
        <v>0.17905337452825601</v>
      </c>
    </row>
    <row r="44" spans="12:34" x14ac:dyDescent="0.25">
      <c r="L44">
        <f t="shared" si="34"/>
        <v>2071</v>
      </c>
      <c r="M44" s="1">
        <f t="shared" si="22"/>
        <v>1</v>
      </c>
      <c r="N44" s="1">
        <f t="shared" si="23"/>
        <v>1.8412286847989754</v>
      </c>
      <c r="O44" s="1">
        <f t="shared" si="24"/>
        <v>0.44931755886990454</v>
      </c>
      <c r="Q44">
        <f t="shared" si="35"/>
        <v>2081</v>
      </c>
      <c r="R44" s="1">
        <f t="shared" si="25"/>
        <v>1</v>
      </c>
      <c r="S44" s="1">
        <f t="shared" si="26"/>
        <v>2.1368210569165722</v>
      </c>
      <c r="T44" s="1">
        <f t="shared" si="27"/>
        <v>0.36966668696033522</v>
      </c>
      <c r="V44">
        <f t="shared" si="36"/>
        <v>2071</v>
      </c>
      <c r="W44" s="1">
        <f t="shared" si="28"/>
        <v>1</v>
      </c>
      <c r="X44" s="1">
        <f t="shared" si="29"/>
        <v>0.24403137023631633</v>
      </c>
      <c r="Z44">
        <f t="shared" si="37"/>
        <v>2081</v>
      </c>
      <c r="AA44" s="1">
        <f t="shared" si="30"/>
        <v>1</v>
      </c>
      <c r="AB44" s="1">
        <f t="shared" si="31"/>
        <v>0.17299842949589955</v>
      </c>
      <c r="AD44">
        <f t="shared" si="38"/>
        <v>2071</v>
      </c>
      <c r="AE44" s="1">
        <f t="shared" si="32"/>
        <v>0.24403137023631633</v>
      </c>
      <c r="AG44">
        <f t="shared" si="39"/>
        <v>2081</v>
      </c>
      <c r="AH44" s="1">
        <f t="shared" si="33"/>
        <v>0.17299842949589955</v>
      </c>
    </row>
    <row r="45" spans="12:34" x14ac:dyDescent="0.25">
      <c r="L45">
        <f t="shared" si="34"/>
        <v>2072</v>
      </c>
      <c r="M45" s="1">
        <f t="shared" si="22"/>
        <v>1</v>
      </c>
      <c r="N45" s="1">
        <f t="shared" si="23"/>
        <v>1.8688471150709598</v>
      </c>
      <c r="O45" s="1">
        <f t="shared" si="24"/>
        <v>0.4406350939642058</v>
      </c>
      <c r="Q45">
        <f t="shared" si="35"/>
        <v>2082</v>
      </c>
      <c r="R45" s="1">
        <f t="shared" si="25"/>
        <v>1</v>
      </c>
      <c r="S45" s="1">
        <f t="shared" si="26"/>
        <v>2.16887337277032</v>
      </c>
      <c r="T45" s="1">
        <f t="shared" si="27"/>
        <v>0.36252336933791313</v>
      </c>
      <c r="V45">
        <f t="shared" si="36"/>
        <v>2072</v>
      </c>
      <c r="W45" s="1">
        <f t="shared" si="28"/>
        <v>1</v>
      </c>
      <c r="X45" s="1">
        <f t="shared" si="29"/>
        <v>0.2357791016776003</v>
      </c>
      <c r="Z45">
        <f t="shared" si="37"/>
        <v>2082</v>
      </c>
      <c r="AA45" s="1">
        <f t="shared" si="30"/>
        <v>1</v>
      </c>
      <c r="AB45" s="1">
        <f t="shared" si="31"/>
        <v>0.16714824105884016</v>
      </c>
      <c r="AD45">
        <f t="shared" si="38"/>
        <v>2072</v>
      </c>
      <c r="AE45" s="1">
        <f t="shared" si="32"/>
        <v>0.2357791016776003</v>
      </c>
      <c r="AG45">
        <f t="shared" si="39"/>
        <v>2082</v>
      </c>
      <c r="AH45" s="1">
        <f t="shared" si="33"/>
        <v>0.16714824105884016</v>
      </c>
    </row>
    <row r="46" spans="12:34" x14ac:dyDescent="0.25">
      <c r="L46">
        <f t="shared" si="34"/>
        <v>2073</v>
      </c>
      <c r="M46" s="1">
        <f t="shared" si="22"/>
        <v>1</v>
      </c>
      <c r="N46" s="1">
        <f t="shared" si="23"/>
        <v>1.896879821797024</v>
      </c>
      <c r="O46" s="1">
        <f t="shared" si="24"/>
        <v>0.43212040615813413</v>
      </c>
      <c r="Q46">
        <f t="shared" si="35"/>
        <v>2083</v>
      </c>
      <c r="R46" s="1">
        <f t="shared" si="25"/>
        <v>1</v>
      </c>
      <c r="S46" s="1">
        <f t="shared" si="26"/>
        <v>2.2014064733618746</v>
      </c>
      <c r="T46" s="1">
        <f t="shared" si="27"/>
        <v>0.35551808683862984</v>
      </c>
      <c r="V46">
        <f t="shared" si="36"/>
        <v>2073</v>
      </c>
      <c r="W46" s="1">
        <f t="shared" si="28"/>
        <v>1</v>
      </c>
      <c r="X46" s="1">
        <f t="shared" si="29"/>
        <v>0.22780589534067661</v>
      </c>
      <c r="Z46">
        <f t="shared" si="37"/>
        <v>2083</v>
      </c>
      <c r="AA46" s="1">
        <f t="shared" si="30"/>
        <v>1</v>
      </c>
      <c r="AB46" s="1">
        <f t="shared" si="31"/>
        <v>0.16149588508100501</v>
      </c>
      <c r="AD46">
        <f t="shared" si="38"/>
        <v>2073</v>
      </c>
      <c r="AE46" s="1">
        <f t="shared" si="32"/>
        <v>0.22780589534067661</v>
      </c>
      <c r="AG46">
        <f t="shared" si="39"/>
        <v>2083</v>
      </c>
      <c r="AH46" s="1">
        <f t="shared" si="33"/>
        <v>0.16149588508100501</v>
      </c>
    </row>
    <row r="47" spans="12:34" x14ac:dyDescent="0.25">
      <c r="L47">
        <f t="shared" si="34"/>
        <v>2074</v>
      </c>
      <c r="M47" s="1">
        <f t="shared" si="22"/>
        <v>1</v>
      </c>
      <c r="N47" s="1">
        <f t="shared" si="23"/>
        <v>1.9253330191239788</v>
      </c>
      <c r="O47" s="1">
        <f t="shared" si="24"/>
        <v>0.42377025338213148</v>
      </c>
      <c r="Q47">
        <f t="shared" si="35"/>
        <v>2084</v>
      </c>
      <c r="R47" s="1">
        <f t="shared" si="25"/>
        <v>1</v>
      </c>
      <c r="S47" s="1">
        <f t="shared" si="26"/>
        <v>2.234427570462302</v>
      </c>
      <c r="T47" s="1">
        <f t="shared" si="27"/>
        <v>0.3486481721171103</v>
      </c>
      <c r="V47">
        <f t="shared" si="36"/>
        <v>2074</v>
      </c>
      <c r="W47" s="1">
        <f t="shared" si="28"/>
        <v>1</v>
      </c>
      <c r="X47" s="1">
        <f t="shared" si="29"/>
        <v>0.22010231433881802</v>
      </c>
      <c r="Z47">
        <f t="shared" si="37"/>
        <v>2084</v>
      </c>
      <c r="AA47" s="1">
        <f t="shared" si="30"/>
        <v>1</v>
      </c>
      <c r="AB47" s="1">
        <f t="shared" si="31"/>
        <v>0.15603467157585027</v>
      </c>
      <c r="AD47">
        <f t="shared" si="38"/>
        <v>2074</v>
      </c>
      <c r="AE47" s="1">
        <f t="shared" si="32"/>
        <v>0.22010231433881802</v>
      </c>
      <c r="AG47">
        <f t="shared" si="39"/>
        <v>2084</v>
      </c>
      <c r="AH47" s="1">
        <f t="shared" si="33"/>
        <v>0.15603467157585027</v>
      </c>
    </row>
    <row r="48" spans="12:34" x14ac:dyDescent="0.25">
      <c r="L48">
        <f t="shared" si="34"/>
        <v>2075</v>
      </c>
      <c r="M48" s="1">
        <f t="shared" si="22"/>
        <v>1</v>
      </c>
      <c r="N48" s="1">
        <f t="shared" si="23"/>
        <v>1.9542130144108385</v>
      </c>
      <c r="O48" s="1">
        <f t="shared" si="24"/>
        <v>0.41558145621532705</v>
      </c>
      <c r="Q48">
        <f t="shared" si="35"/>
        <v>2085</v>
      </c>
      <c r="R48" s="1">
        <f t="shared" si="25"/>
        <v>1</v>
      </c>
      <c r="S48" s="1">
        <f t="shared" si="26"/>
        <v>2.2679439840192366</v>
      </c>
      <c r="T48" s="1">
        <f t="shared" si="27"/>
        <v>0.34191100937088592</v>
      </c>
      <c r="V48">
        <f t="shared" si="36"/>
        <v>2075</v>
      </c>
      <c r="W48" s="1">
        <f t="shared" si="28"/>
        <v>1</v>
      </c>
      <c r="X48" s="1">
        <f t="shared" si="29"/>
        <v>0.21265924090707056</v>
      </c>
      <c r="Z48">
        <f t="shared" si="37"/>
        <v>2085</v>
      </c>
      <c r="AA48" s="1">
        <f t="shared" si="30"/>
        <v>1</v>
      </c>
      <c r="AB48" s="1">
        <f t="shared" si="31"/>
        <v>0.15075813678826111</v>
      </c>
      <c r="AD48">
        <f t="shared" si="38"/>
        <v>2075</v>
      </c>
      <c r="AE48" s="1">
        <f t="shared" si="32"/>
        <v>0.21265924090707056</v>
      </c>
      <c r="AG48">
        <f t="shared" si="39"/>
        <v>2085</v>
      </c>
      <c r="AH48" s="1">
        <f t="shared" si="33"/>
        <v>0.15075813678826111</v>
      </c>
    </row>
    <row r="49" spans="12:34" x14ac:dyDescent="0.25">
      <c r="L49">
        <f t="shared" si="34"/>
        <v>2076</v>
      </c>
      <c r="M49" s="1">
        <f t="shared" si="22"/>
        <v>1</v>
      </c>
      <c r="N49" s="1">
        <f t="shared" si="23"/>
        <v>1.9835262096270005</v>
      </c>
      <c r="O49" s="1">
        <f t="shared" si="24"/>
        <v>0.4075508966749341</v>
      </c>
      <c r="Q49">
        <f t="shared" si="35"/>
        <v>2086</v>
      </c>
      <c r="R49" s="1">
        <f t="shared" si="25"/>
        <v>1</v>
      </c>
      <c r="S49" s="1">
        <f t="shared" si="26"/>
        <v>2.3019631437795249</v>
      </c>
      <c r="T49" s="1">
        <f t="shared" si="27"/>
        <v>0.33530403334439546</v>
      </c>
      <c r="V49">
        <f t="shared" si="36"/>
        <v>2076</v>
      </c>
      <c r="W49" s="1">
        <f t="shared" si="28"/>
        <v>1</v>
      </c>
      <c r="X49" s="1">
        <f t="shared" si="29"/>
        <v>0.20546786561069619</v>
      </c>
      <c r="Z49">
        <f t="shared" si="37"/>
        <v>2086</v>
      </c>
      <c r="AA49" s="1">
        <f t="shared" si="30"/>
        <v>1</v>
      </c>
      <c r="AB49" s="1">
        <f t="shared" si="31"/>
        <v>0.14566003554421367</v>
      </c>
      <c r="AD49">
        <f t="shared" si="38"/>
        <v>2076</v>
      </c>
      <c r="AE49" s="1">
        <f t="shared" si="32"/>
        <v>0.20546786561069619</v>
      </c>
      <c r="AG49">
        <f t="shared" si="39"/>
        <v>2086</v>
      </c>
      <c r="AH49" s="1">
        <f t="shared" si="33"/>
        <v>0.14566003554421367</v>
      </c>
    </row>
    <row r="50" spans="12:34" x14ac:dyDescent="0.25">
      <c r="L50">
        <f t="shared" si="34"/>
        <v>2077</v>
      </c>
      <c r="M50" s="1">
        <f t="shared" si="22"/>
        <v>1</v>
      </c>
      <c r="N50" s="1">
        <f t="shared" si="23"/>
        <v>2.0132791027714054</v>
      </c>
      <c r="O50" s="1">
        <f t="shared" si="24"/>
        <v>0.39967551702904175</v>
      </c>
      <c r="Q50">
        <f t="shared" si="35"/>
        <v>2087</v>
      </c>
      <c r="R50" s="1">
        <f t="shared" si="25"/>
        <v>1</v>
      </c>
      <c r="S50" s="1">
        <f t="shared" si="26"/>
        <v>2.3364925909362175</v>
      </c>
      <c r="T50" s="1">
        <f t="shared" si="27"/>
        <v>0.3288247283522332</v>
      </c>
      <c r="V50">
        <f t="shared" si="36"/>
        <v>2077</v>
      </c>
      <c r="W50" s="1">
        <f t="shared" si="28"/>
        <v>1</v>
      </c>
      <c r="X50" s="1">
        <f t="shared" si="29"/>
        <v>0.19851967691854708</v>
      </c>
      <c r="Z50">
        <f t="shared" si="37"/>
        <v>2087</v>
      </c>
      <c r="AA50" s="1">
        <f t="shared" si="30"/>
        <v>1</v>
      </c>
      <c r="AB50" s="1">
        <f t="shared" si="31"/>
        <v>0.14073433385914366</v>
      </c>
      <c r="AD50">
        <f t="shared" si="38"/>
        <v>2077</v>
      </c>
      <c r="AE50" s="1">
        <f t="shared" si="32"/>
        <v>0.19851967691854708</v>
      </c>
      <c r="AG50">
        <f t="shared" si="39"/>
        <v>2087</v>
      </c>
      <c r="AH50" s="1">
        <f t="shared" si="33"/>
        <v>0.14073433385914366</v>
      </c>
    </row>
    <row r="51" spans="12:34" x14ac:dyDescent="0.25">
      <c r="L51">
        <f t="shared" si="34"/>
        <v>2078</v>
      </c>
      <c r="M51" s="1">
        <f t="shared" si="22"/>
        <v>1</v>
      </c>
      <c r="N51" s="1">
        <f t="shared" si="23"/>
        <v>2.0434782893129761</v>
      </c>
      <c r="O51" s="1">
        <f t="shared" si="24"/>
        <v>0.39195231863234525</v>
      </c>
      <c r="Q51">
        <f t="shared" si="35"/>
        <v>2088</v>
      </c>
      <c r="R51" s="1">
        <f t="shared" si="25"/>
        <v>1</v>
      </c>
      <c r="S51" s="1">
        <f t="shared" si="26"/>
        <v>2.3715399798002603</v>
      </c>
      <c r="T51" s="1">
        <f t="shared" si="27"/>
        <v>0.32247062732127213</v>
      </c>
      <c r="V51">
        <f t="shared" si="36"/>
        <v>2078</v>
      </c>
      <c r="W51" s="1">
        <f t="shared" si="28"/>
        <v>1</v>
      </c>
      <c r="X51" s="1">
        <f t="shared" si="29"/>
        <v>0.19180645112903102</v>
      </c>
      <c r="Z51">
        <f t="shared" si="37"/>
        <v>2088</v>
      </c>
      <c r="AA51" s="1">
        <f t="shared" si="30"/>
        <v>1</v>
      </c>
      <c r="AB51" s="1">
        <f t="shared" si="31"/>
        <v>0.13597520179627406</v>
      </c>
      <c r="AD51">
        <f t="shared" si="38"/>
        <v>2078</v>
      </c>
      <c r="AE51" s="1">
        <f t="shared" si="32"/>
        <v>0.19180645112903102</v>
      </c>
      <c r="AG51">
        <f t="shared" si="39"/>
        <v>2088</v>
      </c>
      <c r="AH51" s="1">
        <f t="shared" si="33"/>
        <v>0.13597520179627406</v>
      </c>
    </row>
    <row r="52" spans="12:34" x14ac:dyDescent="0.25">
      <c r="L52">
        <f t="shared" si="34"/>
        <v>2079</v>
      </c>
      <c r="M52" s="1">
        <f t="shared" si="22"/>
        <v>1</v>
      </c>
      <c r="N52" s="1">
        <f t="shared" si="23"/>
        <v>2.0741304636526703</v>
      </c>
      <c r="O52" s="1">
        <f t="shared" si="24"/>
        <v>0.3843783607843772</v>
      </c>
      <c r="Q52">
        <f t="shared" si="35"/>
        <v>2089</v>
      </c>
      <c r="R52" s="1">
        <f t="shared" si="25"/>
        <v>1</v>
      </c>
      <c r="S52" s="1">
        <f t="shared" si="26"/>
        <v>2.4071130794972642</v>
      </c>
      <c r="T52" s="1">
        <f t="shared" si="27"/>
        <v>0.31623931085129581</v>
      </c>
      <c r="V52">
        <f t="shared" si="36"/>
        <v>2079</v>
      </c>
      <c r="W52" s="1">
        <f t="shared" si="28"/>
        <v>1</v>
      </c>
      <c r="X52" s="1">
        <f t="shared" si="29"/>
        <v>0.18532024263674499</v>
      </c>
      <c r="Z52">
        <f t="shared" si="37"/>
        <v>2089</v>
      </c>
      <c r="AA52" s="1">
        <f t="shared" si="30"/>
        <v>1</v>
      </c>
      <c r="AB52" s="1">
        <f t="shared" si="31"/>
        <v>0.13137700656644835</v>
      </c>
      <c r="AD52">
        <f t="shared" si="38"/>
        <v>2079</v>
      </c>
      <c r="AE52" s="1">
        <f t="shared" si="32"/>
        <v>0.18532024263674499</v>
      </c>
      <c r="AG52">
        <f t="shared" si="39"/>
        <v>2089</v>
      </c>
      <c r="AH52" s="1">
        <f t="shared" si="33"/>
        <v>0.13137700656644835</v>
      </c>
    </row>
    <row r="53" spans="12:34" x14ac:dyDescent="0.25">
      <c r="L53">
        <f t="shared" si="34"/>
        <v>2080</v>
      </c>
      <c r="M53" s="1">
        <f t="shared" si="22"/>
        <v>1</v>
      </c>
      <c r="N53" s="1">
        <f t="shared" si="23"/>
        <v>2.1052424206074605</v>
      </c>
      <c r="O53" s="1">
        <f t="shared" si="24"/>
        <v>0.3769507596097999</v>
      </c>
      <c r="Q53">
        <f t="shared" si="35"/>
        <v>2090</v>
      </c>
      <c r="R53" s="1">
        <f t="shared" si="25"/>
        <v>1</v>
      </c>
      <c r="S53" s="1">
        <f t="shared" si="26"/>
        <v>2.4432197756897223</v>
      </c>
      <c r="T53" s="1">
        <f t="shared" si="27"/>
        <v>0.31012840629378274</v>
      </c>
      <c r="V53">
        <f t="shared" si="36"/>
        <v>2080</v>
      </c>
      <c r="W53" s="1">
        <f t="shared" si="28"/>
        <v>1</v>
      </c>
      <c r="X53" s="1">
        <f t="shared" si="29"/>
        <v>0.17905337452825601</v>
      </c>
      <c r="Z53">
        <f t="shared" si="37"/>
        <v>2090</v>
      </c>
      <c r="AA53" s="1">
        <f t="shared" si="30"/>
        <v>1</v>
      </c>
      <c r="AB53" s="1">
        <f t="shared" si="31"/>
        <v>0.12693430586130278</v>
      </c>
      <c r="AD53">
        <f t="shared" si="38"/>
        <v>2080</v>
      </c>
      <c r="AE53" s="1">
        <f t="shared" si="32"/>
        <v>0.17905337452825601</v>
      </c>
      <c r="AG53">
        <f t="shared" si="39"/>
        <v>2090</v>
      </c>
      <c r="AH53" s="1">
        <f t="shared" si="33"/>
        <v>0.12693430586130278</v>
      </c>
    </row>
    <row r="54" spans="12:34" x14ac:dyDescent="0.25">
      <c r="L54">
        <f t="shared" si="34"/>
        <v>2081</v>
      </c>
      <c r="M54" s="1">
        <f t="shared" si="22"/>
        <v>1</v>
      </c>
      <c r="N54" s="1">
        <f t="shared" si="23"/>
        <v>2.1368210569165722</v>
      </c>
      <c r="O54" s="1">
        <f t="shared" si="24"/>
        <v>0.36966668696033522</v>
      </c>
      <c r="Q54">
        <f t="shared" si="35"/>
        <v>2091</v>
      </c>
      <c r="R54" s="1">
        <f t="shared" si="25"/>
        <v>1</v>
      </c>
      <c r="S54" s="1">
        <f t="shared" si="26"/>
        <v>2.4798680723250683</v>
      </c>
      <c r="T54" s="1">
        <f t="shared" si="27"/>
        <v>0.3041355868484924</v>
      </c>
      <c r="V54">
        <f t="shared" si="36"/>
        <v>2081</v>
      </c>
      <c r="W54" s="1">
        <f t="shared" si="28"/>
        <v>1</v>
      </c>
      <c r="X54" s="1">
        <f t="shared" si="29"/>
        <v>0.17299842949589955</v>
      </c>
      <c r="Z54">
        <f t="shared" si="37"/>
        <v>2091</v>
      </c>
      <c r="AA54" s="1">
        <f t="shared" si="30"/>
        <v>1</v>
      </c>
      <c r="AB54" s="1">
        <f t="shared" si="31"/>
        <v>0.12264184141188678</v>
      </c>
      <c r="AD54">
        <f t="shared" si="38"/>
        <v>2081</v>
      </c>
      <c r="AE54" s="1">
        <f t="shared" si="32"/>
        <v>0.17299842949589955</v>
      </c>
      <c r="AG54">
        <f t="shared" si="39"/>
        <v>2091</v>
      </c>
      <c r="AH54" s="1">
        <f t="shared" si="33"/>
        <v>0.12264184141188678</v>
      </c>
    </row>
    <row r="55" spans="12:34" x14ac:dyDescent="0.25">
      <c r="L55">
        <f t="shared" si="34"/>
        <v>2082</v>
      </c>
      <c r="M55" s="1">
        <f t="shared" si="22"/>
        <v>1</v>
      </c>
      <c r="N55" s="1">
        <f t="shared" si="23"/>
        <v>2.16887337277032</v>
      </c>
      <c r="O55" s="1">
        <f t="shared" si="24"/>
        <v>0.36252336933791313</v>
      </c>
      <c r="Q55">
        <f t="shared" si="35"/>
        <v>2092</v>
      </c>
      <c r="R55" s="1">
        <f t="shared" si="25"/>
        <v>1</v>
      </c>
      <c r="S55" s="1">
        <f t="shared" si="26"/>
        <v>2.5170660934099436</v>
      </c>
      <c r="T55" s="1">
        <f t="shared" si="27"/>
        <v>0.29825857067750694</v>
      </c>
      <c r="V55">
        <f t="shared" si="36"/>
        <v>2082</v>
      </c>
      <c r="W55" s="1">
        <f t="shared" si="28"/>
        <v>1</v>
      </c>
      <c r="X55" s="1">
        <f t="shared" si="29"/>
        <v>0.16714824105884016</v>
      </c>
      <c r="Z55">
        <f t="shared" si="37"/>
        <v>2092</v>
      </c>
      <c r="AA55" s="1">
        <f t="shared" si="30"/>
        <v>1</v>
      </c>
      <c r="AB55" s="1">
        <f t="shared" si="31"/>
        <v>0.11849453276510799</v>
      </c>
      <c r="AD55">
        <f t="shared" si="38"/>
        <v>2082</v>
      </c>
      <c r="AE55" s="1">
        <f t="shared" si="32"/>
        <v>0.16714824105884016</v>
      </c>
      <c r="AG55">
        <f t="shared" si="39"/>
        <v>2092</v>
      </c>
      <c r="AH55" s="1">
        <f t="shared" si="33"/>
        <v>0.11849453276510799</v>
      </c>
    </row>
    <row r="56" spans="12:34" x14ac:dyDescent="0.25">
      <c r="L56">
        <f t="shared" si="34"/>
        <v>2083</v>
      </c>
      <c r="M56" s="1">
        <f t="shared" si="22"/>
        <v>1</v>
      </c>
      <c r="N56" s="1">
        <f t="shared" si="23"/>
        <v>2.2014064733618746</v>
      </c>
      <c r="O56" s="1">
        <f t="shared" si="24"/>
        <v>0.35551808683862984</v>
      </c>
      <c r="Q56">
        <f t="shared" si="35"/>
        <v>2093</v>
      </c>
      <c r="R56" s="1">
        <f t="shared" si="25"/>
        <v>1</v>
      </c>
      <c r="S56" s="1">
        <f t="shared" si="26"/>
        <v>2.5548220848110925</v>
      </c>
      <c r="T56" s="1">
        <f t="shared" si="27"/>
        <v>0.29249512003639566</v>
      </c>
      <c r="V56">
        <f t="shared" si="36"/>
        <v>2083</v>
      </c>
      <c r="W56" s="1">
        <f t="shared" si="28"/>
        <v>1</v>
      </c>
      <c r="X56" s="1">
        <f t="shared" si="29"/>
        <v>0.16149588508100501</v>
      </c>
      <c r="Z56">
        <f t="shared" si="37"/>
        <v>2093</v>
      </c>
      <c r="AA56" s="1">
        <f t="shared" si="30"/>
        <v>1</v>
      </c>
      <c r="AB56" s="1">
        <f t="shared" si="31"/>
        <v>0.11448747127063574</v>
      </c>
      <c r="AD56">
        <f t="shared" si="38"/>
        <v>2083</v>
      </c>
      <c r="AE56" s="1">
        <f t="shared" si="32"/>
        <v>0.16149588508100501</v>
      </c>
      <c r="AG56">
        <f t="shared" si="39"/>
        <v>2093</v>
      </c>
      <c r="AH56" s="1">
        <f t="shared" si="33"/>
        <v>0.11448747127063574</v>
      </c>
    </row>
    <row r="57" spans="12:34" x14ac:dyDescent="0.25">
      <c r="L57">
        <f t="shared" si="34"/>
        <v>2084</v>
      </c>
      <c r="M57" s="1">
        <f t="shared" si="22"/>
        <v>1</v>
      </c>
      <c r="N57" s="1">
        <f t="shared" si="23"/>
        <v>2.234427570462302</v>
      </c>
      <c r="O57" s="1">
        <f t="shared" si="24"/>
        <v>0.3486481721171103</v>
      </c>
      <c r="Q57">
        <f t="shared" si="35"/>
        <v>2094</v>
      </c>
      <c r="R57" s="1">
        <f t="shared" si="25"/>
        <v>1</v>
      </c>
      <c r="S57" s="1">
        <f t="shared" si="26"/>
        <v>2.5931444160832586</v>
      </c>
      <c r="T57" s="1">
        <f t="shared" si="27"/>
        <v>0.28684304042216585</v>
      </c>
      <c r="V57">
        <f t="shared" si="36"/>
        <v>2084</v>
      </c>
      <c r="W57" s="1">
        <f t="shared" si="28"/>
        <v>1</v>
      </c>
      <c r="X57" s="1">
        <f t="shared" si="29"/>
        <v>0.15603467157585027</v>
      </c>
      <c r="Z57">
        <f t="shared" si="37"/>
        <v>2094</v>
      </c>
      <c r="AA57" s="1">
        <f t="shared" si="30"/>
        <v>1</v>
      </c>
      <c r="AB57" s="1">
        <f t="shared" si="31"/>
        <v>0.11061591427114567</v>
      </c>
      <c r="AD57">
        <f t="shared" si="38"/>
        <v>2084</v>
      </c>
      <c r="AE57" s="1">
        <f t="shared" si="32"/>
        <v>0.15603467157585027</v>
      </c>
      <c r="AG57">
        <f t="shared" si="39"/>
        <v>2094</v>
      </c>
      <c r="AH57" s="1">
        <f t="shared" si="33"/>
        <v>0.11061591427114567</v>
      </c>
    </row>
    <row r="58" spans="12:34" x14ac:dyDescent="0.25">
      <c r="L58">
        <f t="shared" si="34"/>
        <v>2085</v>
      </c>
      <c r="M58" s="1">
        <f t="shared" si="22"/>
        <v>1</v>
      </c>
      <c r="N58" s="1">
        <f t="shared" si="23"/>
        <v>2.2679439840192366</v>
      </c>
      <c r="O58" s="1">
        <f t="shared" si="24"/>
        <v>0.34191100937088592</v>
      </c>
      <c r="Q58">
        <f t="shared" si="35"/>
        <v>2095</v>
      </c>
      <c r="R58" s="1">
        <f t="shared" si="25"/>
        <v>1</v>
      </c>
      <c r="S58" s="1">
        <f t="shared" si="26"/>
        <v>2.6320415823245074</v>
      </c>
      <c r="T58" s="1">
        <f t="shared" si="27"/>
        <v>0.28130017973767957</v>
      </c>
      <c r="V58">
        <f t="shared" si="36"/>
        <v>2085</v>
      </c>
      <c r="W58" s="1">
        <f t="shared" si="28"/>
        <v>1</v>
      </c>
      <c r="X58" s="1">
        <f t="shared" si="29"/>
        <v>0.15075813678826111</v>
      </c>
      <c r="Z58">
        <f t="shared" si="37"/>
        <v>2095</v>
      </c>
      <c r="AA58" s="1">
        <f t="shared" si="30"/>
        <v>1</v>
      </c>
      <c r="AB58" s="1">
        <f t="shared" si="31"/>
        <v>0.10687527948902965</v>
      </c>
      <c r="AD58">
        <f t="shared" si="38"/>
        <v>2085</v>
      </c>
      <c r="AE58" s="1">
        <f t="shared" si="32"/>
        <v>0.15075813678826111</v>
      </c>
      <c r="AG58">
        <f t="shared" si="39"/>
        <v>2095</v>
      </c>
      <c r="AH58" s="1">
        <f t="shared" si="33"/>
        <v>0.10687527948902965</v>
      </c>
    </row>
    <row r="59" spans="12:34" x14ac:dyDescent="0.25">
      <c r="L59">
        <f t="shared" si="34"/>
        <v>2086</v>
      </c>
      <c r="M59" s="1">
        <f t="shared" si="22"/>
        <v>1</v>
      </c>
      <c r="N59" s="1">
        <f t="shared" si="23"/>
        <v>2.3019631437795249</v>
      </c>
      <c r="O59" s="1">
        <f t="shared" si="24"/>
        <v>0.33530403334439546</v>
      </c>
      <c r="Q59">
        <f t="shared" si="35"/>
        <v>2096</v>
      </c>
      <c r="R59" s="1">
        <f t="shared" si="25"/>
        <v>1</v>
      </c>
      <c r="S59" s="1">
        <f t="shared" si="26"/>
        <v>2.6715222060593744</v>
      </c>
      <c r="T59" s="1">
        <f t="shared" si="27"/>
        <v>0.27586442747221712</v>
      </c>
      <c r="V59">
        <f t="shared" si="36"/>
        <v>2086</v>
      </c>
      <c r="W59" s="1">
        <f t="shared" si="28"/>
        <v>1</v>
      </c>
      <c r="X59" s="1">
        <f t="shared" si="29"/>
        <v>0.14566003554421367</v>
      </c>
      <c r="Z59">
        <f t="shared" si="37"/>
        <v>2096</v>
      </c>
      <c r="AA59" s="1">
        <f t="shared" si="30"/>
        <v>1</v>
      </c>
      <c r="AB59" s="1">
        <f t="shared" si="31"/>
        <v>0.10326113960292721</v>
      </c>
      <c r="AD59">
        <f t="shared" si="38"/>
        <v>2086</v>
      </c>
      <c r="AE59" s="1">
        <f t="shared" si="32"/>
        <v>0.14566003554421367</v>
      </c>
      <c r="AG59">
        <f t="shared" si="39"/>
        <v>2096</v>
      </c>
      <c r="AH59" s="1">
        <f t="shared" si="33"/>
        <v>0.10326113960292721</v>
      </c>
    </row>
    <row r="60" spans="12:34" x14ac:dyDescent="0.25">
      <c r="L60">
        <f t="shared" si="34"/>
        <v>2087</v>
      </c>
      <c r="M60" s="1">
        <f t="shared" si="22"/>
        <v>1</v>
      </c>
      <c r="N60" s="1">
        <f t="shared" si="23"/>
        <v>2.3364925909362175</v>
      </c>
      <c r="O60" s="1">
        <f t="shared" si="24"/>
        <v>0.3288247283522332</v>
      </c>
      <c r="Q60">
        <f t="shared" si="35"/>
        <v>2097</v>
      </c>
      <c r="R60" s="1">
        <f t="shared" si="25"/>
        <v>1</v>
      </c>
      <c r="S60" s="1">
        <f t="shared" si="26"/>
        <v>2.7115950391502648</v>
      </c>
      <c r="T60" s="1">
        <f t="shared" si="27"/>
        <v>0.27053371389787473</v>
      </c>
      <c r="V60">
        <f t="shared" si="36"/>
        <v>2087</v>
      </c>
      <c r="W60" s="1">
        <f t="shared" si="28"/>
        <v>1</v>
      </c>
      <c r="X60" s="1">
        <f t="shared" si="29"/>
        <v>0.14073433385914366</v>
      </c>
      <c r="Z60">
        <f t="shared" si="37"/>
        <v>2097</v>
      </c>
      <c r="AA60" s="1">
        <f t="shared" si="30"/>
        <v>1</v>
      </c>
      <c r="AB60" s="1">
        <f t="shared" si="31"/>
        <v>9.9769217007659144E-2</v>
      </c>
      <c r="AD60">
        <f t="shared" si="38"/>
        <v>2087</v>
      </c>
      <c r="AE60" s="1">
        <f t="shared" si="32"/>
        <v>0.14073433385914366</v>
      </c>
      <c r="AG60">
        <f t="shared" si="39"/>
        <v>2097</v>
      </c>
      <c r="AH60" s="1">
        <f t="shared" si="33"/>
        <v>9.9769217007659144E-2</v>
      </c>
    </row>
    <row r="61" spans="12:34" x14ac:dyDescent="0.25">
      <c r="L61">
        <f t="shared" si="34"/>
        <v>2088</v>
      </c>
      <c r="M61" s="1">
        <f t="shared" si="22"/>
        <v>1</v>
      </c>
      <c r="N61" s="1">
        <f t="shared" si="23"/>
        <v>2.3715399798002603</v>
      </c>
      <c r="O61" s="1">
        <f t="shared" si="24"/>
        <v>0.32247062732127213</v>
      </c>
      <c r="Q61">
        <f t="shared" si="35"/>
        <v>2098</v>
      </c>
      <c r="R61" s="1">
        <f t="shared" si="25"/>
        <v>1</v>
      </c>
      <c r="S61" s="1">
        <f t="shared" si="26"/>
        <v>2.7522689647375183</v>
      </c>
      <c r="T61" s="1">
        <f t="shared" si="27"/>
        <v>0.26530600928149062</v>
      </c>
      <c r="V61">
        <f t="shared" si="36"/>
        <v>2088</v>
      </c>
      <c r="W61" s="1">
        <f t="shared" si="28"/>
        <v>1</v>
      </c>
      <c r="X61" s="1">
        <f t="shared" si="29"/>
        <v>0.13597520179627406</v>
      </c>
      <c r="Z61">
        <f t="shared" si="37"/>
        <v>2098</v>
      </c>
      <c r="AA61" s="1">
        <f t="shared" si="30"/>
        <v>1</v>
      </c>
      <c r="AB61" s="1">
        <f t="shared" si="31"/>
        <v>9.6395378751361491E-2</v>
      </c>
      <c r="AD61">
        <f t="shared" si="38"/>
        <v>2088</v>
      </c>
      <c r="AE61" s="1">
        <f t="shared" si="32"/>
        <v>0.13597520179627406</v>
      </c>
      <c r="AG61">
        <f t="shared" si="39"/>
        <v>2098</v>
      </c>
      <c r="AH61" s="1">
        <f t="shared" si="33"/>
        <v>9.6395378751361491E-2</v>
      </c>
    </row>
    <row r="62" spans="12:34" x14ac:dyDescent="0.25">
      <c r="L62">
        <f t="shared" si="34"/>
        <v>2089</v>
      </c>
      <c r="M62" s="1">
        <f t="shared" si="22"/>
        <v>1</v>
      </c>
      <c r="N62" s="1">
        <f t="shared" si="23"/>
        <v>2.4071130794972642</v>
      </c>
      <c r="O62" s="1">
        <f t="shared" si="24"/>
        <v>0.31623931085129581</v>
      </c>
      <c r="Q62">
        <f t="shared" si="35"/>
        <v>2099</v>
      </c>
      <c r="R62" s="1">
        <f t="shared" si="25"/>
        <v>1</v>
      </c>
      <c r="S62" s="1">
        <f t="shared" si="26"/>
        <v>2.7935529992085808</v>
      </c>
      <c r="T62" s="1">
        <f t="shared" si="27"/>
        <v>0.26017932311180003</v>
      </c>
      <c r="V62">
        <f t="shared" si="36"/>
        <v>2089</v>
      </c>
      <c r="W62" s="1">
        <f t="shared" si="28"/>
        <v>1</v>
      </c>
      <c r="X62" s="1">
        <f t="shared" si="29"/>
        <v>0.13137700656644835</v>
      </c>
      <c r="Z62">
        <f t="shared" si="37"/>
        <v>2099</v>
      </c>
      <c r="AA62" s="1">
        <f t="shared" si="30"/>
        <v>1</v>
      </c>
      <c r="AB62" s="1">
        <f t="shared" si="31"/>
        <v>9.3135631643827543E-2</v>
      </c>
      <c r="AD62">
        <f t="shared" si="38"/>
        <v>2089</v>
      </c>
      <c r="AE62" s="1">
        <f t="shared" si="32"/>
        <v>0.13137700656644835</v>
      </c>
      <c r="AG62">
        <f t="shared" si="39"/>
        <v>2099</v>
      </c>
      <c r="AH62" s="1">
        <f t="shared" si="33"/>
        <v>9.3135631643827543E-2</v>
      </c>
    </row>
    <row r="63" spans="12:34" x14ac:dyDescent="0.25">
      <c r="M63" s="13"/>
      <c r="N63" s="13"/>
      <c r="O63" s="13"/>
    </row>
    <row r="64" spans="12:34" x14ac:dyDescent="0.25">
      <c r="M64" s="13"/>
      <c r="N64" s="13"/>
      <c r="O64" s="13"/>
    </row>
    <row r="65" spans="13:15" x14ac:dyDescent="0.25">
      <c r="M65" s="13"/>
      <c r="N65" s="13"/>
      <c r="O65" s="13"/>
    </row>
    <row r="66" spans="13:15" x14ac:dyDescent="0.25">
      <c r="M66" s="13"/>
      <c r="N66" s="13"/>
      <c r="O66" s="13"/>
    </row>
    <row r="67" spans="13:15" x14ac:dyDescent="0.25">
      <c r="M67" s="13"/>
      <c r="N67" s="13"/>
      <c r="O67" s="13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98"/>
  <sheetViews>
    <sheetView zoomScaleNormal="100" workbookViewId="0">
      <selection activeCell="E18" sqref="E18"/>
    </sheetView>
  </sheetViews>
  <sheetFormatPr defaultRowHeight="15" x14ac:dyDescent="0.25"/>
  <cols>
    <col min="1" max="2" width="20.5703125" customWidth="1"/>
    <col min="3" max="3" width="16.85546875" customWidth="1"/>
    <col min="4" max="4" width="22.140625" bestFit="1" customWidth="1"/>
    <col min="5" max="5" width="18" bestFit="1" customWidth="1"/>
    <col min="6" max="6" width="24.7109375" bestFit="1" customWidth="1"/>
    <col min="7" max="7" width="16.5703125" customWidth="1"/>
    <col min="8" max="8" width="23.140625" customWidth="1"/>
    <col min="9" max="9" width="16.85546875" bestFit="1" customWidth="1"/>
    <col min="10" max="10" width="10.85546875" bestFit="1" customWidth="1"/>
    <col min="11" max="11" width="12.7109375" bestFit="1" customWidth="1"/>
    <col min="12" max="12" width="15.85546875" customWidth="1"/>
    <col min="13" max="13" width="17.85546875" customWidth="1"/>
    <col min="14" max="14" width="19.7109375" bestFit="1" customWidth="1"/>
    <col min="15" max="15" width="18.42578125" bestFit="1" customWidth="1"/>
    <col min="16" max="17" width="9.28515625" bestFit="1" customWidth="1"/>
    <col min="18" max="18" width="10.28515625" bestFit="1" customWidth="1"/>
    <col min="19" max="19" width="17.85546875" customWidth="1"/>
    <col min="20" max="20" width="11.85546875" bestFit="1" customWidth="1"/>
    <col min="21" max="21" width="18.42578125" bestFit="1" customWidth="1"/>
    <col min="25" max="26" width="11.85546875" bestFit="1" customWidth="1"/>
  </cols>
  <sheetData>
    <row r="1" spans="1:33" ht="15.75" thickBot="1" x14ac:dyDescent="0.3">
      <c r="B1" t="s">
        <v>55</v>
      </c>
      <c r="C1" s="10" t="s">
        <v>183</v>
      </c>
      <c r="H1" t="s">
        <v>177</v>
      </c>
    </row>
    <row r="2" spans="1:33" ht="15" customHeight="1" thickBot="1" x14ac:dyDescent="0.3">
      <c r="B2" s="69" t="s">
        <v>170</v>
      </c>
      <c r="C2" s="225" t="s">
        <v>171</v>
      </c>
      <c r="D2" s="225" t="s">
        <v>180</v>
      </c>
      <c r="E2" s="222" t="s">
        <v>77</v>
      </c>
      <c r="F2" s="223" t="s">
        <v>120</v>
      </c>
      <c r="H2" s="64" t="s">
        <v>170</v>
      </c>
      <c r="I2" s="51" t="s">
        <v>171</v>
      </c>
    </row>
    <row r="3" spans="1:33" ht="15" customHeight="1" thickBot="1" x14ac:dyDescent="0.3">
      <c r="A3" t="s">
        <v>181</v>
      </c>
      <c r="B3" s="230">
        <v>7.92</v>
      </c>
      <c r="C3" s="231">
        <v>5.37</v>
      </c>
      <c r="D3" s="231">
        <v>24.6</v>
      </c>
      <c r="E3" s="232">
        <v>35.909999999999997</v>
      </c>
      <c r="F3" s="233">
        <v>40.22</v>
      </c>
      <c r="H3" s="226">
        <v>1.1000000000000001</v>
      </c>
      <c r="I3" s="227">
        <v>1.6</v>
      </c>
    </row>
    <row r="4" spans="1:33" ht="15" customHeight="1" x14ac:dyDescent="0.25">
      <c r="A4" t="s">
        <v>182</v>
      </c>
      <c r="B4" s="229">
        <v>6.28</v>
      </c>
      <c r="C4" s="220">
        <v>4.83</v>
      </c>
      <c r="D4" s="224">
        <v>20.88</v>
      </c>
      <c r="E4" s="220"/>
      <c r="F4" s="221"/>
    </row>
    <row r="5" spans="1:33" ht="15.75" thickBot="1" x14ac:dyDescent="0.3">
      <c r="A5" t="s">
        <v>176</v>
      </c>
      <c r="B5" s="234">
        <f>(13.67+12.31+11.37+10.95)/4</f>
        <v>12.074999999999999</v>
      </c>
      <c r="C5" s="218">
        <f>B5</f>
        <v>12.074999999999999</v>
      </c>
      <c r="D5" s="218">
        <f>B5</f>
        <v>12.074999999999999</v>
      </c>
      <c r="E5" s="217"/>
      <c r="F5" s="219"/>
    </row>
    <row r="6" spans="1:33" ht="15" customHeight="1" x14ac:dyDescent="0.25">
      <c r="A6" s="11"/>
    </row>
    <row r="7" spans="1:33" ht="15" customHeight="1" thickBot="1" x14ac:dyDescent="0.3">
      <c r="A7" s="10" t="s">
        <v>58</v>
      </c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</row>
    <row r="8" spans="1:33" ht="15" customHeight="1" thickBot="1" x14ac:dyDescent="0.3">
      <c r="B8" s="96">
        <f>Diskonttaus!B4</f>
        <v>2030</v>
      </c>
      <c r="C8" s="32" t="s">
        <v>168</v>
      </c>
      <c r="D8" s="32" t="s">
        <v>169</v>
      </c>
      <c r="E8" s="51" t="s">
        <v>172</v>
      </c>
      <c r="F8" s="32" t="s">
        <v>173</v>
      </c>
      <c r="G8" s="51" t="s">
        <v>174</v>
      </c>
      <c r="H8" s="32" t="s">
        <v>175</v>
      </c>
      <c r="I8" s="32" t="s">
        <v>77</v>
      </c>
      <c r="J8" s="32" t="s">
        <v>120</v>
      </c>
      <c r="K8" s="76" t="s">
        <v>75</v>
      </c>
      <c r="M8" s="96" t="s">
        <v>11</v>
      </c>
      <c r="N8" s="206"/>
      <c r="O8" s="206"/>
      <c r="P8" s="207"/>
      <c r="Q8" s="207"/>
      <c r="R8" s="207"/>
      <c r="S8" s="208"/>
      <c r="T8" s="206"/>
      <c r="U8" s="206"/>
      <c r="V8" s="209"/>
      <c r="W8" s="209"/>
      <c r="X8" s="209"/>
      <c r="Y8" s="206"/>
      <c r="Z8" s="206"/>
      <c r="AA8" s="206"/>
      <c r="AB8" s="209"/>
      <c r="AC8" s="209"/>
      <c r="AD8" s="209"/>
      <c r="AE8" s="206"/>
      <c r="AF8" s="206"/>
      <c r="AG8" s="206"/>
    </row>
    <row r="9" spans="1:33" x14ac:dyDescent="0.25">
      <c r="B9" s="56" t="s">
        <v>64</v>
      </c>
      <c r="C9" s="114">
        <f>-ha_tyo!F9*B3*H3</f>
        <v>0</v>
      </c>
      <c r="D9" s="114">
        <f>-ha_muu!F9*C3*I3</f>
        <v>0</v>
      </c>
      <c r="E9" s="133">
        <f>-jl_tyo!F9*B4</f>
        <v>0</v>
      </c>
      <c r="F9" s="133">
        <f>-jl_muu!F9*C4</f>
        <v>0</v>
      </c>
      <c r="G9" s="133">
        <f>-pp_tyo!F9*B5</f>
        <v>0</v>
      </c>
      <c r="H9" s="133">
        <f>-pp_tyo!F9*C5</f>
        <v>0</v>
      </c>
      <c r="I9" s="114">
        <f>-ka!F9*E3</f>
        <v>0</v>
      </c>
      <c r="J9" s="114">
        <f>-yhd!F9*F3</f>
        <v>0</v>
      </c>
      <c r="K9" s="87">
        <f>-pa!F9*D3</f>
        <v>0</v>
      </c>
      <c r="M9" s="239">
        <f>SUM(C9:L9)</f>
        <v>0</v>
      </c>
      <c r="N9" s="206"/>
      <c r="O9" s="206"/>
      <c r="P9" s="208"/>
      <c r="Q9" s="208"/>
      <c r="R9" s="208"/>
      <c r="S9" s="208"/>
      <c r="T9" s="210"/>
      <c r="U9" s="206"/>
      <c r="V9" s="210"/>
      <c r="W9" s="210"/>
      <c r="X9" s="210"/>
      <c r="Y9" s="210"/>
      <c r="Z9" s="210"/>
      <c r="AA9" s="206"/>
      <c r="AB9" s="210"/>
      <c r="AC9" s="210"/>
      <c r="AD9" s="210"/>
      <c r="AE9" s="210"/>
      <c r="AF9" s="210"/>
      <c r="AG9" s="206"/>
    </row>
    <row r="10" spans="1:33" ht="15" customHeight="1" x14ac:dyDescent="0.25">
      <c r="B10" s="35" t="s">
        <v>65</v>
      </c>
      <c r="C10" s="114">
        <f>-ha_tyo!F10*B3*H3</f>
        <v>0</v>
      </c>
      <c r="D10" s="114">
        <f>-ha_muu!F10*C3*I3</f>
        <v>0</v>
      </c>
      <c r="E10" s="134">
        <f>-jl_tyo!F10*B4</f>
        <v>0</v>
      </c>
      <c r="F10" s="134">
        <f>-jl_muu!F10*C4</f>
        <v>0</v>
      </c>
      <c r="G10" s="133">
        <f>-pp_tyo!F10*B5</f>
        <v>0</v>
      </c>
      <c r="H10" s="133">
        <f>-pp_tyo!F10*C5</f>
        <v>0</v>
      </c>
      <c r="I10" s="115">
        <f>-ka!F10*E3</f>
        <v>0</v>
      </c>
      <c r="J10" s="115">
        <f>-yhd!F10*F3</f>
        <v>0</v>
      </c>
      <c r="K10" s="132">
        <f>-pa!F10*D3</f>
        <v>0</v>
      </c>
      <c r="M10" s="240">
        <f>SUM(C10:L10)</f>
        <v>0</v>
      </c>
      <c r="N10" s="206"/>
      <c r="O10" s="206"/>
      <c r="P10" s="208"/>
      <c r="Q10" s="208"/>
      <c r="R10" s="208"/>
      <c r="S10" s="208"/>
      <c r="T10" s="210"/>
      <c r="U10" s="206"/>
      <c r="V10" s="210"/>
      <c r="W10" s="210"/>
      <c r="X10" s="210"/>
      <c r="Y10" s="210"/>
      <c r="Z10" s="210"/>
      <c r="AA10" s="206"/>
      <c r="AB10" s="210"/>
      <c r="AC10" s="210"/>
      <c r="AD10" s="210"/>
      <c r="AE10" s="210"/>
      <c r="AF10" s="210"/>
      <c r="AG10" s="206"/>
    </row>
    <row r="11" spans="1:33" ht="15" customHeight="1" thickBot="1" x14ac:dyDescent="0.3">
      <c r="B11" s="57" t="s">
        <v>11</v>
      </c>
      <c r="C11" s="66">
        <f t="shared" ref="C11:K11" si="0">SUM(C9:C10)</f>
        <v>0</v>
      </c>
      <c r="D11" s="66">
        <f t="shared" si="0"/>
        <v>0</v>
      </c>
      <c r="E11" s="67">
        <f t="shared" si="0"/>
        <v>0</v>
      </c>
      <c r="F11" s="67">
        <f t="shared" si="0"/>
        <v>0</v>
      </c>
      <c r="G11" s="67">
        <f t="shared" si="0"/>
        <v>0</v>
      </c>
      <c r="H11" s="67">
        <f t="shared" si="0"/>
        <v>0</v>
      </c>
      <c r="I11" s="66">
        <f t="shared" si="0"/>
        <v>0</v>
      </c>
      <c r="J11" s="66">
        <f t="shared" si="0"/>
        <v>0</v>
      </c>
      <c r="K11" s="81">
        <f t="shared" si="0"/>
        <v>0</v>
      </c>
      <c r="M11" s="241">
        <f>SUM(C11:L11)</f>
        <v>0</v>
      </c>
      <c r="N11" s="206"/>
      <c r="O11" s="206"/>
      <c r="P11" s="210"/>
      <c r="Q11" s="210"/>
      <c r="R11" s="210"/>
      <c r="S11" s="210"/>
      <c r="T11" s="210"/>
      <c r="U11" s="206"/>
      <c r="V11" s="210"/>
      <c r="W11" s="210"/>
      <c r="X11" s="210"/>
      <c r="Y11" s="210"/>
      <c r="Z11" s="210"/>
      <c r="AA11" s="206"/>
      <c r="AB11" s="210"/>
      <c r="AC11" s="210"/>
      <c r="AD11" s="210"/>
      <c r="AE11" s="210"/>
      <c r="AF11" s="210"/>
      <c r="AG11" s="206"/>
    </row>
    <row r="12" spans="1:33" ht="15" customHeight="1" thickBot="1" x14ac:dyDescent="0.3"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</row>
    <row r="13" spans="1:33" ht="15" customHeight="1" thickBot="1" x14ac:dyDescent="0.3">
      <c r="B13" s="96">
        <f>Diskonttaus!B6</f>
        <v>2050</v>
      </c>
      <c r="C13" s="32" t="s">
        <v>168</v>
      </c>
      <c r="D13" s="32" t="s">
        <v>169</v>
      </c>
      <c r="E13" s="51" t="s">
        <v>172</v>
      </c>
      <c r="F13" s="32" t="s">
        <v>173</v>
      </c>
      <c r="G13" s="51" t="s">
        <v>174</v>
      </c>
      <c r="H13" s="32" t="s">
        <v>175</v>
      </c>
      <c r="I13" s="32" t="s">
        <v>77</v>
      </c>
      <c r="J13" s="32" t="s">
        <v>120</v>
      </c>
      <c r="K13" s="76" t="s">
        <v>75</v>
      </c>
      <c r="M13" s="96" t="s">
        <v>11</v>
      </c>
      <c r="N13" s="206"/>
      <c r="O13" s="206"/>
      <c r="P13" s="207"/>
      <c r="Q13" s="207"/>
      <c r="R13" s="207"/>
      <c r="S13" s="208"/>
      <c r="T13" s="206"/>
      <c r="U13" s="206"/>
      <c r="V13" s="209"/>
      <c r="W13" s="209"/>
      <c r="X13" s="209"/>
      <c r="Y13" s="206"/>
      <c r="Z13" s="206"/>
      <c r="AA13" s="206"/>
      <c r="AB13" s="209"/>
      <c r="AC13" s="209"/>
      <c r="AD13" s="209"/>
      <c r="AE13" s="206"/>
      <c r="AF13" s="206"/>
      <c r="AG13" s="206"/>
    </row>
    <row r="14" spans="1:33" x14ac:dyDescent="0.25">
      <c r="B14" s="56" t="s">
        <v>64</v>
      </c>
      <c r="C14" s="114">
        <f>-ha_tyo!F14*B3*H3</f>
        <v>0</v>
      </c>
      <c r="D14" s="114">
        <f>-ha_muu!F14*C3*I3</f>
        <v>0</v>
      </c>
      <c r="E14" s="133">
        <f>-jl_tyo!F14*B4</f>
        <v>0</v>
      </c>
      <c r="F14" s="133">
        <f>-jl_muu!F14*C4</f>
        <v>0</v>
      </c>
      <c r="G14" s="133">
        <f>-pp_tyo!F14*B5</f>
        <v>0</v>
      </c>
      <c r="H14" s="133">
        <f>-pp_tyo!F14*C5</f>
        <v>0</v>
      </c>
      <c r="I14" s="114">
        <f>-ka!F14*E3</f>
        <v>0</v>
      </c>
      <c r="J14" s="114">
        <f>-yhd!F14*F3</f>
        <v>0</v>
      </c>
      <c r="K14" s="87">
        <f>-pa!F14*D3</f>
        <v>0</v>
      </c>
      <c r="M14" s="239">
        <f>SUM(C14:L14)</f>
        <v>0</v>
      </c>
      <c r="N14" s="206"/>
      <c r="O14" s="206"/>
      <c r="P14" s="208"/>
      <c r="Q14" s="208"/>
      <c r="R14" s="208"/>
      <c r="S14" s="208"/>
      <c r="T14" s="210"/>
      <c r="U14" s="206"/>
      <c r="V14" s="210"/>
      <c r="W14" s="210"/>
      <c r="X14" s="210"/>
      <c r="Y14" s="210"/>
      <c r="Z14" s="210"/>
      <c r="AA14" s="206"/>
      <c r="AB14" s="210"/>
      <c r="AC14" s="210"/>
      <c r="AD14" s="210"/>
      <c r="AE14" s="210"/>
      <c r="AF14" s="210"/>
      <c r="AG14" s="206"/>
    </row>
    <row r="15" spans="1:33" ht="15" customHeight="1" x14ac:dyDescent="0.25">
      <c r="B15" s="35" t="s">
        <v>65</v>
      </c>
      <c r="C15" s="114">
        <f>-ha_tyo!F15*B3*H3</f>
        <v>0</v>
      </c>
      <c r="D15" s="114">
        <f>-ha_muu!F15*C3*I3</f>
        <v>0</v>
      </c>
      <c r="E15" s="134">
        <f>-jl_tyo!F15*B4</f>
        <v>0</v>
      </c>
      <c r="F15" s="134">
        <f>-jl_muu!F15*C4</f>
        <v>0</v>
      </c>
      <c r="G15" s="133">
        <f>-pp_tyo!F15*B5</f>
        <v>0</v>
      </c>
      <c r="H15" s="133">
        <f>-pp_tyo!F15*C5</f>
        <v>0</v>
      </c>
      <c r="I15" s="115">
        <f>-ka!F15*E3</f>
        <v>0</v>
      </c>
      <c r="J15" s="115">
        <f>-yhd!F15*F3</f>
        <v>0</v>
      </c>
      <c r="K15" s="87">
        <f>-pa!F15*D3</f>
        <v>0</v>
      </c>
      <c r="M15" s="240">
        <f>SUM(C15:L15)</f>
        <v>0</v>
      </c>
      <c r="N15" s="206"/>
      <c r="O15" s="206"/>
      <c r="P15" s="208"/>
      <c r="Q15" s="208"/>
      <c r="R15" s="208"/>
      <c r="S15" s="208"/>
      <c r="T15" s="210"/>
      <c r="U15" s="206"/>
      <c r="V15" s="210"/>
      <c r="W15" s="210"/>
      <c r="X15" s="210"/>
      <c r="Y15" s="210"/>
      <c r="Z15" s="210"/>
      <c r="AA15" s="206"/>
      <c r="AB15" s="210"/>
      <c r="AC15" s="210"/>
      <c r="AD15" s="210"/>
      <c r="AE15" s="210"/>
      <c r="AF15" s="210"/>
      <c r="AG15" s="206"/>
    </row>
    <row r="16" spans="1:33" ht="15" customHeight="1" thickBot="1" x14ac:dyDescent="0.3">
      <c r="B16" s="57" t="s">
        <v>11</v>
      </c>
      <c r="C16" s="66">
        <f t="shared" ref="C16:K16" si="1">SUM(C14:C15)</f>
        <v>0</v>
      </c>
      <c r="D16" s="66">
        <f t="shared" si="1"/>
        <v>0</v>
      </c>
      <c r="E16" s="67">
        <f t="shared" si="1"/>
        <v>0</v>
      </c>
      <c r="F16" s="67">
        <f t="shared" si="1"/>
        <v>0</v>
      </c>
      <c r="G16" s="67">
        <f t="shared" si="1"/>
        <v>0</v>
      </c>
      <c r="H16" s="67">
        <f t="shared" si="1"/>
        <v>0</v>
      </c>
      <c r="I16" s="66">
        <f t="shared" ref="I16" si="2">SUM(I14:I15)</f>
        <v>0</v>
      </c>
      <c r="J16" s="66">
        <f t="shared" ref="J16" si="3">SUM(J14:J15)</f>
        <v>0</v>
      </c>
      <c r="K16" s="202">
        <f t="shared" si="1"/>
        <v>0</v>
      </c>
      <c r="M16" s="241">
        <f>SUM(C16:L16)</f>
        <v>0</v>
      </c>
      <c r="N16" s="206"/>
      <c r="O16" s="206"/>
      <c r="P16" s="210"/>
      <c r="Q16" s="210"/>
      <c r="R16" s="210"/>
      <c r="S16" s="210"/>
      <c r="T16" s="210"/>
      <c r="U16" s="206"/>
      <c r="V16" s="210"/>
      <c r="W16" s="210"/>
      <c r="X16" s="210"/>
      <c r="Y16" s="210"/>
      <c r="Z16" s="210"/>
      <c r="AA16" s="206"/>
      <c r="AB16" s="210"/>
      <c r="AC16" s="210"/>
      <c r="AD16" s="210"/>
      <c r="AE16" s="210"/>
      <c r="AF16" s="210"/>
      <c r="AG16" s="206"/>
    </row>
    <row r="17" spans="1:33" ht="15" customHeight="1" thickBot="1" x14ac:dyDescent="0.3"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</row>
    <row r="18" spans="1:33" ht="21.6" customHeight="1" thickBot="1" x14ac:dyDescent="0.4">
      <c r="B18" s="144" t="s">
        <v>66</v>
      </c>
      <c r="C18" s="101"/>
      <c r="D18" s="101"/>
      <c r="E18" s="101"/>
      <c r="F18" s="101"/>
      <c r="H18" s="101"/>
      <c r="I18" s="101"/>
      <c r="J18" s="101"/>
      <c r="K18" s="101"/>
      <c r="M18" s="242">
        <f ca="1">IF(ISNUMBER(Diskonttaus!B20),Diskonttaus!B19*Kayttajahyodyt!M11+Diskonttaus!B20*Kayttajahyodyt!M16,Diskonttaus!B19*Kayttajahyodyt!M11)</f>
        <v>0</v>
      </c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</row>
    <row r="19" spans="1:33" ht="15" customHeight="1" x14ac:dyDescent="0.25"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</row>
    <row r="20" spans="1:33" ht="15" customHeight="1" thickBot="1" x14ac:dyDescent="0.3">
      <c r="A20" s="10" t="s">
        <v>67</v>
      </c>
      <c r="C20" s="17"/>
      <c r="D20" s="17"/>
      <c r="F20" s="17"/>
      <c r="H20" s="17"/>
      <c r="I20" s="17"/>
      <c r="J20" s="17"/>
      <c r="K20" s="17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</row>
    <row r="21" spans="1:33" ht="15" customHeight="1" thickBot="1" x14ac:dyDescent="0.3">
      <c r="B21" s="96">
        <f>Diskonttaus!B4</f>
        <v>2030</v>
      </c>
      <c r="C21" s="30" t="s">
        <v>168</v>
      </c>
      <c r="D21" s="62" t="s">
        <v>169</v>
      </c>
      <c r="F21" s="213"/>
      <c r="G21" s="213"/>
      <c r="H21" s="213"/>
      <c r="I21" s="187" t="s">
        <v>77</v>
      </c>
      <c r="J21" s="30" t="s">
        <v>120</v>
      </c>
      <c r="K21" s="62" t="s">
        <v>75</v>
      </c>
      <c r="M21" s="96" t="s">
        <v>11</v>
      </c>
      <c r="N21" s="206"/>
      <c r="O21" s="206"/>
      <c r="P21" s="209"/>
      <c r="Q21" s="209"/>
      <c r="R21" s="209"/>
      <c r="S21" s="206"/>
      <c r="T21" s="206"/>
      <c r="U21" s="206"/>
      <c r="V21" s="209"/>
      <c r="W21" s="209"/>
      <c r="X21" s="209"/>
      <c r="Y21" s="206"/>
      <c r="Z21" s="206"/>
      <c r="AA21" s="206"/>
      <c r="AB21" s="206"/>
      <c r="AC21" s="206"/>
      <c r="AD21" s="206"/>
      <c r="AE21" s="206"/>
      <c r="AF21" s="206"/>
      <c r="AG21" s="206"/>
    </row>
    <row r="22" spans="1:33" x14ac:dyDescent="0.25">
      <c r="B22" s="52" t="s">
        <v>64</v>
      </c>
      <c r="C22" s="71">
        <f>-E61*ha_tyo!F22</f>
        <v>0</v>
      </c>
      <c r="D22" s="113">
        <f>-E61*ha_muu!F22</f>
        <v>0</v>
      </c>
      <c r="E22" s="101"/>
      <c r="F22" s="214"/>
      <c r="G22" s="214"/>
      <c r="H22" s="214"/>
      <c r="I22" s="244">
        <f>-E64*ka!F22</f>
        <v>0</v>
      </c>
      <c r="J22" s="72">
        <f>-E65*yhd!F22</f>
        <v>0</v>
      </c>
      <c r="K22" s="113">
        <f>-E62*pa!F22</f>
        <v>0</v>
      </c>
      <c r="M22" s="239">
        <f>SUM(C22:L22)</f>
        <v>0</v>
      </c>
      <c r="N22" s="206"/>
      <c r="O22" s="206"/>
      <c r="P22" s="210"/>
      <c r="Q22" s="210"/>
      <c r="R22" s="210"/>
      <c r="S22" s="210"/>
      <c r="T22" s="210"/>
      <c r="U22" s="206"/>
      <c r="V22" s="210"/>
      <c r="W22" s="210"/>
      <c r="X22" s="210"/>
      <c r="Y22" s="210"/>
      <c r="Z22" s="210"/>
      <c r="AA22" s="206"/>
      <c r="AB22" s="206"/>
      <c r="AC22" s="206"/>
      <c r="AD22" s="206"/>
      <c r="AE22" s="206"/>
      <c r="AF22" s="206"/>
      <c r="AG22" s="206"/>
    </row>
    <row r="23" spans="1:33" ht="15" customHeight="1" x14ac:dyDescent="0.25">
      <c r="B23" s="38" t="s">
        <v>65</v>
      </c>
      <c r="C23" s="73">
        <f>-E61*ha_tyo!F23</f>
        <v>0</v>
      </c>
      <c r="D23" s="65">
        <f>-E61*ha_muu!F23</f>
        <v>0</v>
      </c>
      <c r="E23" s="101"/>
      <c r="F23" s="214"/>
      <c r="G23" s="214"/>
      <c r="H23" s="214"/>
      <c r="I23" s="204">
        <f>-E64*ka!F23</f>
        <v>0</v>
      </c>
      <c r="J23" s="134">
        <f>-E65*yhd!F23</f>
        <v>0</v>
      </c>
      <c r="K23" s="65">
        <f>-E62*pa!F23</f>
        <v>0</v>
      </c>
      <c r="M23" s="240">
        <f>SUM(C23:L23)</f>
        <v>0</v>
      </c>
      <c r="N23" s="206"/>
      <c r="O23" s="206"/>
      <c r="P23" s="210"/>
      <c r="Q23" s="210"/>
      <c r="R23" s="210"/>
      <c r="S23" s="210"/>
      <c r="T23" s="210"/>
      <c r="U23" s="206"/>
      <c r="V23" s="210"/>
      <c r="W23" s="210"/>
      <c r="X23" s="210"/>
      <c r="Y23" s="210"/>
      <c r="Z23" s="210"/>
      <c r="AA23" s="206"/>
      <c r="AB23" s="206"/>
      <c r="AC23" s="206"/>
      <c r="AD23" s="206"/>
      <c r="AE23" s="206"/>
      <c r="AF23" s="206"/>
      <c r="AG23" s="206"/>
    </row>
    <row r="24" spans="1:33" ht="15" customHeight="1" thickBot="1" x14ac:dyDescent="0.3">
      <c r="B24" s="53" t="s">
        <v>11</v>
      </c>
      <c r="C24" s="102">
        <f>SUM(C22:C23)</f>
        <v>0</v>
      </c>
      <c r="D24" s="202">
        <f>SUM(D22:D23)</f>
        <v>0</v>
      </c>
      <c r="E24" s="101"/>
      <c r="F24" s="214"/>
      <c r="G24" s="214"/>
      <c r="H24" s="214"/>
      <c r="I24" s="245">
        <f>SUM(I22:I23)</f>
        <v>0</v>
      </c>
      <c r="J24" s="67">
        <f>SUM(J22:J23)</f>
        <v>0</v>
      </c>
      <c r="K24" s="202">
        <f>SUM(K22:K23)</f>
        <v>0</v>
      </c>
      <c r="M24" s="241">
        <f>SUM(C24:L24)</f>
        <v>0</v>
      </c>
      <c r="N24" s="206"/>
      <c r="O24" s="206"/>
      <c r="P24" s="210"/>
      <c r="Q24" s="210"/>
      <c r="R24" s="210"/>
      <c r="S24" s="210"/>
      <c r="T24" s="210"/>
      <c r="U24" s="206"/>
      <c r="V24" s="210"/>
      <c r="W24" s="210"/>
      <c r="X24" s="210"/>
      <c r="Y24" s="210"/>
      <c r="Z24" s="210"/>
      <c r="AA24" s="206"/>
      <c r="AB24" s="206"/>
      <c r="AC24" s="206"/>
      <c r="AD24" s="206"/>
      <c r="AE24" s="206"/>
      <c r="AF24" s="206"/>
      <c r="AG24" s="206"/>
    </row>
    <row r="25" spans="1:33" ht="15" customHeight="1" thickBot="1" x14ac:dyDescent="0.3">
      <c r="F25" s="213"/>
      <c r="G25" s="213"/>
      <c r="H25" s="213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</row>
    <row r="26" spans="1:33" ht="15" customHeight="1" thickBot="1" x14ac:dyDescent="0.3">
      <c r="B26" s="96">
        <f>Diskonttaus!B6</f>
        <v>2050</v>
      </c>
      <c r="C26" s="30" t="s">
        <v>168</v>
      </c>
      <c r="D26" s="62" t="s">
        <v>169</v>
      </c>
      <c r="F26" s="215"/>
      <c r="G26" s="213"/>
      <c r="H26" s="215"/>
      <c r="I26" s="187" t="s">
        <v>77</v>
      </c>
      <c r="J26" s="30" t="s">
        <v>120</v>
      </c>
      <c r="K26" s="62" t="s">
        <v>75</v>
      </c>
      <c r="M26" s="70" t="s">
        <v>11</v>
      </c>
      <c r="N26" s="206"/>
      <c r="O26" s="206"/>
      <c r="P26" s="209"/>
      <c r="Q26" s="209"/>
      <c r="R26" s="209"/>
      <c r="S26" s="206"/>
      <c r="T26" s="206"/>
      <c r="U26" s="206"/>
      <c r="V26" s="209"/>
      <c r="W26" s="209"/>
      <c r="X26" s="209"/>
      <c r="Y26" s="206"/>
      <c r="Z26" s="206"/>
      <c r="AA26" s="206"/>
      <c r="AB26" s="206"/>
      <c r="AC26" s="206"/>
      <c r="AD26" s="206"/>
      <c r="AE26" s="206"/>
      <c r="AF26" s="206"/>
      <c r="AG26" s="206"/>
    </row>
    <row r="27" spans="1:33" x14ac:dyDescent="0.25">
      <c r="B27" s="52" t="s">
        <v>64</v>
      </c>
      <c r="C27" s="71">
        <f>-E61*ha_tyo!F27</f>
        <v>0</v>
      </c>
      <c r="D27" s="113">
        <f>-E61*ha_muu!F27</f>
        <v>0</v>
      </c>
      <c r="F27" s="214"/>
      <c r="G27" s="213"/>
      <c r="H27" s="214"/>
      <c r="I27" s="244">
        <f>-E64*ka!F27</f>
        <v>0</v>
      </c>
      <c r="J27" s="72">
        <f>-E65*yhd!F27</f>
        <v>0</v>
      </c>
      <c r="K27" s="113">
        <f>-E62*pa!F27</f>
        <v>0</v>
      </c>
      <c r="M27" s="239">
        <f>SUM(C27:L27)</f>
        <v>0</v>
      </c>
      <c r="N27" s="206"/>
      <c r="O27" s="206"/>
      <c r="P27" s="210"/>
      <c r="Q27" s="210"/>
      <c r="R27" s="210"/>
      <c r="S27" s="210"/>
      <c r="T27" s="210"/>
      <c r="U27" s="206"/>
      <c r="V27" s="210"/>
      <c r="W27" s="210"/>
      <c r="X27" s="210"/>
      <c r="Y27" s="210"/>
      <c r="Z27" s="210"/>
      <c r="AA27" s="206"/>
      <c r="AB27" s="206"/>
      <c r="AC27" s="206"/>
      <c r="AD27" s="206"/>
      <c r="AE27" s="206"/>
      <c r="AF27" s="206"/>
      <c r="AG27" s="206"/>
    </row>
    <row r="28" spans="1:33" ht="15" customHeight="1" x14ac:dyDescent="0.25">
      <c r="B28" s="38" t="s">
        <v>65</v>
      </c>
      <c r="C28" s="73">
        <f>-E61*ha_tyo!F28</f>
        <v>0</v>
      </c>
      <c r="D28" s="65">
        <f>-E61*ha_muu!F28</f>
        <v>0</v>
      </c>
      <c r="F28" s="214"/>
      <c r="G28" s="213"/>
      <c r="H28" s="214"/>
      <c r="I28" s="204">
        <f>-E64*ka!F28</f>
        <v>0</v>
      </c>
      <c r="J28" s="134">
        <f>-E65*yhd!F28</f>
        <v>0</v>
      </c>
      <c r="K28" s="65">
        <f>-E62*pa!F28</f>
        <v>0</v>
      </c>
      <c r="M28" s="240">
        <f>SUM(C28:L28)</f>
        <v>0</v>
      </c>
      <c r="N28" s="206"/>
      <c r="O28" s="206"/>
      <c r="P28" s="210"/>
      <c r="Q28" s="210"/>
      <c r="R28" s="210"/>
      <c r="S28" s="210"/>
      <c r="T28" s="210"/>
      <c r="U28" s="206"/>
      <c r="V28" s="210"/>
      <c r="W28" s="210"/>
      <c r="X28" s="210"/>
      <c r="Y28" s="210"/>
      <c r="Z28" s="210"/>
      <c r="AA28" s="206"/>
      <c r="AB28" s="206"/>
      <c r="AC28" s="206"/>
      <c r="AD28" s="206"/>
      <c r="AE28" s="206"/>
      <c r="AF28" s="206"/>
      <c r="AG28" s="206"/>
    </row>
    <row r="29" spans="1:33" ht="15" customHeight="1" thickBot="1" x14ac:dyDescent="0.3">
      <c r="B29" s="53" t="s">
        <v>11</v>
      </c>
      <c r="C29" s="102">
        <f>SUM(C27:C28)</f>
        <v>0</v>
      </c>
      <c r="D29" s="202">
        <f>SUM(D27:D28)</f>
        <v>0</v>
      </c>
      <c r="F29" s="214"/>
      <c r="G29" s="213"/>
      <c r="H29" s="214"/>
      <c r="I29" s="245">
        <f>SUM(I27:I28)</f>
        <v>0</v>
      </c>
      <c r="J29" s="67">
        <f>SUM(J27:J28)</f>
        <v>0</v>
      </c>
      <c r="K29" s="202">
        <f>SUM(K27:K28)</f>
        <v>0</v>
      </c>
      <c r="M29" s="241">
        <f>SUM(C29:L29)</f>
        <v>0</v>
      </c>
      <c r="N29" s="206"/>
      <c r="O29" s="206"/>
      <c r="P29" s="210"/>
      <c r="Q29" s="210"/>
      <c r="R29" s="210"/>
      <c r="S29" s="210"/>
      <c r="T29" s="210"/>
      <c r="U29" s="206"/>
      <c r="V29" s="210"/>
      <c r="W29" s="210"/>
      <c r="X29" s="210"/>
      <c r="Y29" s="210"/>
      <c r="Z29" s="210"/>
      <c r="AA29" s="206"/>
      <c r="AB29" s="206"/>
      <c r="AC29" s="206"/>
      <c r="AD29" s="206"/>
      <c r="AE29" s="206"/>
      <c r="AF29" s="206"/>
      <c r="AG29" s="206"/>
    </row>
    <row r="30" spans="1:33" ht="15" customHeight="1" thickBot="1" x14ac:dyDescent="0.3"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</row>
    <row r="31" spans="1:33" ht="21.6" customHeight="1" thickBot="1" x14ac:dyDescent="0.4">
      <c r="B31" s="144" t="s">
        <v>66</v>
      </c>
      <c r="M31" s="243">
        <f ca="1">IF(ISNUMBER(Diskonttaus!B27),Diskonttaus!B26*Kayttajahyodyt!M24+Diskonttaus!B27*Kayttajahyodyt!M29,Diskonttaus!B26*Kayttajahyodyt!M24)</f>
        <v>0</v>
      </c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</row>
    <row r="32" spans="1:33" s="97" customFormat="1" x14ac:dyDescent="0.25"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</row>
    <row r="33" spans="1:34" s="203" customFormat="1" x14ac:dyDescent="0.25"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</row>
    <row r="34" spans="1:34" s="203" customFormat="1" ht="15" customHeight="1" x14ac:dyDescent="0.25">
      <c r="A34"/>
      <c r="B34"/>
      <c r="C34"/>
      <c r="D34"/>
      <c r="E34"/>
      <c r="F34"/>
      <c r="G34"/>
      <c r="H34"/>
      <c r="I34"/>
      <c r="J34"/>
      <c r="K34"/>
      <c r="M34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</row>
    <row r="35" spans="1:34" s="203" customFormat="1" ht="15" customHeight="1" thickBot="1" x14ac:dyDescent="0.3">
      <c r="A35" s="11" t="s">
        <v>68</v>
      </c>
      <c r="B35"/>
      <c r="C35"/>
      <c r="D35"/>
      <c r="E35"/>
      <c r="F35"/>
      <c r="G35"/>
      <c r="H35"/>
      <c r="I35"/>
      <c r="J35"/>
      <c r="K35"/>
      <c r="M35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</row>
    <row r="36" spans="1:34" s="203" customFormat="1" ht="15" customHeight="1" thickBot="1" x14ac:dyDescent="0.3">
      <c r="A36"/>
      <c r="B36" s="96">
        <f>Diskonttaus!B4</f>
        <v>2030</v>
      </c>
      <c r="C36" s="32" t="s">
        <v>168</v>
      </c>
      <c r="D36" s="32" t="s">
        <v>169</v>
      </c>
      <c r="E36" s="51" t="s">
        <v>172</v>
      </c>
      <c r="F36" s="76" t="s">
        <v>173</v>
      </c>
      <c r="G36"/>
      <c r="H36" s="213"/>
      <c r="I36" s="187" t="s">
        <v>77</v>
      </c>
      <c r="J36" s="30" t="s">
        <v>120</v>
      </c>
      <c r="K36" s="62" t="s">
        <v>75</v>
      </c>
      <c r="M36" s="96" t="s">
        <v>11</v>
      </c>
      <c r="N36" s="206"/>
      <c r="O36" s="206"/>
      <c r="P36" s="209"/>
      <c r="Q36" s="209"/>
      <c r="R36" s="209"/>
      <c r="S36" s="206"/>
      <c r="T36" s="206"/>
      <c r="U36" s="206"/>
      <c r="V36" s="209"/>
      <c r="W36" s="209"/>
      <c r="X36" s="209"/>
      <c r="Y36" s="206"/>
      <c r="Z36" s="206"/>
      <c r="AA36" s="206"/>
      <c r="AB36" s="209"/>
      <c r="AC36" s="209"/>
      <c r="AD36" s="209"/>
      <c r="AE36" s="206"/>
      <c r="AF36" s="206"/>
      <c r="AG36" s="206"/>
    </row>
    <row r="37" spans="1:34" s="203" customFormat="1" x14ac:dyDescent="0.25">
      <c r="A37"/>
      <c r="B37" s="56" t="s">
        <v>64</v>
      </c>
      <c r="C37" s="204">
        <f>-ha_tyo!F37</f>
        <v>0</v>
      </c>
      <c r="D37" s="133">
        <f>-ha_muu!F37</f>
        <v>0</v>
      </c>
      <c r="E37" s="133">
        <f>-jl_tyo!F37</f>
        <v>0</v>
      </c>
      <c r="F37" s="87">
        <f>-jl_muu!F37</f>
        <v>0</v>
      </c>
      <c r="G37"/>
      <c r="H37" s="214"/>
      <c r="I37" s="244">
        <f>-ka!F37</f>
        <v>0</v>
      </c>
      <c r="J37" s="72">
        <f>-yhd!F37</f>
        <v>0</v>
      </c>
      <c r="K37" s="212">
        <f>-pa!F37</f>
        <v>0</v>
      </c>
      <c r="M37" s="239">
        <f>SUM(C37:L37)</f>
        <v>0</v>
      </c>
      <c r="N37" s="206"/>
      <c r="O37" s="206"/>
      <c r="P37" s="210"/>
      <c r="Q37" s="210"/>
      <c r="R37" s="210"/>
      <c r="S37" s="210"/>
      <c r="T37" s="210"/>
      <c r="U37" s="206"/>
      <c r="V37" s="210"/>
      <c r="W37" s="210"/>
      <c r="X37" s="210"/>
      <c r="Y37" s="210"/>
      <c r="Z37" s="210"/>
      <c r="AA37" s="206"/>
      <c r="AB37" s="210"/>
      <c r="AC37" s="210"/>
      <c r="AD37" s="210"/>
      <c r="AE37" s="210"/>
      <c r="AF37" s="210"/>
      <c r="AG37" s="206"/>
    </row>
    <row r="38" spans="1:34" s="203" customFormat="1" x14ac:dyDescent="0.25">
      <c r="A38"/>
      <c r="B38" s="35" t="s">
        <v>65</v>
      </c>
      <c r="C38" s="205">
        <f>-ha_tyo!F38</f>
        <v>0</v>
      </c>
      <c r="D38" s="134">
        <f>-ha_muu!F38</f>
        <v>0</v>
      </c>
      <c r="E38" s="134">
        <f>-jl_tyo!F38</f>
        <v>0</v>
      </c>
      <c r="F38" s="132">
        <f>-jl_muu!F38</f>
        <v>0</v>
      </c>
      <c r="G38"/>
      <c r="H38" s="214"/>
      <c r="I38" s="205">
        <f>-ka!F38</f>
        <v>0</v>
      </c>
      <c r="J38" s="134">
        <f>-yhd!F38</f>
        <v>0</v>
      </c>
      <c r="K38" s="132">
        <f>-pa!F38</f>
        <v>0</v>
      </c>
      <c r="M38" s="240">
        <f>SUM(C38:L38)</f>
        <v>0</v>
      </c>
      <c r="N38" s="206"/>
      <c r="O38" s="206"/>
      <c r="P38" s="210"/>
      <c r="Q38" s="210"/>
      <c r="R38" s="210"/>
      <c r="S38" s="210"/>
      <c r="T38" s="210"/>
      <c r="U38" s="206"/>
      <c r="V38" s="210"/>
      <c r="W38" s="210"/>
      <c r="X38" s="210"/>
      <c r="Y38" s="210"/>
      <c r="Z38" s="210"/>
      <c r="AA38" s="206"/>
      <c r="AB38" s="210"/>
      <c r="AC38" s="210"/>
      <c r="AD38" s="210"/>
      <c r="AE38" s="210"/>
      <c r="AF38" s="210"/>
      <c r="AG38" s="206"/>
    </row>
    <row r="39" spans="1:34" s="203" customFormat="1" ht="15" customHeight="1" thickBot="1" x14ac:dyDescent="0.3">
      <c r="A39"/>
      <c r="B39" s="57" t="s">
        <v>11</v>
      </c>
      <c r="C39" s="245">
        <f>SUM(C37:C38)</f>
        <v>0</v>
      </c>
      <c r="D39" s="67">
        <f>SUM(D37:D38)</f>
        <v>0</v>
      </c>
      <c r="E39" s="67">
        <f>SUM(E37:E38)</f>
        <v>0</v>
      </c>
      <c r="F39" s="81">
        <f>SUM(F37:F38)</f>
        <v>0</v>
      </c>
      <c r="G39"/>
      <c r="H39" s="214"/>
      <c r="I39" s="245">
        <f>SUM(I37:I38)</f>
        <v>0</v>
      </c>
      <c r="J39" s="67">
        <f>SUM(J37:J38)</f>
        <v>0</v>
      </c>
      <c r="K39" s="81">
        <f>SUM(K37:K38)</f>
        <v>0</v>
      </c>
      <c r="M39" s="241">
        <f>SUM(C39:L39)</f>
        <v>0</v>
      </c>
      <c r="N39" s="206"/>
      <c r="O39" s="206"/>
      <c r="P39" s="210"/>
      <c r="Q39" s="210"/>
      <c r="R39" s="210"/>
      <c r="S39" s="210"/>
      <c r="T39" s="210"/>
      <c r="U39" s="206"/>
      <c r="V39" s="210"/>
      <c r="W39" s="210"/>
      <c r="X39" s="210"/>
      <c r="Y39" s="210"/>
      <c r="Z39" s="210"/>
      <c r="AA39" s="206"/>
      <c r="AB39" s="210"/>
      <c r="AC39" s="210"/>
      <c r="AD39" s="210"/>
      <c r="AE39" s="210"/>
      <c r="AF39" s="210"/>
      <c r="AG39" s="206"/>
    </row>
    <row r="40" spans="1:34" s="203" customFormat="1" ht="15" customHeight="1" thickBot="1" x14ac:dyDescent="0.3">
      <c r="A40"/>
      <c r="B40"/>
      <c r="C40"/>
      <c r="D40"/>
      <c r="E40"/>
      <c r="F40"/>
      <c r="G40"/>
      <c r="H40" s="213"/>
      <c r="I40"/>
      <c r="J40"/>
      <c r="K40"/>
      <c r="M40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</row>
    <row r="41" spans="1:34" s="203" customFormat="1" ht="15" customHeight="1" thickBot="1" x14ac:dyDescent="0.3">
      <c r="A41"/>
      <c r="B41" s="96">
        <f>Diskonttaus!B6</f>
        <v>2050</v>
      </c>
      <c r="C41" s="32" t="s">
        <v>168</v>
      </c>
      <c r="D41" s="32" t="s">
        <v>169</v>
      </c>
      <c r="E41" s="51" t="s">
        <v>172</v>
      </c>
      <c r="F41" s="76" t="s">
        <v>173</v>
      </c>
      <c r="G41"/>
      <c r="H41" s="213"/>
      <c r="I41" s="187" t="s">
        <v>77</v>
      </c>
      <c r="J41" s="30" t="s">
        <v>120</v>
      </c>
      <c r="K41" s="62" t="s">
        <v>75</v>
      </c>
      <c r="M41" s="96" t="s">
        <v>11</v>
      </c>
      <c r="N41" s="206"/>
      <c r="O41" s="206"/>
      <c r="P41" s="209"/>
      <c r="Q41" s="209"/>
      <c r="R41" s="209"/>
      <c r="S41" s="206"/>
      <c r="T41" s="206"/>
      <c r="U41" s="206"/>
      <c r="V41" s="209"/>
      <c r="W41" s="209"/>
      <c r="X41" s="209"/>
      <c r="Y41" s="206"/>
      <c r="Z41" s="206"/>
      <c r="AA41" s="206"/>
      <c r="AB41" s="209"/>
      <c r="AC41" s="209"/>
      <c r="AD41" s="209"/>
      <c r="AE41" s="206"/>
      <c r="AF41" s="206"/>
      <c r="AG41" s="206"/>
    </row>
    <row r="42" spans="1:34" s="203" customFormat="1" x14ac:dyDescent="0.25">
      <c r="A42"/>
      <c r="B42" s="56" t="s">
        <v>64</v>
      </c>
      <c r="C42" s="204">
        <f>-ha_tyo!F42</f>
        <v>0</v>
      </c>
      <c r="D42" s="133">
        <f>-ha_muu!F42</f>
        <v>0</v>
      </c>
      <c r="E42" s="133">
        <f>-jl_tyo!F42</f>
        <v>0</v>
      </c>
      <c r="F42" s="87">
        <f>-jl_muu!F42</f>
        <v>0</v>
      </c>
      <c r="G42"/>
      <c r="H42" s="214"/>
      <c r="I42" s="244">
        <f>-ka!F42</f>
        <v>0</v>
      </c>
      <c r="J42" s="72">
        <f>-yhd!G42</f>
        <v>0</v>
      </c>
      <c r="K42" s="212">
        <f>-pa!F42</f>
        <v>0</v>
      </c>
      <c r="M42" s="239">
        <f>SUM(C42:L42)</f>
        <v>0</v>
      </c>
      <c r="N42" s="206"/>
      <c r="O42" s="206"/>
      <c r="P42" s="210"/>
      <c r="Q42" s="210"/>
      <c r="R42" s="210"/>
      <c r="S42" s="210"/>
      <c r="T42" s="210"/>
      <c r="U42" s="206"/>
      <c r="V42" s="210"/>
      <c r="W42" s="210"/>
      <c r="X42" s="210"/>
      <c r="Y42" s="210"/>
      <c r="Z42" s="210"/>
      <c r="AA42" s="206"/>
      <c r="AB42" s="210"/>
      <c r="AC42" s="210"/>
      <c r="AD42" s="210"/>
      <c r="AE42" s="210"/>
      <c r="AF42" s="210"/>
      <c r="AG42" s="206"/>
    </row>
    <row r="43" spans="1:34" s="203" customFormat="1" x14ac:dyDescent="0.25">
      <c r="A43"/>
      <c r="B43" s="35" t="s">
        <v>65</v>
      </c>
      <c r="C43" s="205">
        <f>-ha_tyo!F43</f>
        <v>0</v>
      </c>
      <c r="D43" s="134">
        <f>-ha_muu!F43</f>
        <v>0</v>
      </c>
      <c r="E43" s="134">
        <f>-jl_tyo!F43</f>
        <v>0</v>
      </c>
      <c r="F43" s="87">
        <f>-jl_muu!F43</f>
        <v>0</v>
      </c>
      <c r="G43"/>
      <c r="H43" s="214"/>
      <c r="I43" s="204">
        <f>-ka!F43</f>
        <v>0</v>
      </c>
      <c r="J43" s="134">
        <f>-yhd!G43</f>
        <v>0</v>
      </c>
      <c r="K43" s="132">
        <f>-pa!F43</f>
        <v>0</v>
      </c>
      <c r="M43" s="240">
        <f>SUM(C43:L43)</f>
        <v>0</v>
      </c>
      <c r="N43" s="206"/>
      <c r="O43" s="206"/>
      <c r="P43" s="210"/>
      <c r="Q43" s="210"/>
      <c r="R43" s="210"/>
      <c r="S43" s="210"/>
      <c r="T43" s="210"/>
      <c r="U43" s="206"/>
      <c r="V43" s="210"/>
      <c r="W43" s="210"/>
      <c r="X43" s="210"/>
      <c r="Y43" s="210"/>
      <c r="Z43" s="210"/>
      <c r="AA43" s="206"/>
      <c r="AB43" s="210"/>
      <c r="AC43" s="210"/>
      <c r="AD43" s="210"/>
      <c r="AE43" s="210"/>
      <c r="AF43" s="210"/>
      <c r="AG43" s="206"/>
    </row>
    <row r="44" spans="1:34" s="203" customFormat="1" ht="15" customHeight="1" thickBot="1" x14ac:dyDescent="0.3">
      <c r="A44"/>
      <c r="B44" s="57" t="s">
        <v>11</v>
      </c>
      <c r="C44" s="53">
        <f>SUM(C42:C43)</f>
        <v>0</v>
      </c>
      <c r="D44" s="46">
        <f>SUM(D42:D43)</f>
        <v>0</v>
      </c>
      <c r="E44" s="67">
        <f>SUM(E42:E43)</f>
        <v>0</v>
      </c>
      <c r="F44" s="81">
        <f>SUM(F42:F43)</f>
        <v>0</v>
      </c>
      <c r="G44"/>
      <c r="H44" s="213"/>
      <c r="I44" s="245">
        <f>SUM(I42:I43)</f>
        <v>0</v>
      </c>
      <c r="J44" s="67">
        <f>SUM(J42:J43)</f>
        <v>0</v>
      </c>
      <c r="K44" s="81">
        <f>SUM(K42:K43)</f>
        <v>0</v>
      </c>
      <c r="M44" s="241">
        <f>SUM(C44:L44)</f>
        <v>0</v>
      </c>
      <c r="N44" s="206"/>
      <c r="O44" s="206"/>
      <c r="P44" s="210"/>
      <c r="Q44" s="210"/>
      <c r="R44" s="210"/>
      <c r="S44" s="210"/>
      <c r="T44" s="210"/>
      <c r="U44" s="206"/>
      <c r="V44" s="210"/>
      <c r="W44" s="210"/>
      <c r="X44" s="210"/>
      <c r="Y44" s="210"/>
      <c r="Z44" s="210"/>
      <c r="AA44" s="206"/>
      <c r="AB44" s="210"/>
      <c r="AC44" s="210"/>
      <c r="AD44" s="210"/>
      <c r="AE44" s="210"/>
      <c r="AF44" s="210"/>
      <c r="AG44" s="206"/>
    </row>
    <row r="45" spans="1:34" s="203" customFormat="1" ht="15" customHeight="1" thickBot="1" x14ac:dyDescent="0.3">
      <c r="A45"/>
      <c r="B45"/>
      <c r="C45"/>
      <c r="D45"/>
      <c r="E45"/>
      <c r="F45"/>
      <c r="G45"/>
      <c r="H45" s="213"/>
      <c r="I45" s="213"/>
      <c r="J45" s="213"/>
      <c r="K45"/>
      <c r="M45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</row>
    <row r="46" spans="1:34" s="203" customFormat="1" ht="21.6" customHeight="1" thickBot="1" x14ac:dyDescent="0.4">
      <c r="A46"/>
      <c r="B46" s="138" t="s">
        <v>66</v>
      </c>
      <c r="C46" s="213"/>
      <c r="D46" s="213"/>
      <c r="E46" s="213"/>
      <c r="F46" s="213"/>
      <c r="G46" s="213"/>
      <c r="H46" s="213"/>
      <c r="I46" s="213"/>
      <c r="J46" s="213"/>
      <c r="K46" s="213"/>
      <c r="M46" s="243">
        <f ca="1">IF(ISNUMBER(Diskonttaus!B27),Diskonttaus!B26*Kayttajahyodyt!M39+Diskonttaus!B27*Kayttajahyodyt!M44,Diskonttaus!B26*Kayttajahyodyt!M39)</f>
        <v>0</v>
      </c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</row>
    <row r="47" spans="1:34" s="203" customFormat="1" x14ac:dyDescent="0.25">
      <c r="A47"/>
      <c r="B47"/>
      <c r="C47"/>
      <c r="D47"/>
      <c r="E47"/>
      <c r="F47"/>
      <c r="G47"/>
      <c r="H47"/>
      <c r="I47"/>
      <c r="J47"/>
      <c r="K47"/>
      <c r="M47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</row>
    <row r="48" spans="1:34" s="203" customFormat="1" x14ac:dyDescent="0.25">
      <c r="A48"/>
      <c r="B48"/>
      <c r="C48"/>
      <c r="D48"/>
      <c r="E48"/>
      <c r="F48"/>
      <c r="G48"/>
      <c r="H48"/>
      <c r="I48"/>
      <c r="J48"/>
      <c r="K48"/>
      <c r="N48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</row>
    <row r="49" spans="1:34" s="203" customFormat="1" x14ac:dyDescent="0.25">
      <c r="A49"/>
      <c r="B49"/>
      <c r="C49"/>
      <c r="D49"/>
      <c r="E49"/>
      <c r="F49"/>
      <c r="G49"/>
      <c r="H49"/>
      <c r="I49"/>
      <c r="J49"/>
      <c r="K49"/>
      <c r="N49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</row>
    <row r="50" spans="1:34" s="203" customFormat="1" x14ac:dyDescent="0.25"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</row>
    <row r="57" spans="1:34" ht="21" customHeight="1" x14ac:dyDescent="0.35">
      <c r="B57" s="131" t="s">
        <v>69</v>
      </c>
    </row>
    <row r="59" spans="1:34" ht="15" customHeight="1" thickBot="1" x14ac:dyDescent="0.3">
      <c r="B59" s="41" t="s">
        <v>70</v>
      </c>
    </row>
    <row r="60" spans="1:34" ht="15" customHeight="1" thickBot="1" x14ac:dyDescent="0.3">
      <c r="B60" s="31" t="s">
        <v>71</v>
      </c>
      <c r="C60" s="30" t="s">
        <v>72</v>
      </c>
      <c r="D60" s="27" t="s">
        <v>73</v>
      </c>
      <c r="E60" s="28" t="s">
        <v>74</v>
      </c>
    </row>
    <row r="61" spans="1:34" x14ac:dyDescent="0.25">
      <c r="B61" s="26" t="s">
        <v>56</v>
      </c>
      <c r="C61" s="154">
        <f>0.01*6.73</f>
        <v>6.7300000000000013E-2</v>
      </c>
      <c r="D61" s="155">
        <f>0.01*6.06</f>
        <v>6.0599999999999994E-2</v>
      </c>
      <c r="E61" s="156">
        <f>C61+D61</f>
        <v>0.12790000000000001</v>
      </c>
    </row>
    <row r="62" spans="1:34" x14ac:dyDescent="0.25">
      <c r="B62" s="38" t="s">
        <v>75</v>
      </c>
      <c r="C62" s="157">
        <f>0.01*10.69</f>
        <v>0.1069</v>
      </c>
      <c r="D62" s="158">
        <f>0.01*8.11</f>
        <v>8.1099999999999992E-2</v>
      </c>
      <c r="E62" s="246">
        <f>C62+D62</f>
        <v>0.188</v>
      </c>
    </row>
    <row r="63" spans="1:34" x14ac:dyDescent="0.25">
      <c r="B63" s="38" t="s">
        <v>76</v>
      </c>
      <c r="C63" s="157">
        <f>0.01*30.9</f>
        <v>0.309</v>
      </c>
      <c r="D63" s="158">
        <f>0.01*13.25</f>
        <v>0.13250000000000001</v>
      </c>
      <c r="E63" s="246">
        <f t="shared" ref="E63:E65" si="4">C63+D63</f>
        <v>0.4415</v>
      </c>
    </row>
    <row r="64" spans="1:34" x14ac:dyDescent="0.25">
      <c r="B64" s="38" t="s">
        <v>77</v>
      </c>
      <c r="C64" s="157">
        <f>0.01*22.34</f>
        <v>0.22340000000000002</v>
      </c>
      <c r="D64" s="158">
        <f>0.01*9.55</f>
        <v>9.5500000000000015E-2</v>
      </c>
      <c r="E64" s="246">
        <f t="shared" si="4"/>
        <v>0.31890000000000002</v>
      </c>
    </row>
    <row r="65" spans="2:17 16384:16384" ht="15" customHeight="1" thickBot="1" x14ac:dyDescent="0.3">
      <c r="B65" s="39" t="s">
        <v>78</v>
      </c>
      <c r="C65" s="159">
        <f>0.01*40</f>
        <v>0.4</v>
      </c>
      <c r="D65" s="160">
        <f>0.01*24.74</f>
        <v>0.24739999999999998</v>
      </c>
      <c r="E65" s="247">
        <f t="shared" si="4"/>
        <v>0.64739999999999998</v>
      </c>
    </row>
    <row r="66" spans="2:17 16384:16384" x14ac:dyDescent="0.25">
      <c r="XFD66" s="40"/>
    </row>
    <row r="68" spans="2:17 16384:16384" ht="15" customHeight="1" thickBot="1" x14ac:dyDescent="0.3"/>
    <row r="69" spans="2:17 16384:16384" ht="15" customHeight="1" thickBot="1" x14ac:dyDescent="0.3">
      <c r="B69" s="31" t="s">
        <v>79</v>
      </c>
      <c r="C69" s="32">
        <f>Diskonttaus!B4</f>
        <v>2030</v>
      </c>
      <c r="D69" s="20"/>
      <c r="E69" s="20"/>
      <c r="H69" s="31" t="s">
        <v>80</v>
      </c>
      <c r="I69" s="32">
        <f>Diskonttaus!B4</f>
        <v>2030</v>
      </c>
      <c r="J69" s="20"/>
      <c r="K69" s="20"/>
      <c r="N69" s="31" t="s">
        <v>81</v>
      </c>
      <c r="O69" s="32">
        <f>Diskonttaus!B4</f>
        <v>2030</v>
      </c>
      <c r="P69" s="20"/>
      <c r="Q69" s="20"/>
    </row>
    <row r="70" spans="2:17 16384:16384" x14ac:dyDescent="0.25">
      <c r="B70" s="21" t="s">
        <v>56</v>
      </c>
      <c r="C70" s="24">
        <f>300*Ulkoisvaikutukset!O19</f>
        <v>0</v>
      </c>
      <c r="D70" s="22"/>
      <c r="E70" s="22"/>
      <c r="H70" s="26" t="s">
        <v>56</v>
      </c>
      <c r="I70" s="105">
        <f>$D61*C70</f>
        <v>0</v>
      </c>
      <c r="J70" s="106"/>
      <c r="K70" s="194"/>
      <c r="N70" s="26" t="s">
        <v>56</v>
      </c>
      <c r="O70" s="105">
        <f>$C61*C70</f>
        <v>0</v>
      </c>
      <c r="P70" s="106"/>
      <c r="Q70" s="194"/>
    </row>
    <row r="71" spans="2:17 16384:16384" x14ac:dyDescent="0.25">
      <c r="B71" s="35" t="s">
        <v>75</v>
      </c>
      <c r="C71" s="36">
        <f>300*(Ulkoisvaikutukset!O20)</f>
        <v>0</v>
      </c>
      <c r="D71" s="37"/>
      <c r="E71" s="37"/>
      <c r="H71" s="38" t="s">
        <v>75</v>
      </c>
      <c r="I71" s="107">
        <f>$D62*C71</f>
        <v>0</v>
      </c>
      <c r="J71" s="108"/>
      <c r="K71" s="195"/>
      <c r="N71" s="38" t="s">
        <v>75</v>
      </c>
      <c r="O71" s="107">
        <f>$C62*C71</f>
        <v>0</v>
      </c>
      <c r="P71" s="108"/>
      <c r="Q71" s="195"/>
    </row>
    <row r="72" spans="2:17 16384:16384" x14ac:dyDescent="0.25">
      <c r="B72" s="35" t="s">
        <v>76</v>
      </c>
      <c r="C72" s="36">
        <f>300*Ulkoisvaikutukset!O15</f>
        <v>0</v>
      </c>
      <c r="D72" s="37"/>
      <c r="E72" s="37"/>
      <c r="H72" s="38" t="s">
        <v>76</v>
      </c>
      <c r="I72" s="107">
        <f>$D63*C72</f>
        <v>0</v>
      </c>
      <c r="J72" s="108"/>
      <c r="K72" s="195"/>
      <c r="N72" s="38" t="s">
        <v>76</v>
      </c>
      <c r="O72" s="107">
        <f>$C63*C72</f>
        <v>0</v>
      </c>
      <c r="P72" s="108"/>
      <c r="Q72" s="195"/>
    </row>
    <row r="73" spans="2:17 16384:16384" x14ac:dyDescent="0.25">
      <c r="B73" s="35" t="s">
        <v>77</v>
      </c>
      <c r="C73" s="36">
        <f>300*Ulkoisvaikutukset!O21</f>
        <v>0</v>
      </c>
      <c r="D73" s="37"/>
      <c r="E73" s="37"/>
      <c r="H73" s="38" t="s">
        <v>77</v>
      </c>
      <c r="I73" s="107">
        <f>$D64*C73</f>
        <v>0</v>
      </c>
      <c r="J73" s="108"/>
      <c r="K73" s="195"/>
      <c r="N73" s="38" t="s">
        <v>77</v>
      </c>
      <c r="O73" s="107">
        <f>$C64*C73</f>
        <v>0</v>
      </c>
      <c r="P73" s="108"/>
      <c r="Q73" s="195"/>
    </row>
    <row r="74" spans="2:17 16384:16384" ht="15" customHeight="1" thickBot="1" x14ac:dyDescent="0.3">
      <c r="B74" s="33" t="s">
        <v>78</v>
      </c>
      <c r="C74" s="25">
        <f>300*Ulkoisvaikutukset!O22</f>
        <v>0</v>
      </c>
      <c r="D74" s="34"/>
      <c r="E74" s="34"/>
      <c r="H74" s="39" t="s">
        <v>78</v>
      </c>
      <c r="I74" s="109">
        <f>$D65*C74</f>
        <v>0</v>
      </c>
      <c r="J74" s="110"/>
      <c r="K74" s="196"/>
      <c r="N74" s="39" t="s">
        <v>78</v>
      </c>
      <c r="O74" s="109">
        <f>$C65*C74</f>
        <v>0</v>
      </c>
      <c r="P74" s="110"/>
      <c r="Q74" s="196"/>
    </row>
    <row r="75" spans="2:17 16384:16384" ht="15" customHeight="1" thickBot="1" x14ac:dyDescent="0.3">
      <c r="H75" s="10" t="s">
        <v>74</v>
      </c>
      <c r="I75" s="111">
        <f>SUM(I70:I74)</f>
        <v>0</v>
      </c>
      <c r="J75" s="111"/>
      <c r="K75" s="111"/>
      <c r="M75" s="24"/>
      <c r="N75" s="10" t="s">
        <v>74</v>
      </c>
      <c r="O75" s="111">
        <f>SUM(O70:O74)</f>
        <v>0</v>
      </c>
      <c r="P75" s="111"/>
      <c r="Q75" s="111"/>
    </row>
    <row r="76" spans="2:17 16384:16384" ht="15" customHeight="1" thickBot="1" x14ac:dyDescent="0.3">
      <c r="B76" s="31" t="s">
        <v>79</v>
      </c>
      <c r="C76" s="32">
        <f>Diskonttaus!B6</f>
        <v>2050</v>
      </c>
      <c r="D76" s="20"/>
      <c r="E76" s="20"/>
      <c r="H76" s="31" t="s">
        <v>80</v>
      </c>
      <c r="I76" s="32">
        <f>Diskonttaus!B6</f>
        <v>2050</v>
      </c>
      <c r="J76" s="20"/>
      <c r="K76" s="20"/>
      <c r="N76" s="31" t="s">
        <v>81</v>
      </c>
      <c r="O76" s="32">
        <f>Diskonttaus!B6</f>
        <v>2050</v>
      </c>
      <c r="P76" s="20"/>
      <c r="Q76" s="20"/>
    </row>
    <row r="77" spans="2:17 16384:16384" x14ac:dyDescent="0.25">
      <c r="B77" s="21" t="s">
        <v>56</v>
      </c>
      <c r="C77" s="24">
        <f>300*Ulkoisvaikutukset!O32</f>
        <v>0</v>
      </c>
      <c r="D77" s="29"/>
      <c r="E77" s="29"/>
      <c r="H77" s="26" t="s">
        <v>56</v>
      </c>
      <c r="I77" s="105">
        <f>$D61*C77</f>
        <v>0</v>
      </c>
      <c r="J77" s="106"/>
      <c r="K77" s="194"/>
      <c r="N77" s="26" t="s">
        <v>56</v>
      </c>
      <c r="O77" s="105">
        <f>$C61*C77</f>
        <v>0</v>
      </c>
      <c r="P77" s="106"/>
      <c r="Q77" s="194"/>
    </row>
    <row r="78" spans="2:17 16384:16384" x14ac:dyDescent="0.25">
      <c r="B78" s="35" t="s">
        <v>75</v>
      </c>
      <c r="C78" s="36">
        <f>300*Ulkoisvaikutukset!O33</f>
        <v>0</v>
      </c>
      <c r="D78" s="9"/>
      <c r="E78" s="9"/>
      <c r="H78" s="38" t="s">
        <v>75</v>
      </c>
      <c r="I78" s="107">
        <f>$D62*C78</f>
        <v>0</v>
      </c>
      <c r="J78" s="108"/>
      <c r="K78" s="195"/>
      <c r="N78" s="38" t="s">
        <v>75</v>
      </c>
      <c r="O78" s="107">
        <f>$C62*C78</f>
        <v>0</v>
      </c>
      <c r="P78" s="108"/>
      <c r="Q78" s="195"/>
    </row>
    <row r="79" spans="2:17 16384:16384" x14ac:dyDescent="0.25">
      <c r="B79" s="35" t="s">
        <v>76</v>
      </c>
      <c r="C79" s="36">
        <f>300*Ulkoisvaikutukset!O28</f>
        <v>0</v>
      </c>
      <c r="D79" s="9"/>
      <c r="E79" s="9"/>
      <c r="H79" s="38" t="s">
        <v>76</v>
      </c>
      <c r="I79" s="107">
        <f>$D63*C79</f>
        <v>0</v>
      </c>
      <c r="J79" s="108"/>
      <c r="K79" s="195"/>
      <c r="N79" s="38" t="s">
        <v>76</v>
      </c>
      <c r="O79" s="107">
        <f>$C63*C79</f>
        <v>0</v>
      </c>
      <c r="P79" s="108"/>
      <c r="Q79" s="195"/>
    </row>
    <row r="80" spans="2:17 16384:16384" x14ac:dyDescent="0.25">
      <c r="B80" s="35" t="s">
        <v>77</v>
      </c>
      <c r="C80" s="36">
        <f>300*Ulkoisvaikutukset!O34</f>
        <v>0</v>
      </c>
      <c r="D80" s="9"/>
      <c r="E80" s="9"/>
      <c r="H80" s="38" t="s">
        <v>77</v>
      </c>
      <c r="I80" s="107">
        <f>$D64*C80</f>
        <v>0</v>
      </c>
      <c r="J80" s="108"/>
      <c r="K80" s="195"/>
      <c r="N80" s="38" t="s">
        <v>77</v>
      </c>
      <c r="O80" s="107">
        <f>$C64*C80</f>
        <v>0</v>
      </c>
      <c r="P80" s="108"/>
      <c r="Q80" s="195"/>
    </row>
    <row r="81" spans="2:17" ht="15" customHeight="1" thickBot="1" x14ac:dyDescent="0.3">
      <c r="B81" s="33" t="s">
        <v>78</v>
      </c>
      <c r="C81" s="25">
        <f>300*Ulkoisvaikutukset!O35</f>
        <v>0</v>
      </c>
      <c r="D81" s="23"/>
      <c r="E81" s="23"/>
      <c r="H81" s="39" t="s">
        <v>78</v>
      </c>
      <c r="I81" s="109">
        <f>$D65*C81</f>
        <v>0</v>
      </c>
      <c r="J81" s="110"/>
      <c r="K81" s="196"/>
      <c r="N81" s="39" t="s">
        <v>78</v>
      </c>
      <c r="O81" s="109">
        <f>$C65*C81</f>
        <v>0</v>
      </c>
      <c r="P81" s="110"/>
      <c r="Q81" s="196"/>
    </row>
    <row r="82" spans="2:17" x14ac:dyDescent="0.25">
      <c r="B82" s="10"/>
      <c r="C82" s="104"/>
      <c r="D82" s="24"/>
      <c r="E82" s="24"/>
      <c r="G82" s="24"/>
      <c r="H82" s="10" t="s">
        <v>74</v>
      </c>
      <c r="I82" s="111">
        <f>SUM(I77:I81)</f>
        <v>0</v>
      </c>
      <c r="J82" s="111"/>
      <c r="K82" s="111"/>
      <c r="M82" s="24"/>
      <c r="N82" s="10" t="s">
        <v>74</v>
      </c>
      <c r="O82" s="111">
        <f>SUM(O77:O81)</f>
        <v>0</v>
      </c>
      <c r="P82" s="111"/>
      <c r="Q82" s="111"/>
    </row>
    <row r="85" spans="2:17" x14ac:dyDescent="0.25">
      <c r="B85" s="10" t="s">
        <v>82</v>
      </c>
    </row>
    <row r="88" spans="2:17" x14ac:dyDescent="0.25">
      <c r="B88" s="17"/>
    </row>
    <row r="92" spans="2:17" x14ac:dyDescent="0.25">
      <c r="B92" s="24"/>
    </row>
    <row r="93" spans="2:17" x14ac:dyDescent="0.25">
      <c r="B93" s="24"/>
    </row>
    <row r="98" s="119" customForma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workbookViewId="0">
      <selection activeCell="H13" sqref="H1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56</v>
      </c>
      <c r="B1" t="s">
        <v>165</v>
      </c>
    </row>
    <row r="2" spans="1:6" ht="15.75" thickBot="1" x14ac:dyDescent="0.3">
      <c r="B2" t="s">
        <v>190</v>
      </c>
    </row>
    <row r="3" spans="1:6" ht="15.75" thickBot="1" x14ac:dyDescent="0.3">
      <c r="B3" s="187" t="s">
        <v>59</v>
      </c>
      <c r="C3" s="27" t="s">
        <v>60</v>
      </c>
      <c r="D3" s="28" t="s">
        <v>61</v>
      </c>
    </row>
    <row r="4" spans="1:6" ht="15.75" thickBot="1" x14ac:dyDescent="0.3">
      <c r="B4" s="276">
        <v>0.45600000000000002</v>
      </c>
      <c r="C4" s="277">
        <v>0.10199999999999999</v>
      </c>
      <c r="D4" s="278">
        <v>0.433</v>
      </c>
    </row>
    <row r="6" spans="1:6" x14ac:dyDescent="0.25">
      <c r="A6" t="s">
        <v>187</v>
      </c>
    </row>
    <row r="7" spans="1:6" ht="15.75" thickBot="1" x14ac:dyDescent="0.3">
      <c r="A7" s="213"/>
    </row>
    <row r="8" spans="1:6" x14ac:dyDescent="0.25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25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.75" thickBot="1" x14ac:dyDescent="0.3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.75" thickBot="1" x14ac:dyDescent="0.3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.75" thickBot="1" x14ac:dyDescent="0.3">
      <c r="A12" s="267"/>
    </row>
    <row r="13" spans="1:6" x14ac:dyDescent="0.25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25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.75" thickBot="1" x14ac:dyDescent="0.3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.75" thickBot="1" x14ac:dyDescent="0.3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25">
      <c r="A19" t="s">
        <v>188</v>
      </c>
    </row>
    <row r="20" spans="1:6" ht="15.75" thickBot="1" x14ac:dyDescent="0.3">
      <c r="A20" s="206"/>
    </row>
    <row r="21" spans="1:6" x14ac:dyDescent="0.25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25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.75" thickBot="1" x14ac:dyDescent="0.3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.75" thickBot="1" x14ac:dyDescent="0.3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.75" thickBot="1" x14ac:dyDescent="0.3">
      <c r="A25" s="271"/>
    </row>
    <row r="26" spans="1:6" x14ac:dyDescent="0.25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25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.75" thickBot="1" x14ac:dyDescent="0.3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.75" thickBot="1" x14ac:dyDescent="0.3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25">
      <c r="A32" s="97"/>
      <c r="B32" s="97"/>
      <c r="C32" s="97"/>
      <c r="D32" s="97"/>
      <c r="E32" s="97"/>
      <c r="F32" s="97"/>
    </row>
    <row r="33" spans="1:6" x14ac:dyDescent="0.25">
      <c r="A33" s="203"/>
      <c r="B33" s="203"/>
      <c r="C33" s="203"/>
      <c r="D33" s="203"/>
      <c r="E33" s="203"/>
      <c r="F33" s="203"/>
    </row>
    <row r="34" spans="1:6" x14ac:dyDescent="0.25">
      <c r="A34" t="s">
        <v>189</v>
      </c>
    </row>
    <row r="35" spans="1:6" ht="15.75" thickBot="1" x14ac:dyDescent="0.3">
      <c r="A35" s="206"/>
    </row>
    <row r="36" spans="1:6" ht="15.75" thickBot="1" x14ac:dyDescent="0.3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25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.75" thickBot="1" x14ac:dyDescent="0.3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.75" thickBot="1" x14ac:dyDescent="0.3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.75" thickBot="1" x14ac:dyDescent="0.3">
      <c r="A40" s="271"/>
    </row>
    <row r="41" spans="1:6" ht="15.75" thickBot="1" x14ac:dyDescent="0.3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25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.75" thickBot="1" x14ac:dyDescent="0.3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.75" thickBot="1" x14ac:dyDescent="0.3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56</v>
      </c>
      <c r="B1" t="s">
        <v>167</v>
      </c>
    </row>
    <row r="2" spans="1:6" ht="15.75" thickBot="1" x14ac:dyDescent="0.3">
      <c r="B2" t="s">
        <v>190</v>
      </c>
    </row>
    <row r="3" spans="1:6" ht="15.75" thickBot="1" x14ac:dyDescent="0.3">
      <c r="B3" s="187" t="s">
        <v>59</v>
      </c>
      <c r="C3" s="27" t="s">
        <v>60</v>
      </c>
      <c r="D3" s="28" t="s">
        <v>61</v>
      </c>
    </row>
    <row r="4" spans="1:6" ht="15.75" thickBot="1" x14ac:dyDescent="0.3">
      <c r="B4" s="276">
        <v>0.48799999999999999</v>
      </c>
      <c r="C4" s="277">
        <v>8.8999999999999996E-2</v>
      </c>
      <c r="D4" s="278">
        <v>0.28899999999999998</v>
      </c>
    </row>
    <row r="6" spans="1:6" x14ac:dyDescent="0.25">
      <c r="A6" t="s">
        <v>187</v>
      </c>
    </row>
    <row r="7" spans="1:6" ht="15.75" thickBot="1" x14ac:dyDescent="0.3">
      <c r="A7" s="213"/>
    </row>
    <row r="8" spans="1:6" x14ac:dyDescent="0.25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25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.75" thickBot="1" x14ac:dyDescent="0.3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.75" thickBot="1" x14ac:dyDescent="0.3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.75" thickBot="1" x14ac:dyDescent="0.3">
      <c r="A12" s="267"/>
    </row>
    <row r="13" spans="1:6" x14ac:dyDescent="0.25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25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.75" thickBot="1" x14ac:dyDescent="0.3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.75" thickBot="1" x14ac:dyDescent="0.3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25">
      <c r="A19" t="s">
        <v>188</v>
      </c>
    </row>
    <row r="20" spans="1:6" ht="15.75" thickBot="1" x14ac:dyDescent="0.3">
      <c r="A20" s="206"/>
    </row>
    <row r="21" spans="1:6" x14ac:dyDescent="0.25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25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.75" thickBot="1" x14ac:dyDescent="0.3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.75" thickBot="1" x14ac:dyDescent="0.3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.75" thickBot="1" x14ac:dyDescent="0.3">
      <c r="A25" s="271"/>
    </row>
    <row r="26" spans="1:6" x14ac:dyDescent="0.25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25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.75" thickBot="1" x14ac:dyDescent="0.3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.75" thickBot="1" x14ac:dyDescent="0.3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25">
      <c r="A32" s="97"/>
      <c r="B32" s="97"/>
      <c r="C32" s="97"/>
      <c r="D32" s="97"/>
      <c r="E32" s="97"/>
      <c r="F32" s="97"/>
    </row>
    <row r="33" spans="1:6" x14ac:dyDescent="0.25">
      <c r="A33" s="203"/>
      <c r="B33" s="203"/>
      <c r="C33" s="203"/>
      <c r="D33" s="203"/>
      <c r="E33" s="203"/>
      <c r="F33" s="203"/>
    </row>
    <row r="34" spans="1:6" x14ac:dyDescent="0.25">
      <c r="A34" t="s">
        <v>189</v>
      </c>
    </row>
    <row r="35" spans="1:6" ht="15.75" thickBot="1" x14ac:dyDescent="0.3">
      <c r="A35" s="206"/>
    </row>
    <row r="36" spans="1:6" ht="15.75" thickBot="1" x14ac:dyDescent="0.3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25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.75" thickBot="1" x14ac:dyDescent="0.3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.75" thickBot="1" x14ac:dyDescent="0.3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.75" thickBot="1" x14ac:dyDescent="0.3">
      <c r="A40" s="271"/>
    </row>
    <row r="41" spans="1:6" ht="15.75" thickBot="1" x14ac:dyDescent="0.3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25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.75" thickBot="1" x14ac:dyDescent="0.3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.75" thickBot="1" x14ac:dyDescent="0.3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>
      <selection activeCell="F5" sqref="F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57</v>
      </c>
      <c r="B1" t="s">
        <v>165</v>
      </c>
    </row>
    <row r="2" spans="1:6" ht="15.75" thickBot="1" x14ac:dyDescent="0.3">
      <c r="B2" t="s">
        <v>190</v>
      </c>
    </row>
    <row r="3" spans="1:6" ht="15.75" thickBot="1" x14ac:dyDescent="0.3">
      <c r="B3" s="187" t="s">
        <v>59</v>
      </c>
      <c r="C3" s="27" t="s">
        <v>60</v>
      </c>
      <c r="D3" s="28" t="s">
        <v>61</v>
      </c>
    </row>
    <row r="4" spans="1:6" ht="15.75" thickBot="1" x14ac:dyDescent="0.3">
      <c r="B4" s="276">
        <v>0.44500000000000001</v>
      </c>
      <c r="C4" s="277">
        <v>0.10299999999999999</v>
      </c>
      <c r="D4" s="278">
        <v>0.41399999999999998</v>
      </c>
    </row>
    <row r="6" spans="1:6" x14ac:dyDescent="0.25">
      <c r="A6" t="s">
        <v>187</v>
      </c>
    </row>
    <row r="7" spans="1:6" ht="15.75" thickBot="1" x14ac:dyDescent="0.3">
      <c r="A7" s="213"/>
    </row>
    <row r="8" spans="1:6" x14ac:dyDescent="0.25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25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.75" thickBot="1" x14ac:dyDescent="0.3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.75" thickBot="1" x14ac:dyDescent="0.3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.75" thickBot="1" x14ac:dyDescent="0.3">
      <c r="A12" s="267"/>
    </row>
    <row r="13" spans="1:6" x14ac:dyDescent="0.25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25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.75" thickBot="1" x14ac:dyDescent="0.3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.75" thickBot="1" x14ac:dyDescent="0.3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25">
      <c r="A19" t="s">
        <v>188</v>
      </c>
    </row>
    <row r="20" spans="1:6" ht="15.75" thickBot="1" x14ac:dyDescent="0.3">
      <c r="A20" s="206"/>
    </row>
    <row r="21" spans="1:6" x14ac:dyDescent="0.25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25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.75" thickBot="1" x14ac:dyDescent="0.3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.75" thickBot="1" x14ac:dyDescent="0.3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.75" thickBot="1" x14ac:dyDescent="0.3">
      <c r="A25" s="271"/>
    </row>
    <row r="26" spans="1:6" x14ac:dyDescent="0.25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25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.75" thickBot="1" x14ac:dyDescent="0.3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.75" thickBot="1" x14ac:dyDescent="0.3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25">
      <c r="A32" s="97"/>
      <c r="B32" s="97"/>
      <c r="C32" s="97"/>
      <c r="D32" s="97"/>
      <c r="E32" s="97"/>
      <c r="F32" s="97"/>
    </row>
    <row r="33" spans="1:6" x14ac:dyDescent="0.25">
      <c r="A33" s="203"/>
      <c r="B33" s="203"/>
      <c r="C33" s="203"/>
      <c r="D33" s="203"/>
      <c r="E33" s="203"/>
      <c r="F33" s="203"/>
    </row>
    <row r="34" spans="1:6" x14ac:dyDescent="0.25">
      <c r="A34" t="s">
        <v>189</v>
      </c>
    </row>
    <row r="35" spans="1:6" ht="15.75" thickBot="1" x14ac:dyDescent="0.3">
      <c r="A35" s="206"/>
    </row>
    <row r="36" spans="1:6" ht="15.75" thickBot="1" x14ac:dyDescent="0.3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25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.75" thickBot="1" x14ac:dyDescent="0.3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.75" thickBot="1" x14ac:dyDescent="0.3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.75" thickBot="1" x14ac:dyDescent="0.3">
      <c r="A40" s="271"/>
    </row>
    <row r="41" spans="1:6" ht="15.75" thickBot="1" x14ac:dyDescent="0.3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25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.75" thickBot="1" x14ac:dyDescent="0.3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.75" thickBot="1" x14ac:dyDescent="0.3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4"/>
  <sheetViews>
    <sheetView workbookViewId="0">
      <selection activeCell="D5" sqref="D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57</v>
      </c>
      <c r="B1" t="s">
        <v>167</v>
      </c>
    </row>
    <row r="2" spans="1:6" ht="15.75" thickBot="1" x14ac:dyDescent="0.3">
      <c r="B2" t="s">
        <v>190</v>
      </c>
    </row>
    <row r="3" spans="1:6" ht="15.75" thickBot="1" x14ac:dyDescent="0.3">
      <c r="B3" s="187" t="s">
        <v>59</v>
      </c>
      <c r="C3" s="27" t="s">
        <v>60</v>
      </c>
      <c r="D3" s="28" t="s">
        <v>61</v>
      </c>
    </row>
    <row r="4" spans="1:6" ht="15.75" thickBot="1" x14ac:dyDescent="0.3">
      <c r="B4" s="276">
        <v>0.57099999999999995</v>
      </c>
      <c r="C4" s="277">
        <v>0.11700000000000001</v>
      </c>
      <c r="D4" s="278">
        <v>0.373</v>
      </c>
    </row>
    <row r="6" spans="1:6" x14ac:dyDescent="0.25">
      <c r="A6" t="s">
        <v>187</v>
      </c>
    </row>
    <row r="7" spans="1:6" ht="15.75" thickBot="1" x14ac:dyDescent="0.3">
      <c r="A7" s="213"/>
    </row>
    <row r="8" spans="1:6" x14ac:dyDescent="0.25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25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.75" thickBot="1" x14ac:dyDescent="0.3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.75" thickBot="1" x14ac:dyDescent="0.3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.75" thickBot="1" x14ac:dyDescent="0.3">
      <c r="A12" s="267"/>
    </row>
    <row r="13" spans="1:6" x14ac:dyDescent="0.25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25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.75" thickBot="1" x14ac:dyDescent="0.3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.75" thickBot="1" x14ac:dyDescent="0.3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25">
      <c r="A19" t="s">
        <v>188</v>
      </c>
    </row>
    <row r="20" spans="1:6" ht="15.75" thickBot="1" x14ac:dyDescent="0.3">
      <c r="A20" s="206"/>
    </row>
    <row r="21" spans="1:6" x14ac:dyDescent="0.25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25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.75" thickBot="1" x14ac:dyDescent="0.3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.75" thickBot="1" x14ac:dyDescent="0.3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.75" thickBot="1" x14ac:dyDescent="0.3">
      <c r="A25" s="271"/>
    </row>
    <row r="26" spans="1:6" x14ac:dyDescent="0.25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25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.75" thickBot="1" x14ac:dyDescent="0.3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.75" thickBot="1" x14ac:dyDescent="0.3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25">
      <c r="A32" s="97"/>
      <c r="B32" s="97"/>
      <c r="C32" s="97"/>
      <c r="D32" s="97"/>
      <c r="E32" s="97"/>
      <c r="F32" s="97"/>
    </row>
    <row r="33" spans="1:6" x14ac:dyDescent="0.25">
      <c r="A33" s="203"/>
      <c r="B33" s="203"/>
      <c r="C33" s="203"/>
      <c r="D33" s="203"/>
      <c r="E33" s="203"/>
      <c r="F33" s="203"/>
    </row>
    <row r="34" spans="1:6" x14ac:dyDescent="0.25">
      <c r="A34" t="s">
        <v>189</v>
      </c>
    </row>
    <row r="35" spans="1:6" ht="15.75" thickBot="1" x14ac:dyDescent="0.3">
      <c r="A35" s="206"/>
    </row>
    <row r="36" spans="1:6" ht="15.75" thickBot="1" x14ac:dyDescent="0.3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25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.75" thickBot="1" x14ac:dyDescent="0.3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.75" thickBot="1" x14ac:dyDescent="0.3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.75" thickBot="1" x14ac:dyDescent="0.3">
      <c r="A40" s="271"/>
    </row>
    <row r="41" spans="1:6" ht="15.75" thickBot="1" x14ac:dyDescent="0.3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25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.75" thickBot="1" x14ac:dyDescent="0.3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.75" thickBot="1" x14ac:dyDescent="0.3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176</v>
      </c>
      <c r="B1" t="s">
        <v>165</v>
      </c>
    </row>
    <row r="2" spans="1:6" ht="15.75" thickBot="1" x14ac:dyDescent="0.3">
      <c r="B2" t="s">
        <v>190</v>
      </c>
    </row>
    <row r="3" spans="1:6" ht="15.75" thickBot="1" x14ac:dyDescent="0.3">
      <c r="B3" s="187" t="s">
        <v>59</v>
      </c>
      <c r="C3" s="27" t="s">
        <v>60</v>
      </c>
      <c r="D3" s="28" t="s">
        <v>61</v>
      </c>
    </row>
    <row r="4" spans="1:6" ht="15.75" thickBot="1" x14ac:dyDescent="0.3">
      <c r="B4" s="276">
        <v>0.54200000000000004</v>
      </c>
      <c r="C4" s="277">
        <v>0.109</v>
      </c>
      <c r="D4" s="278">
        <v>0.5</v>
      </c>
    </row>
    <row r="6" spans="1:6" x14ac:dyDescent="0.25">
      <c r="A6" t="s">
        <v>187</v>
      </c>
    </row>
    <row r="7" spans="1:6" ht="15.75" thickBot="1" x14ac:dyDescent="0.3">
      <c r="A7" s="213"/>
    </row>
    <row r="8" spans="1:6" x14ac:dyDescent="0.25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25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.75" thickBot="1" x14ac:dyDescent="0.3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.75" thickBot="1" x14ac:dyDescent="0.3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.75" thickBot="1" x14ac:dyDescent="0.3">
      <c r="A12" s="267"/>
    </row>
    <row r="13" spans="1:6" x14ac:dyDescent="0.25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25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.75" thickBot="1" x14ac:dyDescent="0.3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.75" thickBot="1" x14ac:dyDescent="0.3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25">
      <c r="A19" t="s">
        <v>188</v>
      </c>
    </row>
    <row r="20" spans="1:6" ht="15.75" thickBot="1" x14ac:dyDescent="0.3">
      <c r="A20" s="206"/>
    </row>
    <row r="21" spans="1:6" x14ac:dyDescent="0.25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25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.75" thickBot="1" x14ac:dyDescent="0.3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.75" thickBot="1" x14ac:dyDescent="0.3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.75" thickBot="1" x14ac:dyDescent="0.3">
      <c r="A25" s="271"/>
    </row>
    <row r="26" spans="1:6" x14ac:dyDescent="0.25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25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.75" thickBot="1" x14ac:dyDescent="0.3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.75" thickBot="1" x14ac:dyDescent="0.3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25">
      <c r="A32" s="97"/>
      <c r="B32" s="97"/>
      <c r="C32" s="97"/>
      <c r="D32" s="97"/>
      <c r="E32" s="97"/>
      <c r="F32" s="97"/>
    </row>
    <row r="33" spans="1:6" x14ac:dyDescent="0.25">
      <c r="A33" s="203"/>
      <c r="B33" s="203"/>
      <c r="C33" s="203"/>
      <c r="D33" s="203"/>
      <c r="E33" s="203"/>
      <c r="F33" s="203"/>
    </row>
    <row r="34" spans="1:6" x14ac:dyDescent="0.25">
      <c r="A34" t="s">
        <v>189</v>
      </c>
    </row>
    <row r="35" spans="1:6" ht="15.75" thickBot="1" x14ac:dyDescent="0.3">
      <c r="A35" s="206"/>
    </row>
    <row r="36" spans="1:6" ht="15.75" thickBot="1" x14ac:dyDescent="0.3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25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.75" thickBot="1" x14ac:dyDescent="0.3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.75" thickBot="1" x14ac:dyDescent="0.3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.75" thickBot="1" x14ac:dyDescent="0.3">
      <c r="A40" s="271"/>
    </row>
    <row r="41" spans="1:6" ht="15.75" thickBot="1" x14ac:dyDescent="0.3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25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.75" thickBot="1" x14ac:dyDescent="0.3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.75" thickBot="1" x14ac:dyDescent="0.3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176</v>
      </c>
      <c r="B1" t="s">
        <v>167</v>
      </c>
    </row>
    <row r="2" spans="1:6" ht="15.75" thickBot="1" x14ac:dyDescent="0.3">
      <c r="B2" t="s">
        <v>190</v>
      </c>
    </row>
    <row r="3" spans="1:6" ht="15.75" thickBot="1" x14ac:dyDescent="0.3">
      <c r="B3" s="187" t="s">
        <v>59</v>
      </c>
      <c r="C3" s="27" t="s">
        <v>60</v>
      </c>
      <c r="D3" s="28" t="s">
        <v>61</v>
      </c>
    </row>
    <row r="4" spans="1:6" ht="15.75" thickBot="1" x14ac:dyDescent="0.3">
      <c r="B4" s="276">
        <v>0.72499999999999998</v>
      </c>
      <c r="C4" s="277">
        <v>0.10299999999999999</v>
      </c>
      <c r="D4" s="278">
        <v>0.33200000000000002</v>
      </c>
    </row>
    <row r="6" spans="1:6" x14ac:dyDescent="0.25">
      <c r="A6" t="s">
        <v>187</v>
      </c>
    </row>
    <row r="7" spans="1:6" ht="15.75" thickBot="1" x14ac:dyDescent="0.3">
      <c r="A7" s="213"/>
    </row>
    <row r="8" spans="1:6" x14ac:dyDescent="0.25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25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.75" thickBot="1" x14ac:dyDescent="0.3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.75" thickBot="1" x14ac:dyDescent="0.3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.75" thickBot="1" x14ac:dyDescent="0.3">
      <c r="A12" s="267"/>
    </row>
    <row r="13" spans="1:6" x14ac:dyDescent="0.25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25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.75" thickBot="1" x14ac:dyDescent="0.3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.75" thickBot="1" x14ac:dyDescent="0.3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25">
      <c r="A19" t="s">
        <v>188</v>
      </c>
    </row>
    <row r="20" spans="1:6" ht="15.75" thickBot="1" x14ac:dyDescent="0.3">
      <c r="A20" s="206"/>
    </row>
    <row r="21" spans="1:6" x14ac:dyDescent="0.25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25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.75" thickBot="1" x14ac:dyDescent="0.3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.75" thickBot="1" x14ac:dyDescent="0.3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.75" thickBot="1" x14ac:dyDescent="0.3">
      <c r="A25" s="271"/>
    </row>
    <row r="26" spans="1:6" x14ac:dyDescent="0.25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25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.75" thickBot="1" x14ac:dyDescent="0.3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.75" thickBot="1" x14ac:dyDescent="0.3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25">
      <c r="A32" s="97"/>
      <c r="B32" s="97"/>
      <c r="C32" s="97"/>
      <c r="D32" s="97"/>
      <c r="E32" s="97"/>
      <c r="F32" s="97"/>
    </row>
    <row r="33" spans="1:6" x14ac:dyDescent="0.25">
      <c r="A33" s="203"/>
      <c r="B33" s="203"/>
      <c r="C33" s="203"/>
      <c r="D33" s="203"/>
      <c r="E33" s="203"/>
      <c r="F33" s="203"/>
    </row>
    <row r="34" spans="1:6" x14ac:dyDescent="0.25">
      <c r="A34" t="s">
        <v>189</v>
      </c>
    </row>
    <row r="35" spans="1:6" ht="15.75" thickBot="1" x14ac:dyDescent="0.3">
      <c r="A35" s="206"/>
    </row>
    <row r="36" spans="1:6" ht="15.75" thickBot="1" x14ac:dyDescent="0.3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25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.75" thickBot="1" x14ac:dyDescent="0.3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.75" thickBot="1" x14ac:dyDescent="0.3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.75" thickBot="1" x14ac:dyDescent="0.3">
      <c r="A40" s="271"/>
    </row>
    <row r="41" spans="1:6" ht="15.75" thickBot="1" x14ac:dyDescent="0.3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25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.75" thickBot="1" x14ac:dyDescent="0.3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.75" thickBot="1" x14ac:dyDescent="0.3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yöryhmän dokumentti" ma:contentTypeID="0x0101005AF0DAC6D8B8D046AA97775D0EA0A52C00597B3796DB9FF548BDFCB0DE8988F274" ma:contentTypeVersion="18" ma:contentTypeDescription="" ma:contentTypeScope="" ma:versionID="52111fa3d5fab8e48da38903eaacec4d">
  <xsd:schema xmlns:xsd="http://www.w3.org/2001/XMLSchema" xmlns:xs="http://www.w3.org/2001/XMLSchema" xmlns:p="http://schemas.microsoft.com/office/2006/metadata/properties" xmlns:ns2="37b6a217-4fe1-4884-a4eb-572c5a1969c7" xmlns:ns3="8dde8a50-f86d-46ca-ae54-a219d58ab0f1" xmlns:ns4="4468c9de-2a81-4c06-bf49-e269715ababb" targetNamespace="http://schemas.microsoft.com/office/2006/metadata/properties" ma:root="true" ma:fieldsID="eb907d030b2bbafc68088718dbf26d11" ns2:_="" ns3:_="" ns4:_="">
    <xsd:import namespace="37b6a217-4fe1-4884-a4eb-572c5a1969c7"/>
    <xsd:import namespace="8dde8a50-f86d-46ca-ae54-a219d58ab0f1"/>
    <xsd:import namespace="4468c9de-2a81-4c06-bf49-e269715ababb"/>
    <xsd:element name="properties">
      <xsd:complexType>
        <xsd:sequence>
          <xsd:element name="documentManagement">
            <xsd:complexType>
              <xsd:all>
                <xsd:element ref="ns2:gbd2c824d606482d8ac0e417e142bc2f" minOccurs="0"/>
                <xsd:element ref="ns2:DokumentinTila" minOccurs="0"/>
                <xsd:element ref="ns2:c7e7d47415304583b97cbceafb48fc9c" minOccurs="0"/>
                <xsd:element ref="ns2:TyoryhmanNimi" minOccurs="0"/>
                <xsd:element ref="ns2:lf2a24d45b2949218b95d66f1d0b33a8" minOccurs="0"/>
                <xsd:element ref="ns3:TaxCatchAllLabel" minOccurs="0"/>
                <xsd:element ref="ns3:TaxCatchAll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6a217-4fe1-4884-a4eb-572c5a1969c7" elementFormDefault="qualified">
    <xsd:import namespace="http://schemas.microsoft.com/office/2006/documentManagement/types"/>
    <xsd:import namespace="http://schemas.microsoft.com/office/infopath/2007/PartnerControls"/>
    <xsd:element name="gbd2c824d606482d8ac0e417e142bc2f" ma:index="8" nillable="true" ma:taxonomy="true" ma:internalName="gbd2c824d606482d8ac0e417e142bc2f" ma:taxonomyFieldName="DokumentinAihe" ma:displayName="Dokumentin aihe" ma:default="" ma:fieldId="{0bd2c824-d606-482d-8ac0-e417e142bc2f}" ma:sspId="e019490b-d79b-4bd5-b86c-72cf856dbbd8" ma:termSetId="03707004-6c35-41b9-8d23-74d306b1d0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kumentinTila" ma:index="10" nillable="true" ma:displayName="Dokumentin tila" ma:default="Valmis" ma:format="Dropdown" ma:internalName="DokumentinTila">
      <xsd:simpleType>
        <xsd:restriction base="dms:Choice">
          <xsd:enumeration value="Valmis"/>
          <xsd:enumeration value="Luonnos"/>
        </xsd:restriction>
      </xsd:simpleType>
    </xsd:element>
    <xsd:element name="c7e7d47415304583b97cbceafb48fc9c" ma:index="11" nillable="true" ma:taxonomy="true" ma:internalName="c7e7d47415304583b97cbceafb48fc9c" ma:taxonomyFieldName="DokumentinTyyppi" ma:displayName="Dokumentin tyyppi" ma:default="" ma:fieldId="{c7e7d474-1530-4583-b97c-bceafb48fc9c}" ma:sspId="e019490b-d79b-4bd5-b86c-72cf856dbbd8" ma:termSetId="a0586bc7-64dc-478d-aa1a-d83d8ae7ebf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yoryhmanNimi" ma:index="13" nillable="true" ma:displayName="Työryhmän nimi" ma:internalName="TyoryhmanNimi">
      <xsd:simpleType>
        <xsd:restriction base="dms:Text">
          <xsd:maxLength value="255"/>
        </xsd:restriction>
      </xsd:simpleType>
    </xsd:element>
    <xsd:element name="lf2a24d45b2949218b95d66f1d0b33a8" ma:index="14" nillable="true" ma:taxonomy="true" ma:internalName="lf2a24d45b2949218b95d66f1d0b33a8" ma:taxonomyFieldName="WG_Osasto" ma:displayName="Osasto" ma:default="" ma:fieldId="{5f2a24d4-5b29-4921-8b95-d66f1d0b33a8}" ma:sspId="e019490b-d79b-4bd5-b86c-72cf856dbbd8" ma:termSetId="63a31e65-ec38-4db8-aaa3-57d4ee48ade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e8a50-f86d-46ca-ae54-a219d58ab0f1" elementFormDefault="qualified">
    <xsd:import namespace="http://schemas.microsoft.com/office/2006/documentManagement/types"/>
    <xsd:import namespace="http://schemas.microsoft.com/office/infopath/2007/PartnerControls"/>
    <xsd:element name="TaxCatchAllLabel" ma:index="16" nillable="true" ma:displayName="Taxonomy Catch All Column1" ma:hidden="true" ma:list="{8bf0616d-b1db-40d9-abe5-40d8947ede9c}" ma:internalName="TaxCatchAllLabel" ma:readOnly="true" ma:showField="CatchAllDataLabel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7" nillable="true" ma:displayName="Taxonomy Catch All Column" ma:hidden="true" ma:list="{8bf0616d-b1db-40d9-abe5-40d8947ede9c}" ma:internalName="TaxCatchAll" ma:showField="CatchAllData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8c9de-2a81-4c06-bf49-e269715ab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Tila xmlns="37b6a217-4fe1-4884-a4eb-572c5a1969c7" xsi:nil="true"/>
    <c7e7d47415304583b97cbceafb48fc9c xmlns="37b6a217-4fe1-4884-a4eb-572c5a1969c7">
      <Terms xmlns="http://schemas.microsoft.com/office/infopath/2007/PartnerControls">
        <TermInfo xmlns="http://schemas.microsoft.com/office/infopath/2007/PartnerControls">
          <TermName xmlns="http://schemas.microsoft.com/office/infopath/2007/PartnerControls">Taulukko</TermName>
          <TermId xmlns="http://schemas.microsoft.com/office/infopath/2007/PartnerControls">71909737-5f26-44ee-a6fd-ea06d44b9a81</TermId>
        </TermInfo>
      </Terms>
    </c7e7d47415304583b97cbceafb48fc9c>
    <TyoryhmanNimi xmlns="37b6a217-4fe1-4884-a4eb-572c5a1969c7">MAL 2019 - Kustannushyötyanalyysi</TyoryhmanNimi>
    <gbd2c824d606482d8ac0e417e142bc2f xmlns="37b6a217-4fe1-4884-a4eb-572c5a1969c7">
      <Terms xmlns="http://schemas.microsoft.com/office/infopath/2007/PartnerControls"/>
    </gbd2c824d606482d8ac0e417e142bc2f>
    <lf2a24d45b2949218b95d66f1d0b33a8 xmlns="37b6a217-4fe1-4884-a4eb-572c5a1969c7">
      <Terms xmlns="http://schemas.microsoft.com/office/infopath/2007/PartnerControls"/>
    </lf2a24d45b2949218b95d66f1d0b33a8>
    <TaxCatchAll xmlns="8dde8a50-f86d-46ca-ae54-a219d58ab0f1">
      <Value>2</Value>
    </TaxCatchAl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2FF8B0-9374-422E-84FD-E99C507D0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6a217-4fe1-4884-a4eb-572c5a1969c7"/>
    <ds:schemaRef ds:uri="8dde8a50-f86d-46ca-ae54-a219d58ab0f1"/>
    <ds:schemaRef ds:uri="4468c9de-2a81-4c06-bf49-e269715ab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D55EAC-37BA-4509-9765-6FB27F6E258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4468c9de-2a81-4c06-bf49-e269715ababb"/>
    <ds:schemaRef ds:uri="8dde8a50-f86d-46ca-ae54-a219d58ab0f1"/>
    <ds:schemaRef ds:uri="37b6a217-4fe1-4884-a4eb-572c5a1969c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B210B1-4CBB-440B-90E0-17B0C21190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16</vt:i4>
      </vt:variant>
    </vt:vector>
  </HeadingPairs>
  <TitlesOfParts>
    <vt:vector size="16" baseType="lpstr">
      <vt:lpstr>Yhteenveto</vt:lpstr>
      <vt:lpstr>Diskonttaus</vt:lpstr>
      <vt:lpstr>Kayttajahyodyt</vt:lpstr>
      <vt:lpstr>ha_tyo</vt:lpstr>
      <vt:lpstr>ha_muu</vt:lpstr>
      <vt:lpstr>jl_tyo</vt:lpstr>
      <vt:lpstr>jl_muu</vt:lpstr>
      <vt:lpstr>pp_tyo</vt:lpstr>
      <vt:lpstr>pp_muu</vt:lpstr>
      <vt:lpstr>ka</vt:lpstr>
      <vt:lpstr>yhd</vt:lpstr>
      <vt:lpstr>pa</vt:lpstr>
      <vt:lpstr>Tuottajahyodyt</vt:lpstr>
      <vt:lpstr>Ulkoisvaikutukset</vt:lpstr>
      <vt:lpstr>Julkistaloudelliset</vt:lpstr>
      <vt:lpstr>Investointikustannus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MAL-työn H/K-laskenta</dc:title>
  <dc:subject/>
  <dc:creator>West Jens</dc:creator>
  <cp:keywords/>
  <dc:description/>
  <cp:lastModifiedBy>West Jens</cp:lastModifiedBy>
  <cp:revision/>
  <dcterms:created xsi:type="dcterms:W3CDTF">2017-05-16T09:24:51Z</dcterms:created>
  <dcterms:modified xsi:type="dcterms:W3CDTF">2021-12-16T08:40:27Z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0x0101005AF0DAC6D8B8D046AA97775D0EA0A52C00597B3796DB9FF548BDFCB0DE8988F274</vt:lpwstr>
  </property>
  <property fmtid="{D5CDD505-2E9C-101B-9397-08002B2CF9AE}" pid="3" name="HSLWorkspaceDocumentType">
    <vt:lpwstr>3;#Taulukko|71909737-5f26-44ee-a6fd-ea06d44b9a81</vt:lpwstr>
  </property>
  <property fmtid="{D5CDD505-2E9C-101B-9397-08002B2CF9AE}" pid="4" name="HSLCategories">
    <vt:lpwstr/>
  </property>
  <property fmtid="{D5CDD505-2E9C-101B-9397-08002B2CF9AE}" pid="5" name="HSLWorkspaceDocumentKeywords">
    <vt:lpwstr/>
  </property>
  <property fmtid="{D5CDD505-2E9C-101B-9397-08002B2CF9AE}" pid="6" name="DokumentinTyyppi">
    <vt:lpwstr>2;#Taulukko|71909737-5f26-44ee-a6fd-ea06d44b9a81</vt:lpwstr>
  </property>
  <property fmtid="{D5CDD505-2E9C-101B-9397-08002B2CF9AE}" pid="7" name="DokumentinAihe">
    <vt:lpwstr/>
  </property>
  <property fmtid="{D5CDD505-2E9C-101B-9397-08002B2CF9AE}" pid="8" name="WG_Osasto">
    <vt:lpwstr/>
  </property>
</Properties>
</file>