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yh_mac24/Desktop/[ MRI ] BNMA/[MRI] BNMA R Project (copy)/[1] Raw Data/"/>
    </mc:Choice>
  </mc:AlternateContent>
  <xr:revisionPtr revIDLastSave="0" documentId="13_ncr:1_{3AEF885D-9857-624E-91AD-8CA03A37AFBC}" xr6:coauthVersionLast="47" xr6:coauthVersionMax="47" xr10:uidLastSave="{00000000-0000-0000-0000-000000000000}"/>
  <bookViews>
    <workbookView xWindow="38640" yWindow="-5000" windowWidth="38400" windowHeight="19880" xr2:uid="{F1AEA66C-A072-4D38-86DA-65552B8753EA}"/>
  </bookViews>
  <sheets>
    <sheet name="1. Yixian" sheetId="16" r:id="rId1"/>
    <sheet name="2. Nayoung" sheetId="18" r:id="rId2"/>
    <sheet name="3. Discrepancy" sheetId="20" r:id="rId3"/>
    <sheet name="4. Discrepancy record" sheetId="28" r:id="rId4"/>
    <sheet name="0. Options" sheetId="30" r:id="rId5"/>
  </sheets>
  <definedNames>
    <definedName name="_xlnm._FilterDatabase" localSheetId="0" hidden="1">'1. Yixian'!$A$1:$AW$313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16" i="16" l="1"/>
  <c r="Z316" i="16" s="1"/>
  <c r="AB314" i="16"/>
  <c r="Z314" i="16" s="1"/>
  <c r="AA316" i="16"/>
  <c r="AA314" i="16"/>
  <c r="B117" i="16" l="1"/>
  <c r="B123" i="16" s="1"/>
  <c r="B145" i="16"/>
  <c r="B147" i="16" s="1"/>
  <c r="B149" i="16" l="1"/>
  <c r="B129" i="16"/>
  <c r="I6" i="16"/>
  <c r="B151" i="16" l="1"/>
  <c r="I24" i="16"/>
  <c r="I229" i="16"/>
  <c r="B153" i="16" l="1"/>
  <c r="I4" i="16"/>
  <c r="I5" i="16"/>
  <c r="I7" i="16"/>
  <c r="I8" i="16"/>
  <c r="I9" i="16"/>
  <c r="I10" i="16"/>
  <c r="I11" i="16"/>
  <c r="I12" i="16"/>
  <c r="I13" i="16"/>
  <c r="I14" i="16"/>
  <c r="I15" i="16"/>
  <c r="I16" i="16"/>
  <c r="I17" i="16"/>
  <c r="I18" i="16"/>
  <c r="I19" i="16"/>
  <c r="I20" i="16"/>
  <c r="I21" i="16"/>
  <c r="I22" i="16"/>
  <c r="I23"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7" i="16"/>
  <c r="I68" i="16"/>
  <c r="I69" i="16"/>
  <c r="I70" i="16"/>
  <c r="I72" i="16"/>
  <c r="I73" i="16"/>
  <c r="I74" i="16"/>
  <c r="I75" i="16"/>
  <c r="I77" i="16"/>
  <c r="I78" i="16"/>
  <c r="I79" i="16"/>
  <c r="I80" i="16"/>
  <c r="I81" i="16"/>
  <c r="I82" i="16"/>
  <c r="I83" i="16"/>
  <c r="I84" i="16"/>
  <c r="I85" i="16"/>
  <c r="I86" i="16"/>
  <c r="I87" i="16"/>
  <c r="I88" i="16"/>
  <c r="I89" i="16"/>
  <c r="I90" i="16"/>
  <c r="I91" i="16"/>
  <c r="I92" i="16"/>
  <c r="I93" i="16"/>
  <c r="I94" i="16"/>
  <c r="I95" i="16"/>
  <c r="I96" i="16"/>
  <c r="I97" i="16"/>
  <c r="I98" i="16"/>
  <c r="I99" i="16"/>
  <c r="I100"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30" i="16"/>
  <c r="I231" i="16"/>
  <c r="I232" i="16"/>
  <c r="I233" i="16"/>
  <c r="I234" i="16"/>
  <c r="I236" i="16"/>
  <c r="I237" i="16"/>
  <c r="I238" i="16"/>
  <c r="I240" i="16"/>
  <c r="I241" i="16"/>
  <c r="I242" i="16"/>
  <c r="I244" i="16"/>
  <c r="I245" i="16"/>
  <c r="I246"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 i="16"/>
  <c r="AO93" i="16"/>
  <c r="AO92" i="16"/>
  <c r="AO91" i="16"/>
  <c r="B155" i="16" l="1"/>
  <c r="AB305" i="16"/>
  <c r="S305" i="16"/>
  <c r="R305" i="16"/>
  <c r="AB304" i="16"/>
  <c r="R304" i="16"/>
  <c r="S303" i="16"/>
  <c r="R303" i="16"/>
  <c r="AA287" i="16"/>
  <c r="Z287" i="16" s="1"/>
  <c r="S287" i="16"/>
  <c r="R287" i="16"/>
  <c r="P287" i="16"/>
  <c r="O287" i="16"/>
  <c r="M287" i="16"/>
  <c r="AA271" i="16"/>
  <c r="Z271" i="16" s="1"/>
  <c r="S271" i="16"/>
  <c r="R271" i="16"/>
  <c r="P271" i="16"/>
  <c r="O271" i="16"/>
  <c r="M271" i="16"/>
  <c r="Z270" i="16"/>
  <c r="R270" i="16"/>
  <c r="Z269" i="16"/>
  <c r="R269" i="16"/>
  <c r="Z268" i="16"/>
  <c r="R268" i="16"/>
  <c r="Z267" i="16"/>
  <c r="R267" i="16"/>
  <c r="Z266" i="16"/>
  <c r="R266" i="16"/>
  <c r="Z265" i="16"/>
  <c r="R265" i="16"/>
  <c r="R264" i="16"/>
  <c r="R263" i="16"/>
  <c r="Z262" i="16"/>
  <c r="R262" i="16"/>
  <c r="Z261" i="16"/>
  <c r="R261" i="16"/>
  <c r="Z260" i="16"/>
  <c r="R260" i="16"/>
  <c r="Z258" i="16"/>
  <c r="AA252" i="16"/>
  <c r="Z252" i="16" s="1"/>
  <c r="AA249" i="16"/>
  <c r="Z249" i="16" s="1"/>
  <c r="M249" i="16"/>
  <c r="AJ248" i="16"/>
  <c r="AJ247" i="16"/>
  <c r="AJ246" i="16"/>
  <c r="AJ245" i="16"/>
  <c r="AJ244" i="16"/>
  <c r="AJ243" i="16"/>
  <c r="AB243" i="16"/>
  <c r="AA243" i="16"/>
  <c r="Z243" i="16" s="1"/>
  <c r="AJ242" i="16"/>
  <c r="AB242" i="16"/>
  <c r="AA242" i="16"/>
  <c r="AJ241" i="16"/>
  <c r="AB241" i="16"/>
  <c r="AA241" i="16"/>
  <c r="Z240" i="16"/>
  <c r="R240" i="16"/>
  <c r="Z239" i="16"/>
  <c r="R239" i="16"/>
  <c r="Z238" i="16"/>
  <c r="R238" i="16"/>
  <c r="Z237" i="16"/>
  <c r="R237" i="16"/>
  <c r="Z236" i="16"/>
  <c r="R236" i="16"/>
  <c r="Z235" i="16"/>
  <c r="R235" i="16"/>
  <c r="Z234" i="16"/>
  <c r="R234" i="16"/>
  <c r="Z233" i="16"/>
  <c r="R233" i="16"/>
  <c r="Z229" i="16"/>
  <c r="S229" i="16"/>
  <c r="Q229" i="16"/>
  <c r="Z225" i="16"/>
  <c r="S225" i="16"/>
  <c r="Q225" i="16"/>
  <c r="Z221" i="16"/>
  <c r="S221" i="16"/>
  <c r="Q221" i="16"/>
  <c r="Z242" i="16" l="1"/>
  <c r="B157" i="16"/>
  <c r="Z241" i="16"/>
  <c r="AA220" i="16"/>
  <c r="Z220" i="16" s="1"/>
  <c r="AA219" i="16"/>
  <c r="Z219" i="16" s="1"/>
  <c r="AA218" i="16"/>
  <c r="Z218" i="16" s="1"/>
  <c r="AA217" i="16"/>
  <c r="Z217" i="16" s="1"/>
  <c r="AA216" i="16"/>
  <c r="Z216" i="16" s="1"/>
  <c r="S216" i="16"/>
  <c r="R216" i="16"/>
  <c r="AA215" i="16"/>
  <c r="Z215" i="16" s="1"/>
  <c r="S215" i="16"/>
  <c r="R215" i="16"/>
  <c r="AA214" i="16"/>
  <c r="Z214" i="16" s="1"/>
  <c r="S214" i="16"/>
  <c r="AA213" i="16"/>
  <c r="Z213" i="16" s="1"/>
  <c r="S213" i="16"/>
  <c r="P213" i="16"/>
  <c r="Z212" i="16"/>
  <c r="S212" i="16"/>
  <c r="R212" i="16"/>
  <c r="Z211" i="16"/>
  <c r="S211" i="16"/>
  <c r="R211" i="16"/>
  <c r="Z210" i="16"/>
  <c r="S210" i="16"/>
  <c r="R210" i="16"/>
  <c r="Z209" i="16"/>
  <c r="S209" i="16"/>
  <c r="R209" i="16"/>
  <c r="Q209" i="16"/>
  <c r="Z208" i="16"/>
  <c r="S208" i="16"/>
  <c r="R208" i="16"/>
  <c r="Q208" i="16"/>
  <c r="Z207" i="16"/>
  <c r="S207" i="16"/>
  <c r="R207" i="16"/>
  <c r="Q207" i="16"/>
  <c r="Z206" i="16"/>
  <c r="S206" i="16"/>
  <c r="R206" i="16"/>
  <c r="Q206" i="16"/>
  <c r="B159" i="16" l="1"/>
  <c r="AQ192" i="28"/>
  <c r="AP192" i="28"/>
  <c r="AQ189" i="28"/>
  <c r="AP189" i="28"/>
  <c r="A194" i="20"/>
  <c r="B194" i="20"/>
  <c r="C194" i="20"/>
  <c r="E194" i="20"/>
  <c r="F194" i="20"/>
  <c r="G194" i="20"/>
  <c r="H194" i="20"/>
  <c r="I194" i="20" s="1"/>
  <c r="J194" i="20"/>
  <c r="K194" i="20"/>
  <c r="L194" i="20"/>
  <c r="M194" i="20"/>
  <c r="N194" i="20"/>
  <c r="O194" i="20"/>
  <c r="P194" i="20"/>
  <c r="Q194" i="20"/>
  <c r="R194" i="20"/>
  <c r="S194" i="20" s="1"/>
  <c r="T194" i="20"/>
  <c r="U194" i="20"/>
  <c r="V194" i="20"/>
  <c r="W194" i="20"/>
  <c r="Y194" i="20"/>
  <c r="Z194" i="20"/>
  <c r="AA194" i="20"/>
  <c r="AB194" i="20"/>
  <c r="AC194" i="20"/>
  <c r="AD194" i="20"/>
  <c r="AF194" i="20"/>
  <c r="AG194" i="20"/>
  <c r="AH194" i="20"/>
  <c r="AI194" i="20"/>
  <c r="AJ194" i="20"/>
  <c r="AK194" i="20"/>
  <c r="AL194" i="20"/>
  <c r="AM194" i="20"/>
  <c r="A195" i="20"/>
  <c r="B195" i="20"/>
  <c r="C195" i="20"/>
  <c r="E195" i="20"/>
  <c r="F195" i="20"/>
  <c r="G195" i="20"/>
  <c r="H195" i="20"/>
  <c r="I195" i="20" s="1"/>
  <c r="J195" i="20"/>
  <c r="K195" i="20"/>
  <c r="L195" i="20"/>
  <c r="M195" i="20"/>
  <c r="N195" i="20"/>
  <c r="O195" i="20"/>
  <c r="P195" i="20"/>
  <c r="Q195" i="20"/>
  <c r="R195" i="20"/>
  <c r="S195" i="20" s="1"/>
  <c r="T195" i="20"/>
  <c r="U195" i="20"/>
  <c r="V195" i="20"/>
  <c r="W195" i="20"/>
  <c r="Y195" i="20"/>
  <c r="Z195" i="20"/>
  <c r="AA195" i="20"/>
  <c r="AB195" i="20"/>
  <c r="AC195" i="20"/>
  <c r="AD195" i="20"/>
  <c r="AF195" i="20"/>
  <c r="AG195" i="20"/>
  <c r="AH195" i="20"/>
  <c r="AI195" i="20"/>
  <c r="AJ195" i="20"/>
  <c r="AK195" i="20"/>
  <c r="AL195" i="20"/>
  <c r="AM195" i="20"/>
  <c r="A196" i="20"/>
  <c r="B196" i="20"/>
  <c r="C196" i="20"/>
  <c r="E196" i="20"/>
  <c r="F196" i="20"/>
  <c r="H196" i="20"/>
  <c r="I196" i="20" s="1"/>
  <c r="J196" i="20"/>
  <c r="K196" i="20"/>
  <c r="L196" i="20"/>
  <c r="N196" i="20"/>
  <c r="O196" i="20"/>
  <c r="R196" i="20"/>
  <c r="S196" i="20" s="1"/>
  <c r="T196" i="20"/>
  <c r="U196" i="20"/>
  <c r="V196" i="20"/>
  <c r="W196" i="20"/>
  <c r="Y196" i="20"/>
  <c r="Z196" i="20"/>
  <c r="AA196" i="20"/>
  <c r="AB196" i="20"/>
  <c r="AC196" i="20"/>
  <c r="AD196" i="20"/>
  <c r="AF196" i="20"/>
  <c r="AG196" i="20"/>
  <c r="AH196" i="20"/>
  <c r="AI196" i="20"/>
  <c r="AJ196" i="20"/>
  <c r="AK196" i="20"/>
  <c r="AL196" i="20"/>
  <c r="AM196" i="20"/>
  <c r="A197" i="20"/>
  <c r="B197" i="20"/>
  <c r="C197" i="20"/>
  <c r="E197" i="20"/>
  <c r="F197" i="20"/>
  <c r="G197" i="20"/>
  <c r="H197" i="20"/>
  <c r="I197" i="20" s="1"/>
  <c r="J197" i="20"/>
  <c r="K197" i="20"/>
  <c r="L197" i="20"/>
  <c r="N197" i="20"/>
  <c r="O197" i="20"/>
  <c r="R197" i="20"/>
  <c r="S197" i="20" s="1"/>
  <c r="T197" i="20"/>
  <c r="U197" i="20"/>
  <c r="V197" i="20"/>
  <c r="W197" i="20"/>
  <c r="Y197" i="20"/>
  <c r="Z197" i="20"/>
  <c r="AA197" i="20"/>
  <c r="AB197" i="20"/>
  <c r="AC197" i="20"/>
  <c r="AD197" i="20"/>
  <c r="AF197" i="20"/>
  <c r="AG197" i="20"/>
  <c r="AH197" i="20"/>
  <c r="AI197" i="20"/>
  <c r="AJ197" i="20"/>
  <c r="AK197" i="20"/>
  <c r="AL197" i="20"/>
  <c r="AM197" i="20"/>
  <c r="A198" i="20"/>
  <c r="B198" i="20"/>
  <c r="C198" i="20"/>
  <c r="E198" i="20"/>
  <c r="F198" i="20"/>
  <c r="G198" i="20"/>
  <c r="H198" i="20"/>
  <c r="I198" i="20" s="1"/>
  <c r="J198" i="20"/>
  <c r="K198" i="20"/>
  <c r="L198" i="20"/>
  <c r="M198" i="20"/>
  <c r="N198" i="20"/>
  <c r="O198" i="20"/>
  <c r="P198" i="20"/>
  <c r="R198" i="20"/>
  <c r="S198" i="20" s="1"/>
  <c r="T198" i="20"/>
  <c r="U198" i="20"/>
  <c r="V198" i="20"/>
  <c r="W198" i="20"/>
  <c r="Y198" i="20"/>
  <c r="Z198" i="20"/>
  <c r="AA198" i="20"/>
  <c r="AB198" i="20"/>
  <c r="AC198" i="20"/>
  <c r="AD198" i="20"/>
  <c r="AF198" i="20"/>
  <c r="AG198" i="20"/>
  <c r="AH198" i="20"/>
  <c r="AI198" i="20"/>
  <c r="AJ198" i="20"/>
  <c r="AK198" i="20"/>
  <c r="AL198" i="20"/>
  <c r="AM198" i="20"/>
  <c r="A199" i="20"/>
  <c r="B199" i="20"/>
  <c r="C199" i="20"/>
  <c r="E199" i="20"/>
  <c r="F199" i="20"/>
  <c r="G199" i="20"/>
  <c r="H199" i="20"/>
  <c r="I199" i="20" s="1"/>
  <c r="J199" i="20"/>
  <c r="K199" i="20"/>
  <c r="L199" i="20"/>
  <c r="M199" i="20"/>
  <c r="N199" i="20"/>
  <c r="O199" i="20"/>
  <c r="P199" i="20"/>
  <c r="R199" i="20"/>
  <c r="S199" i="20" s="1"/>
  <c r="T199" i="20"/>
  <c r="U199" i="20"/>
  <c r="V199" i="20"/>
  <c r="W199" i="20"/>
  <c r="X199" i="20"/>
  <c r="Y199" i="20"/>
  <c r="Z199" i="20"/>
  <c r="AA199" i="20"/>
  <c r="AB199" i="20"/>
  <c r="AC199" i="20"/>
  <c r="AD199" i="20"/>
  <c r="AF199" i="20"/>
  <c r="AG199" i="20"/>
  <c r="AH199" i="20"/>
  <c r="AI199" i="20"/>
  <c r="AJ199" i="20"/>
  <c r="AK199" i="20"/>
  <c r="AL199" i="20"/>
  <c r="AM199" i="20"/>
  <c r="A200" i="20"/>
  <c r="B200" i="20"/>
  <c r="C200" i="20"/>
  <c r="E200" i="20"/>
  <c r="F200" i="20"/>
  <c r="G200" i="20"/>
  <c r="H200" i="20"/>
  <c r="I200" i="20" s="1"/>
  <c r="J200" i="20"/>
  <c r="K200" i="20"/>
  <c r="L200" i="20"/>
  <c r="M200" i="20"/>
  <c r="N200" i="20"/>
  <c r="O200" i="20"/>
  <c r="P200" i="20"/>
  <c r="Q200" i="20"/>
  <c r="R200" i="20"/>
  <c r="S200" i="20" s="1"/>
  <c r="T200" i="20"/>
  <c r="U200" i="20"/>
  <c r="V200" i="20"/>
  <c r="W200" i="20"/>
  <c r="Z200" i="20"/>
  <c r="AA200" i="20"/>
  <c r="AB200" i="20"/>
  <c r="AC200" i="20"/>
  <c r="AD200" i="20"/>
  <c r="AF200" i="20"/>
  <c r="AG200" i="20"/>
  <c r="AH200" i="20"/>
  <c r="AI200" i="20"/>
  <c r="AJ200" i="20"/>
  <c r="AK200" i="20"/>
  <c r="AL200" i="20"/>
  <c r="AM200" i="20"/>
  <c r="A201" i="20"/>
  <c r="B201" i="20"/>
  <c r="C201" i="20"/>
  <c r="E201" i="20"/>
  <c r="F201" i="20"/>
  <c r="G201" i="20"/>
  <c r="H201" i="20"/>
  <c r="I201" i="20" s="1"/>
  <c r="J201" i="20"/>
  <c r="K201" i="20"/>
  <c r="L201" i="20"/>
  <c r="M201" i="20"/>
  <c r="N201" i="20"/>
  <c r="O201" i="20"/>
  <c r="P201" i="20"/>
  <c r="Q201" i="20"/>
  <c r="R201" i="20"/>
  <c r="S201" i="20" s="1"/>
  <c r="T201" i="20"/>
  <c r="U201" i="20"/>
  <c r="V201" i="20"/>
  <c r="W201" i="20"/>
  <c r="X201" i="20"/>
  <c r="Y201" i="20"/>
  <c r="Z201" i="20"/>
  <c r="AA201" i="20"/>
  <c r="AB201" i="20"/>
  <c r="AC201" i="20"/>
  <c r="AD201" i="20"/>
  <c r="AF201" i="20"/>
  <c r="AG201" i="20"/>
  <c r="AH201" i="20"/>
  <c r="AI201" i="20"/>
  <c r="AJ201" i="20"/>
  <c r="AK201" i="20"/>
  <c r="AL201" i="20"/>
  <c r="AM201" i="20"/>
  <c r="A202" i="20"/>
  <c r="B202" i="20"/>
  <c r="C202" i="20"/>
  <c r="E202" i="20"/>
  <c r="F202" i="20"/>
  <c r="G202" i="20"/>
  <c r="H202" i="20"/>
  <c r="I202" i="20" s="1"/>
  <c r="J202" i="20"/>
  <c r="K202" i="20"/>
  <c r="L202" i="20"/>
  <c r="M202" i="20"/>
  <c r="N202" i="20"/>
  <c r="O202" i="20"/>
  <c r="P202" i="20"/>
  <c r="Q202" i="20"/>
  <c r="R202" i="20"/>
  <c r="S202" i="20" s="1"/>
  <c r="T202" i="20"/>
  <c r="U202" i="20"/>
  <c r="V202" i="20"/>
  <c r="W202" i="20"/>
  <c r="X202" i="20"/>
  <c r="Y202" i="20"/>
  <c r="Z202" i="20"/>
  <c r="AA202" i="20"/>
  <c r="AB202" i="20"/>
  <c r="AC202" i="20"/>
  <c r="AD202" i="20"/>
  <c r="AF202" i="20"/>
  <c r="AG202" i="20"/>
  <c r="AH202" i="20"/>
  <c r="AI202" i="20"/>
  <c r="AJ202" i="20"/>
  <c r="AK202" i="20"/>
  <c r="AL202" i="20"/>
  <c r="AM202" i="20"/>
  <c r="A203" i="20"/>
  <c r="B203" i="20"/>
  <c r="C203" i="20"/>
  <c r="E203" i="20"/>
  <c r="F203" i="20"/>
  <c r="G203" i="20"/>
  <c r="H203" i="20"/>
  <c r="I203" i="20" s="1"/>
  <c r="J203" i="20"/>
  <c r="K203" i="20"/>
  <c r="L203" i="20"/>
  <c r="M203" i="20"/>
  <c r="N203" i="20"/>
  <c r="O203" i="20"/>
  <c r="P203" i="20"/>
  <c r="Q203" i="20"/>
  <c r="R203" i="20"/>
  <c r="S203" i="20" s="1"/>
  <c r="T203" i="20"/>
  <c r="U203" i="20"/>
  <c r="V203" i="20"/>
  <c r="W203" i="20"/>
  <c r="X203" i="20"/>
  <c r="Y203" i="20"/>
  <c r="Z203" i="20"/>
  <c r="AA203" i="20"/>
  <c r="AB203" i="20"/>
  <c r="AC203" i="20"/>
  <c r="AD203" i="20"/>
  <c r="AF203" i="20"/>
  <c r="AG203" i="20"/>
  <c r="AH203" i="20"/>
  <c r="AI203" i="20"/>
  <c r="AJ203" i="20"/>
  <c r="AK203" i="20"/>
  <c r="AL203" i="20"/>
  <c r="AM203" i="20"/>
  <c r="A204" i="20"/>
  <c r="B204" i="20"/>
  <c r="C204" i="20"/>
  <c r="E204" i="20"/>
  <c r="F204" i="20"/>
  <c r="G204" i="20"/>
  <c r="H204" i="20"/>
  <c r="I204" i="20" s="1"/>
  <c r="J204" i="20"/>
  <c r="K204" i="20"/>
  <c r="L204" i="20"/>
  <c r="M204" i="20"/>
  <c r="N204" i="20"/>
  <c r="O204" i="20"/>
  <c r="P204" i="20"/>
  <c r="Q204" i="20"/>
  <c r="R204" i="20"/>
  <c r="S204" i="20" s="1"/>
  <c r="T204" i="20"/>
  <c r="U204" i="20"/>
  <c r="V204" i="20"/>
  <c r="W204" i="20"/>
  <c r="X204" i="20"/>
  <c r="Y204" i="20"/>
  <c r="Z204" i="20"/>
  <c r="AA204" i="20"/>
  <c r="AB204" i="20"/>
  <c r="AC204" i="20"/>
  <c r="AD204" i="20"/>
  <c r="AF204" i="20"/>
  <c r="AG204" i="20"/>
  <c r="AH204" i="20"/>
  <c r="AI204" i="20"/>
  <c r="AJ204" i="20"/>
  <c r="AK204" i="20"/>
  <c r="AL204" i="20"/>
  <c r="AM204" i="20"/>
  <c r="A205" i="20"/>
  <c r="B205" i="20"/>
  <c r="C205" i="20"/>
  <c r="E205" i="20"/>
  <c r="F205" i="20"/>
  <c r="G205" i="20"/>
  <c r="H205" i="20"/>
  <c r="I205" i="20" s="1"/>
  <c r="J205" i="20"/>
  <c r="K205" i="20"/>
  <c r="L205" i="20"/>
  <c r="M205" i="20"/>
  <c r="N205" i="20"/>
  <c r="O205" i="20"/>
  <c r="P205" i="20"/>
  <c r="Q205" i="20"/>
  <c r="R205" i="20"/>
  <c r="S205" i="20" s="1"/>
  <c r="T205" i="20"/>
  <c r="U205" i="20"/>
  <c r="V205" i="20"/>
  <c r="W205" i="20"/>
  <c r="X205" i="20"/>
  <c r="Y205" i="20"/>
  <c r="Z205" i="20"/>
  <c r="AA205" i="20"/>
  <c r="AB205" i="20"/>
  <c r="AC205" i="20"/>
  <c r="AD205" i="20"/>
  <c r="AF205" i="20"/>
  <c r="AG205" i="20"/>
  <c r="AH205" i="20"/>
  <c r="AI205" i="20"/>
  <c r="AJ205" i="20"/>
  <c r="AK205" i="20"/>
  <c r="AL205" i="20"/>
  <c r="AM205" i="20"/>
  <c r="AA200" i="18"/>
  <c r="Y200" i="20" s="1"/>
  <c r="Z200" i="18"/>
  <c r="X200" i="20" s="1"/>
  <c r="S199" i="18"/>
  <c r="Q199" i="20" s="1"/>
  <c r="Z198" i="18"/>
  <c r="X198" i="20" s="1"/>
  <c r="S198" i="18"/>
  <c r="Q198" i="20" s="1"/>
  <c r="Z197" i="18"/>
  <c r="X197" i="20" s="1"/>
  <c r="S197" i="18"/>
  <c r="Q197" i="20" s="1"/>
  <c r="R197" i="18"/>
  <c r="P197" i="20" s="1"/>
  <c r="O197" i="18"/>
  <c r="M197" i="20" s="1"/>
  <c r="Z196" i="18"/>
  <c r="X196" i="20" s="1"/>
  <c r="S196" i="18"/>
  <c r="Q196" i="20" s="1"/>
  <c r="R196" i="18"/>
  <c r="P196" i="20" s="1"/>
  <c r="O196" i="18"/>
  <c r="M196" i="20" s="1"/>
  <c r="Z195" i="18"/>
  <c r="X195" i="20" s="1"/>
  <c r="Z194" i="18"/>
  <c r="X194" i="20" s="1"/>
  <c r="Z193" i="18"/>
  <c r="Z192" i="18"/>
  <c r="S192" i="18"/>
  <c r="R192" i="18"/>
  <c r="Z191" i="18"/>
  <c r="S191" i="18"/>
  <c r="R191" i="18"/>
  <c r="Z190" i="18"/>
  <c r="S190" i="18"/>
  <c r="R190" i="18"/>
  <c r="Z189" i="18"/>
  <c r="S189" i="18"/>
  <c r="R189" i="18"/>
  <c r="B161" i="16" l="1"/>
  <c r="AR192" i="28"/>
  <c r="AR189" i="28"/>
  <c r="AA143" i="16"/>
  <c r="AA157" i="16" s="1"/>
  <c r="AB143" i="16"/>
  <c r="R110" i="16"/>
  <c r="R109" i="16"/>
  <c r="AE142" i="18"/>
  <c r="AE140" i="18"/>
  <c r="AE138" i="18"/>
  <c r="AE142" i="16"/>
  <c r="AE140" i="16"/>
  <c r="AE138" i="16"/>
  <c r="AC138" i="20" s="1"/>
  <c r="X136" i="20"/>
  <c r="Y136" i="20"/>
  <c r="Z136" i="20"/>
  <c r="Z137" i="20"/>
  <c r="X138" i="20"/>
  <c r="Y138" i="20"/>
  <c r="Z138" i="20"/>
  <c r="Z139" i="20"/>
  <c r="X140" i="20"/>
  <c r="Y140" i="20"/>
  <c r="Z140" i="20"/>
  <c r="Z141" i="20"/>
  <c r="X142" i="20"/>
  <c r="Y142" i="20"/>
  <c r="Z142" i="20"/>
  <c r="X144" i="20"/>
  <c r="Y144" i="20"/>
  <c r="Z144" i="20"/>
  <c r="X146" i="20"/>
  <c r="Y146" i="20"/>
  <c r="Z146" i="20"/>
  <c r="X148" i="20"/>
  <c r="Y148" i="20"/>
  <c r="Z148" i="20"/>
  <c r="X150" i="20"/>
  <c r="Y150" i="20"/>
  <c r="Z150" i="20"/>
  <c r="X152" i="20"/>
  <c r="Y152" i="20"/>
  <c r="Z152" i="20"/>
  <c r="X154" i="20"/>
  <c r="Y154" i="20"/>
  <c r="Z154" i="20"/>
  <c r="X156" i="20"/>
  <c r="Y156" i="20"/>
  <c r="Z156" i="20"/>
  <c r="X158" i="20"/>
  <c r="Y158" i="20"/>
  <c r="Z158" i="20"/>
  <c r="X160" i="20"/>
  <c r="Y160" i="20"/>
  <c r="Z160" i="20"/>
  <c r="X162" i="20"/>
  <c r="Y162" i="20"/>
  <c r="Z162" i="20"/>
  <c r="X164" i="20"/>
  <c r="Y164" i="20"/>
  <c r="Z164" i="20"/>
  <c r="Z165" i="20"/>
  <c r="Z166" i="20"/>
  <c r="X167" i="20"/>
  <c r="Y167" i="20"/>
  <c r="Z167" i="20"/>
  <c r="X168" i="20"/>
  <c r="Y168" i="20"/>
  <c r="Z168" i="20"/>
  <c r="X169" i="20"/>
  <c r="Y169" i="20"/>
  <c r="Z169" i="20"/>
  <c r="X170" i="20"/>
  <c r="Y170" i="20"/>
  <c r="Z170" i="20"/>
  <c r="X171" i="20"/>
  <c r="Y171" i="20"/>
  <c r="Z171" i="20"/>
  <c r="AD110" i="20"/>
  <c r="AD111" i="20"/>
  <c r="AD112" i="20"/>
  <c r="AD113" i="20"/>
  <c r="AD114" i="20"/>
  <c r="AD115" i="20"/>
  <c r="AD116" i="20"/>
  <c r="AD117" i="20"/>
  <c r="AD118" i="20"/>
  <c r="AD119" i="20"/>
  <c r="AD120" i="20"/>
  <c r="AD121" i="20"/>
  <c r="AD122" i="20"/>
  <c r="AD123" i="20"/>
  <c r="AD124" i="20"/>
  <c r="AD125" i="20"/>
  <c r="AD126" i="20"/>
  <c r="AD127" i="20"/>
  <c r="AD128" i="20"/>
  <c r="AD129" i="20"/>
  <c r="AD130" i="20"/>
  <c r="AD131" i="20"/>
  <c r="AD132" i="20"/>
  <c r="AD133" i="20"/>
  <c r="AD134" i="20"/>
  <c r="AD135" i="20"/>
  <c r="AD136" i="20"/>
  <c r="AD137" i="20"/>
  <c r="AD138" i="20"/>
  <c r="AD139" i="20"/>
  <c r="AD140" i="20"/>
  <c r="AD141" i="20"/>
  <c r="AD142" i="20"/>
  <c r="AD143" i="20"/>
  <c r="AD144" i="20"/>
  <c r="AD145" i="20"/>
  <c r="AD146" i="20"/>
  <c r="AD147" i="20"/>
  <c r="AD148" i="20"/>
  <c r="AD149" i="20"/>
  <c r="AD150" i="20"/>
  <c r="AD151" i="20"/>
  <c r="AD152" i="20"/>
  <c r="AD153" i="20"/>
  <c r="AD154" i="20"/>
  <c r="AD155" i="20"/>
  <c r="AD156" i="20"/>
  <c r="AD157" i="20"/>
  <c r="AD158" i="20"/>
  <c r="AD159" i="20"/>
  <c r="AD160" i="20"/>
  <c r="AD161" i="20"/>
  <c r="AD162" i="20"/>
  <c r="AD163" i="20"/>
  <c r="AD164" i="20"/>
  <c r="AD165" i="20"/>
  <c r="AD166" i="20"/>
  <c r="AD167" i="20"/>
  <c r="AD168" i="20"/>
  <c r="AD169" i="20"/>
  <c r="AD170" i="20"/>
  <c r="AD171" i="20"/>
  <c r="AD172" i="20"/>
  <c r="AD173" i="20"/>
  <c r="AD174" i="20"/>
  <c r="AD175" i="20"/>
  <c r="AD176" i="20"/>
  <c r="AD177" i="20"/>
  <c r="AD178" i="20"/>
  <c r="AD179" i="20"/>
  <c r="AD180" i="20"/>
  <c r="AD181" i="20"/>
  <c r="AD182" i="20"/>
  <c r="AD183" i="20"/>
  <c r="AD184" i="20"/>
  <c r="AD185" i="20"/>
  <c r="AD186" i="20"/>
  <c r="AD187" i="20"/>
  <c r="AD188" i="20"/>
  <c r="AD109" i="20"/>
  <c r="A166" i="20"/>
  <c r="B166" i="20"/>
  <c r="C166" i="20"/>
  <c r="E166" i="20"/>
  <c r="F166" i="20"/>
  <c r="G166" i="20"/>
  <c r="H166" i="20"/>
  <c r="I166" i="20" s="1"/>
  <c r="J166" i="20"/>
  <c r="K166" i="20"/>
  <c r="L166" i="20"/>
  <c r="M166" i="20"/>
  <c r="N166" i="20"/>
  <c r="O166" i="20"/>
  <c r="P166" i="20"/>
  <c r="R166" i="20"/>
  <c r="S166" i="20" s="1"/>
  <c r="T166" i="20"/>
  <c r="U166" i="20"/>
  <c r="V166" i="20"/>
  <c r="W166" i="20"/>
  <c r="AA166" i="20"/>
  <c r="AB166" i="20"/>
  <c r="AC166" i="20"/>
  <c r="AF166" i="20"/>
  <c r="AG166" i="20"/>
  <c r="AH166" i="20"/>
  <c r="AI166" i="20"/>
  <c r="AJ166" i="20"/>
  <c r="AK166" i="20"/>
  <c r="AL166" i="20"/>
  <c r="AM166" i="20"/>
  <c r="A167" i="20"/>
  <c r="B167" i="20"/>
  <c r="C167" i="20"/>
  <c r="E167" i="20"/>
  <c r="F167" i="20"/>
  <c r="G167" i="20"/>
  <c r="H167" i="20"/>
  <c r="I167" i="20" s="1"/>
  <c r="J167" i="20"/>
  <c r="K167" i="20"/>
  <c r="L167" i="20"/>
  <c r="M167" i="20"/>
  <c r="N167" i="20"/>
  <c r="O167" i="20"/>
  <c r="P167" i="20"/>
  <c r="R167" i="20"/>
  <c r="S167" i="20" s="1"/>
  <c r="T167" i="20"/>
  <c r="U167" i="20"/>
  <c r="V167" i="20"/>
  <c r="W167" i="20"/>
  <c r="AA167" i="20"/>
  <c r="AB167" i="20"/>
  <c r="AC167" i="20"/>
  <c r="AF167" i="20"/>
  <c r="AG167" i="20"/>
  <c r="AH167" i="20"/>
  <c r="AI167" i="20"/>
  <c r="AJ167" i="20"/>
  <c r="AK167" i="20"/>
  <c r="AL167" i="20"/>
  <c r="AM167" i="20"/>
  <c r="A168" i="20"/>
  <c r="B168" i="20"/>
  <c r="C168" i="20"/>
  <c r="E168" i="20"/>
  <c r="F168" i="20"/>
  <c r="G168" i="20"/>
  <c r="H168" i="20"/>
  <c r="I168" i="20" s="1"/>
  <c r="J168" i="20"/>
  <c r="K168" i="20"/>
  <c r="L168" i="20"/>
  <c r="M168" i="20"/>
  <c r="N168" i="20"/>
  <c r="O168" i="20"/>
  <c r="P168" i="20"/>
  <c r="Q168" i="20"/>
  <c r="R168" i="20"/>
  <c r="S168" i="20" s="1"/>
  <c r="T168" i="20"/>
  <c r="U168" i="20"/>
  <c r="V168" i="20"/>
  <c r="W168" i="20"/>
  <c r="AA168" i="20"/>
  <c r="AB168" i="20"/>
  <c r="AC168" i="20"/>
  <c r="AF168" i="20"/>
  <c r="AG168" i="20"/>
  <c r="AH168" i="20"/>
  <c r="AI168" i="20"/>
  <c r="AJ168" i="20"/>
  <c r="AK168" i="20"/>
  <c r="AL168" i="20"/>
  <c r="AM168" i="20"/>
  <c r="A169" i="20"/>
  <c r="B169" i="20"/>
  <c r="C169" i="20"/>
  <c r="E169" i="20"/>
  <c r="F169" i="20"/>
  <c r="G169" i="20"/>
  <c r="H169" i="20"/>
  <c r="I169" i="20" s="1"/>
  <c r="J169" i="20"/>
  <c r="K169" i="20"/>
  <c r="L169" i="20"/>
  <c r="M169" i="20"/>
  <c r="N169" i="20"/>
  <c r="O169" i="20"/>
  <c r="P169" i="20"/>
  <c r="Q169" i="20"/>
  <c r="R169" i="20"/>
  <c r="S169" i="20" s="1"/>
  <c r="T169" i="20"/>
  <c r="U169" i="20"/>
  <c r="V169" i="20"/>
  <c r="W169" i="20"/>
  <c r="AA169" i="20"/>
  <c r="AB169" i="20"/>
  <c r="AC169" i="20"/>
  <c r="AF169" i="20"/>
  <c r="AG169" i="20"/>
  <c r="AH169" i="20"/>
  <c r="AI169" i="20"/>
  <c r="AJ169" i="20"/>
  <c r="AK169" i="20"/>
  <c r="AL169" i="20"/>
  <c r="AM169" i="20"/>
  <c r="A170" i="20"/>
  <c r="B170" i="20"/>
  <c r="C170" i="20"/>
  <c r="E170" i="20"/>
  <c r="F170" i="20"/>
  <c r="G170" i="20"/>
  <c r="H170" i="20"/>
  <c r="I170" i="20" s="1"/>
  <c r="J170" i="20"/>
  <c r="K170" i="20"/>
  <c r="L170" i="20"/>
  <c r="M170" i="20"/>
  <c r="N170" i="20"/>
  <c r="O170" i="20"/>
  <c r="P170" i="20"/>
  <c r="Q170" i="20"/>
  <c r="R170" i="20"/>
  <c r="S170" i="20" s="1"/>
  <c r="T170" i="20"/>
  <c r="U170" i="20"/>
  <c r="V170" i="20"/>
  <c r="W170" i="20"/>
  <c r="AA170" i="20"/>
  <c r="AB170" i="20"/>
  <c r="AC170" i="20"/>
  <c r="AF170" i="20"/>
  <c r="AG170" i="20"/>
  <c r="AH170" i="20"/>
  <c r="AI170" i="20"/>
  <c r="AJ170" i="20"/>
  <c r="AK170" i="20"/>
  <c r="AL170" i="20"/>
  <c r="AM170" i="20"/>
  <c r="A171" i="20"/>
  <c r="B171" i="20"/>
  <c r="C171" i="20"/>
  <c r="E171" i="20"/>
  <c r="F171" i="20"/>
  <c r="G171" i="20"/>
  <c r="H171" i="20"/>
  <c r="I171" i="20" s="1"/>
  <c r="J171" i="20"/>
  <c r="K171" i="20"/>
  <c r="L171" i="20"/>
  <c r="M171" i="20"/>
  <c r="N171" i="20"/>
  <c r="O171" i="20"/>
  <c r="P171" i="20"/>
  <c r="Q171" i="20"/>
  <c r="R171" i="20"/>
  <c r="S171" i="20" s="1"/>
  <c r="T171" i="20"/>
  <c r="U171" i="20"/>
  <c r="V171" i="20"/>
  <c r="W171" i="20"/>
  <c r="AA171" i="20"/>
  <c r="AB171" i="20"/>
  <c r="AC171" i="20"/>
  <c r="AF171" i="20"/>
  <c r="AG171" i="20"/>
  <c r="AH171" i="20"/>
  <c r="AI171" i="20"/>
  <c r="AJ171" i="20"/>
  <c r="AK171" i="20"/>
  <c r="AL171" i="20"/>
  <c r="AM171" i="20"/>
  <c r="A172" i="20"/>
  <c r="B172" i="20"/>
  <c r="C172" i="20"/>
  <c r="E172" i="20"/>
  <c r="F172" i="20"/>
  <c r="G172" i="20"/>
  <c r="H172" i="20"/>
  <c r="I172" i="20" s="1"/>
  <c r="J172" i="20"/>
  <c r="K172" i="20"/>
  <c r="L172" i="20"/>
  <c r="M172" i="20"/>
  <c r="N172" i="20"/>
  <c r="O172" i="20"/>
  <c r="P172" i="20"/>
  <c r="R172" i="20"/>
  <c r="S172" i="20" s="1"/>
  <c r="T172" i="20"/>
  <c r="U172" i="20"/>
  <c r="V172" i="20"/>
  <c r="W172" i="20"/>
  <c r="X172" i="20"/>
  <c r="Y172" i="20"/>
  <c r="Z172" i="20"/>
  <c r="AA172" i="20"/>
  <c r="AB172" i="20"/>
  <c r="AC172" i="20"/>
  <c r="AF172" i="20"/>
  <c r="AG172" i="20"/>
  <c r="AH172" i="20"/>
  <c r="AI172" i="20"/>
  <c r="AJ172" i="20"/>
  <c r="AK172" i="20"/>
  <c r="AL172" i="20"/>
  <c r="AM172" i="20"/>
  <c r="A173" i="20"/>
  <c r="B173" i="20"/>
  <c r="C173" i="20"/>
  <c r="E173" i="20"/>
  <c r="F173" i="20"/>
  <c r="G173" i="20"/>
  <c r="H173" i="20"/>
  <c r="I173" i="20" s="1"/>
  <c r="J173" i="20"/>
  <c r="K173" i="20"/>
  <c r="L173" i="20"/>
  <c r="M173" i="20"/>
  <c r="N173" i="20"/>
  <c r="O173" i="20"/>
  <c r="P173" i="20"/>
  <c r="Q173" i="20"/>
  <c r="R173" i="20"/>
  <c r="S173" i="20" s="1"/>
  <c r="T173" i="20"/>
  <c r="U173" i="20"/>
  <c r="V173" i="20"/>
  <c r="W173" i="20"/>
  <c r="X173" i="20"/>
  <c r="Y173" i="20"/>
  <c r="Z173" i="20"/>
  <c r="AA173" i="20"/>
  <c r="AB173" i="20"/>
  <c r="AC173" i="20"/>
  <c r="AF173" i="20"/>
  <c r="AG173" i="20"/>
  <c r="AH173" i="20"/>
  <c r="AI173" i="20"/>
  <c r="AJ173" i="20"/>
  <c r="AK173" i="20"/>
  <c r="AL173" i="20"/>
  <c r="AM173" i="20"/>
  <c r="A174" i="20"/>
  <c r="B174" i="20"/>
  <c r="C174" i="20"/>
  <c r="E174" i="20"/>
  <c r="F174" i="20"/>
  <c r="G174" i="20"/>
  <c r="H174" i="20"/>
  <c r="I174" i="20" s="1"/>
  <c r="J174" i="20"/>
  <c r="K174" i="20"/>
  <c r="L174" i="20"/>
  <c r="M174" i="20"/>
  <c r="N174" i="20"/>
  <c r="O174" i="20"/>
  <c r="P174" i="20"/>
  <c r="Q174" i="20"/>
  <c r="R174" i="20"/>
  <c r="S174" i="20" s="1"/>
  <c r="T174" i="20"/>
  <c r="U174" i="20"/>
  <c r="V174" i="20"/>
  <c r="W174" i="20"/>
  <c r="X174" i="20"/>
  <c r="Y174" i="20"/>
  <c r="Z174" i="20"/>
  <c r="AA174" i="20"/>
  <c r="AB174" i="20"/>
  <c r="AC174" i="20"/>
  <c r="AF174" i="20"/>
  <c r="AG174" i="20"/>
  <c r="AH174" i="20"/>
  <c r="AI174" i="20"/>
  <c r="AJ174" i="20"/>
  <c r="AK174" i="20"/>
  <c r="AL174" i="20"/>
  <c r="AM174" i="20"/>
  <c r="A175" i="20"/>
  <c r="B175" i="20"/>
  <c r="C175" i="20"/>
  <c r="E175" i="20"/>
  <c r="F175" i="20"/>
  <c r="G175" i="20"/>
  <c r="H175" i="20"/>
  <c r="I175" i="20" s="1"/>
  <c r="J175" i="20"/>
  <c r="K175" i="20"/>
  <c r="L175" i="20"/>
  <c r="M175" i="20"/>
  <c r="N175" i="20"/>
  <c r="O175" i="20"/>
  <c r="P175" i="20"/>
  <c r="Q175" i="20"/>
  <c r="R175" i="20"/>
  <c r="S175" i="20" s="1"/>
  <c r="T175" i="20"/>
  <c r="U175" i="20"/>
  <c r="V175" i="20"/>
  <c r="W175" i="20"/>
  <c r="X175" i="20"/>
  <c r="Y175" i="20"/>
  <c r="Z175" i="20"/>
  <c r="AA175" i="20"/>
  <c r="AB175" i="20"/>
  <c r="AC175" i="20"/>
  <c r="AF175" i="20"/>
  <c r="AG175" i="20"/>
  <c r="AH175" i="20"/>
  <c r="AI175" i="20"/>
  <c r="AJ175" i="20"/>
  <c r="AK175" i="20"/>
  <c r="AL175" i="20"/>
  <c r="AM175" i="20"/>
  <c r="A176" i="20"/>
  <c r="B176" i="20"/>
  <c r="C176" i="20"/>
  <c r="E176" i="20"/>
  <c r="F176" i="20"/>
  <c r="G176" i="20"/>
  <c r="H176" i="20"/>
  <c r="I176" i="20" s="1"/>
  <c r="J176" i="20"/>
  <c r="K176" i="20"/>
  <c r="L176" i="20"/>
  <c r="M176" i="20"/>
  <c r="N176" i="20"/>
  <c r="O176" i="20"/>
  <c r="P176" i="20"/>
  <c r="Q176" i="20"/>
  <c r="R176" i="20"/>
  <c r="S176" i="20" s="1"/>
  <c r="T176" i="20"/>
  <c r="U176" i="20"/>
  <c r="V176" i="20"/>
  <c r="W176" i="20"/>
  <c r="X176" i="20"/>
  <c r="Y176" i="20"/>
  <c r="Z176" i="20"/>
  <c r="AA176" i="20"/>
  <c r="AB176" i="20"/>
  <c r="AC176" i="20"/>
  <c r="AF176" i="20"/>
  <c r="AG176" i="20"/>
  <c r="AH176" i="20"/>
  <c r="AI176" i="20"/>
  <c r="AJ176" i="20"/>
  <c r="AK176" i="20"/>
  <c r="AL176" i="20"/>
  <c r="AM176" i="20"/>
  <c r="A177" i="20"/>
  <c r="B177" i="20"/>
  <c r="C177" i="20"/>
  <c r="E177" i="20"/>
  <c r="F177" i="20"/>
  <c r="G177" i="20"/>
  <c r="H177" i="20"/>
  <c r="I177" i="20" s="1"/>
  <c r="J177" i="20"/>
  <c r="K177" i="20"/>
  <c r="L177" i="20"/>
  <c r="M177" i="20"/>
  <c r="N177" i="20"/>
  <c r="O177" i="20"/>
  <c r="P177" i="20"/>
  <c r="R177" i="20"/>
  <c r="S177" i="20" s="1"/>
  <c r="T177" i="20"/>
  <c r="U177" i="20"/>
  <c r="V177" i="20"/>
  <c r="W177" i="20"/>
  <c r="X177" i="20"/>
  <c r="Y177" i="20"/>
  <c r="Z177" i="20"/>
  <c r="AA177" i="20"/>
  <c r="AB177" i="20"/>
  <c r="AC177" i="20"/>
  <c r="AF177" i="20"/>
  <c r="AG177" i="20"/>
  <c r="AH177" i="20"/>
  <c r="AI177" i="20"/>
  <c r="AJ177" i="20"/>
  <c r="AK177" i="20"/>
  <c r="AL177" i="20"/>
  <c r="AM177" i="20"/>
  <c r="A178" i="20"/>
  <c r="B178" i="20"/>
  <c r="C178" i="20"/>
  <c r="E178" i="20"/>
  <c r="F178" i="20"/>
  <c r="G178" i="20"/>
  <c r="H178" i="20"/>
  <c r="I178" i="20" s="1"/>
  <c r="J178" i="20"/>
  <c r="K178" i="20"/>
  <c r="L178" i="20"/>
  <c r="M178" i="20"/>
  <c r="N178" i="20"/>
  <c r="O178" i="20"/>
  <c r="P178" i="20"/>
  <c r="Q178" i="20"/>
  <c r="R178" i="20"/>
  <c r="S178" i="20" s="1"/>
  <c r="T178" i="20"/>
  <c r="U178" i="20"/>
  <c r="V178" i="20"/>
  <c r="W178" i="20"/>
  <c r="X178" i="20"/>
  <c r="Y178" i="20"/>
  <c r="Z178" i="20"/>
  <c r="AA178" i="20"/>
  <c r="AB178" i="20"/>
  <c r="AC178" i="20"/>
  <c r="AF178" i="20"/>
  <c r="AG178" i="20"/>
  <c r="AH178" i="20"/>
  <c r="AI178" i="20"/>
  <c r="AJ178" i="20"/>
  <c r="AK178" i="20"/>
  <c r="AL178" i="20"/>
  <c r="AM178" i="20"/>
  <c r="A179" i="20"/>
  <c r="B179" i="20"/>
  <c r="C179" i="20"/>
  <c r="E179" i="20"/>
  <c r="F179" i="20"/>
  <c r="G179" i="20"/>
  <c r="H179" i="20"/>
  <c r="I179" i="20" s="1"/>
  <c r="J179" i="20"/>
  <c r="K179" i="20"/>
  <c r="L179" i="20"/>
  <c r="M179" i="20"/>
  <c r="N179" i="20"/>
  <c r="O179" i="20"/>
  <c r="P179" i="20"/>
  <c r="Q179" i="20"/>
  <c r="R179" i="20"/>
  <c r="S179" i="20" s="1"/>
  <c r="T179" i="20"/>
  <c r="U179" i="20"/>
  <c r="V179" i="20"/>
  <c r="W179" i="20"/>
  <c r="X179" i="20"/>
  <c r="Y179" i="20"/>
  <c r="Z179" i="20"/>
  <c r="AA179" i="20"/>
  <c r="AB179" i="20"/>
  <c r="AC179" i="20"/>
  <c r="AF179" i="20"/>
  <c r="AG179" i="20"/>
  <c r="AH179" i="20"/>
  <c r="AI179" i="20"/>
  <c r="AJ179" i="20"/>
  <c r="AK179" i="20"/>
  <c r="AL179" i="20"/>
  <c r="AM179" i="20"/>
  <c r="A180" i="20"/>
  <c r="B180" i="20"/>
  <c r="C180" i="20"/>
  <c r="E180" i="20"/>
  <c r="F180" i="20"/>
  <c r="G180" i="20"/>
  <c r="H180" i="20"/>
  <c r="I180" i="20" s="1"/>
  <c r="J180" i="20"/>
  <c r="K180" i="20"/>
  <c r="L180" i="20"/>
  <c r="M180" i="20"/>
  <c r="N180" i="20"/>
  <c r="O180" i="20"/>
  <c r="P180" i="20"/>
  <c r="Q180" i="20"/>
  <c r="R180" i="20"/>
  <c r="S180" i="20" s="1"/>
  <c r="T180" i="20"/>
  <c r="U180" i="20"/>
  <c r="V180" i="20"/>
  <c r="W180" i="20"/>
  <c r="X180" i="20"/>
  <c r="Y180" i="20"/>
  <c r="Z180" i="20"/>
  <c r="AA180" i="20"/>
  <c r="AB180" i="20"/>
  <c r="AC180" i="20"/>
  <c r="AF180" i="20"/>
  <c r="AG180" i="20"/>
  <c r="AH180" i="20"/>
  <c r="AI180" i="20"/>
  <c r="AJ180" i="20"/>
  <c r="AK180" i="20"/>
  <c r="AL180" i="20"/>
  <c r="AM180" i="20"/>
  <c r="A181" i="20"/>
  <c r="B181" i="20"/>
  <c r="C181" i="20"/>
  <c r="E181" i="20"/>
  <c r="F181" i="20"/>
  <c r="G181" i="20"/>
  <c r="H181" i="20"/>
  <c r="I181" i="20" s="1"/>
  <c r="J181" i="20"/>
  <c r="K181" i="20"/>
  <c r="L181" i="20"/>
  <c r="M181" i="20"/>
  <c r="N181" i="20"/>
  <c r="O181" i="20"/>
  <c r="P181" i="20"/>
  <c r="Q181" i="20"/>
  <c r="R181" i="20"/>
  <c r="S181" i="20" s="1"/>
  <c r="T181" i="20"/>
  <c r="U181" i="20"/>
  <c r="V181" i="20"/>
  <c r="W181" i="20"/>
  <c r="X181" i="20"/>
  <c r="Y181" i="20"/>
  <c r="Z181" i="20"/>
  <c r="AA181" i="20"/>
  <c r="AB181" i="20"/>
  <c r="AC181" i="20"/>
  <c r="AF181" i="20"/>
  <c r="AG181" i="20"/>
  <c r="AH181" i="20"/>
  <c r="AI181" i="20"/>
  <c r="AJ181" i="20"/>
  <c r="AK181" i="20"/>
  <c r="AL181" i="20"/>
  <c r="AM181" i="20"/>
  <c r="A182" i="20"/>
  <c r="B182" i="20"/>
  <c r="C182" i="20"/>
  <c r="E182" i="20"/>
  <c r="F182" i="20"/>
  <c r="G182" i="20"/>
  <c r="H182" i="20"/>
  <c r="I182" i="20" s="1"/>
  <c r="J182" i="20"/>
  <c r="K182" i="20"/>
  <c r="L182" i="20"/>
  <c r="M182" i="20"/>
  <c r="N182" i="20"/>
  <c r="O182" i="20"/>
  <c r="P182" i="20"/>
  <c r="R182" i="20"/>
  <c r="S182" i="20" s="1"/>
  <c r="T182" i="20"/>
  <c r="U182" i="20"/>
  <c r="V182" i="20"/>
  <c r="W182" i="20"/>
  <c r="X182" i="20"/>
  <c r="Y182" i="20"/>
  <c r="Z182" i="20"/>
  <c r="AA182" i="20"/>
  <c r="AB182" i="20"/>
  <c r="AC182" i="20"/>
  <c r="AF182" i="20"/>
  <c r="AG182" i="20"/>
  <c r="AH182" i="20"/>
  <c r="AI182" i="20"/>
  <c r="AJ182" i="20"/>
  <c r="AK182" i="20"/>
  <c r="AL182" i="20"/>
  <c r="AM182" i="20"/>
  <c r="A183" i="20"/>
  <c r="B183" i="20"/>
  <c r="C183" i="20"/>
  <c r="E183" i="20"/>
  <c r="F183" i="20"/>
  <c r="G183" i="20"/>
  <c r="H183" i="20"/>
  <c r="I183" i="20" s="1"/>
  <c r="J183" i="20"/>
  <c r="K183" i="20"/>
  <c r="L183" i="20"/>
  <c r="M183" i="20"/>
  <c r="N183" i="20"/>
  <c r="O183" i="20"/>
  <c r="P183" i="20"/>
  <c r="Q183" i="20"/>
  <c r="R183" i="20"/>
  <c r="S183" i="20" s="1"/>
  <c r="T183" i="20"/>
  <c r="U183" i="20"/>
  <c r="V183" i="20"/>
  <c r="W183" i="20"/>
  <c r="X183" i="20"/>
  <c r="Y183" i="20"/>
  <c r="Z183" i="20"/>
  <c r="AA183" i="20"/>
  <c r="AB183" i="20"/>
  <c r="AC183" i="20"/>
  <c r="AF183" i="20"/>
  <c r="AG183" i="20"/>
  <c r="AH183" i="20"/>
  <c r="AI183" i="20"/>
  <c r="AJ183" i="20"/>
  <c r="AK183" i="20"/>
  <c r="AL183" i="20"/>
  <c r="AM183" i="20"/>
  <c r="A184" i="20"/>
  <c r="B184" i="20"/>
  <c r="C184" i="20"/>
  <c r="E184" i="20"/>
  <c r="F184" i="20"/>
  <c r="G184" i="20"/>
  <c r="H184" i="20"/>
  <c r="I184" i="20" s="1"/>
  <c r="J184" i="20"/>
  <c r="K184" i="20"/>
  <c r="L184" i="20"/>
  <c r="M184" i="20"/>
  <c r="N184" i="20"/>
  <c r="O184" i="20"/>
  <c r="P184" i="20"/>
  <c r="Q184" i="20"/>
  <c r="R184" i="20"/>
  <c r="S184" i="20" s="1"/>
  <c r="T184" i="20"/>
  <c r="U184" i="20"/>
  <c r="V184" i="20"/>
  <c r="W184" i="20"/>
  <c r="X184" i="20"/>
  <c r="Y184" i="20"/>
  <c r="Z184" i="20"/>
  <c r="AA184" i="20"/>
  <c r="AB184" i="20"/>
  <c r="AC184" i="20"/>
  <c r="AF184" i="20"/>
  <c r="AG184" i="20"/>
  <c r="AH184" i="20"/>
  <c r="AI184" i="20"/>
  <c r="AJ184" i="20"/>
  <c r="AK184" i="20"/>
  <c r="AL184" i="20"/>
  <c r="AM184" i="20"/>
  <c r="A185" i="20"/>
  <c r="B185" i="20"/>
  <c r="C185" i="20"/>
  <c r="E185" i="20"/>
  <c r="F185" i="20"/>
  <c r="G185" i="20"/>
  <c r="H185" i="20"/>
  <c r="I185" i="20" s="1"/>
  <c r="J185" i="20"/>
  <c r="K185" i="20"/>
  <c r="L185" i="20"/>
  <c r="M185" i="20"/>
  <c r="N185" i="20"/>
  <c r="O185" i="20"/>
  <c r="P185" i="20"/>
  <c r="Q185" i="20"/>
  <c r="R185" i="20"/>
  <c r="S185" i="20" s="1"/>
  <c r="T185" i="20"/>
  <c r="U185" i="20"/>
  <c r="V185" i="20"/>
  <c r="W185" i="20"/>
  <c r="X185" i="20"/>
  <c r="Y185" i="20"/>
  <c r="Z185" i="20"/>
  <c r="AA185" i="20"/>
  <c r="AB185" i="20"/>
  <c r="AC185" i="20"/>
  <c r="AF185" i="20"/>
  <c r="AG185" i="20"/>
  <c r="AH185" i="20"/>
  <c r="AI185" i="20"/>
  <c r="AJ185" i="20"/>
  <c r="AK185" i="20"/>
  <c r="AL185" i="20"/>
  <c r="AM185" i="20"/>
  <c r="A186" i="20"/>
  <c r="B186" i="20"/>
  <c r="C186" i="20"/>
  <c r="E186" i="20"/>
  <c r="F186" i="20"/>
  <c r="G186" i="20"/>
  <c r="H186" i="20"/>
  <c r="I186" i="20" s="1"/>
  <c r="J186" i="20"/>
  <c r="K186" i="20"/>
  <c r="L186" i="20"/>
  <c r="M186" i="20"/>
  <c r="N186" i="20"/>
  <c r="O186" i="20"/>
  <c r="P186" i="20"/>
  <c r="Q186" i="20"/>
  <c r="R186" i="20"/>
  <c r="S186" i="20" s="1"/>
  <c r="T186" i="20"/>
  <c r="U186" i="20"/>
  <c r="V186" i="20"/>
  <c r="W186" i="20"/>
  <c r="X186" i="20"/>
  <c r="Y186" i="20"/>
  <c r="Z186" i="20"/>
  <c r="AA186" i="20"/>
  <c r="AB186" i="20"/>
  <c r="AC186" i="20"/>
  <c r="AF186" i="20"/>
  <c r="AG186" i="20"/>
  <c r="AH186" i="20"/>
  <c r="AI186" i="20"/>
  <c r="AJ186" i="20"/>
  <c r="AK186" i="20"/>
  <c r="AL186" i="20"/>
  <c r="AM186" i="20"/>
  <c r="A187" i="20"/>
  <c r="B187" i="20"/>
  <c r="C187" i="20"/>
  <c r="E187" i="20"/>
  <c r="F187" i="20"/>
  <c r="G187" i="20"/>
  <c r="H187" i="20"/>
  <c r="I187" i="20" s="1"/>
  <c r="J187" i="20"/>
  <c r="K187" i="20"/>
  <c r="L187" i="20"/>
  <c r="M187" i="20"/>
  <c r="O187" i="20"/>
  <c r="Q187" i="20"/>
  <c r="R187" i="20"/>
  <c r="S187" i="20" s="1"/>
  <c r="T187" i="20"/>
  <c r="U187" i="20"/>
  <c r="V187" i="20"/>
  <c r="W187" i="20"/>
  <c r="Z187" i="20"/>
  <c r="AA187" i="20"/>
  <c r="AB187" i="20"/>
  <c r="AC187" i="20"/>
  <c r="AF187" i="20"/>
  <c r="AG187" i="20"/>
  <c r="AH187" i="20"/>
  <c r="AI187" i="20"/>
  <c r="AJ187" i="20"/>
  <c r="AK187" i="20"/>
  <c r="AL187" i="20"/>
  <c r="AM187" i="20"/>
  <c r="A188" i="20"/>
  <c r="B188" i="20"/>
  <c r="C188" i="20"/>
  <c r="E188" i="20"/>
  <c r="F188" i="20"/>
  <c r="G188" i="20"/>
  <c r="H188" i="20"/>
  <c r="I188" i="20" s="1"/>
  <c r="J188" i="20"/>
  <c r="K188" i="20"/>
  <c r="L188" i="20"/>
  <c r="M188" i="20"/>
  <c r="O188" i="20"/>
  <c r="Q188" i="20"/>
  <c r="R188" i="20"/>
  <c r="S188" i="20" s="1"/>
  <c r="T188" i="20"/>
  <c r="U188" i="20"/>
  <c r="V188" i="20"/>
  <c r="W188" i="20"/>
  <c r="X188" i="20"/>
  <c r="Y188" i="20"/>
  <c r="Z188" i="20"/>
  <c r="AA188" i="20"/>
  <c r="AB188" i="20"/>
  <c r="AC188" i="20"/>
  <c r="AF188" i="20"/>
  <c r="AG188" i="20"/>
  <c r="AH188" i="20"/>
  <c r="AI188" i="20"/>
  <c r="AJ188" i="20"/>
  <c r="AK188" i="20"/>
  <c r="AL188" i="20"/>
  <c r="AM188" i="20"/>
  <c r="A189" i="20"/>
  <c r="B189" i="20"/>
  <c r="C189" i="20"/>
  <c r="E189" i="20"/>
  <c r="F189" i="20"/>
  <c r="G189" i="20"/>
  <c r="H189" i="20"/>
  <c r="I189" i="20" s="1"/>
  <c r="J189" i="20"/>
  <c r="K189" i="20"/>
  <c r="L189" i="20"/>
  <c r="M189" i="20"/>
  <c r="N189" i="20"/>
  <c r="O189" i="20"/>
  <c r="P189" i="20"/>
  <c r="Q189" i="20"/>
  <c r="R189" i="20"/>
  <c r="S189" i="20" s="1"/>
  <c r="T189" i="20"/>
  <c r="U189" i="20"/>
  <c r="V189" i="20"/>
  <c r="W189" i="20"/>
  <c r="X189" i="20"/>
  <c r="Y189" i="20"/>
  <c r="Z189" i="20"/>
  <c r="AA189" i="20"/>
  <c r="AB189" i="20"/>
  <c r="AC189" i="20"/>
  <c r="AD189" i="20"/>
  <c r="AF189" i="20"/>
  <c r="AG189" i="20"/>
  <c r="AH189" i="20"/>
  <c r="AI189" i="20"/>
  <c r="AJ189" i="20"/>
  <c r="AK189" i="20"/>
  <c r="AL189" i="20"/>
  <c r="AM189" i="20"/>
  <c r="A190" i="20"/>
  <c r="B190" i="20"/>
  <c r="C190" i="20"/>
  <c r="E190" i="20"/>
  <c r="F190" i="20"/>
  <c r="G190" i="20"/>
  <c r="H190" i="20"/>
  <c r="I190" i="20" s="1"/>
  <c r="J190" i="20"/>
  <c r="K190" i="20"/>
  <c r="L190" i="20"/>
  <c r="M190" i="20"/>
  <c r="N190" i="20"/>
  <c r="O190" i="20"/>
  <c r="P190" i="20"/>
  <c r="Q190" i="20"/>
  <c r="R190" i="20"/>
  <c r="S190" i="20" s="1"/>
  <c r="T190" i="20"/>
  <c r="U190" i="20"/>
  <c r="V190" i="20"/>
  <c r="W190" i="20"/>
  <c r="X190" i="20"/>
  <c r="Y190" i="20"/>
  <c r="Z190" i="20"/>
  <c r="AA190" i="20"/>
  <c r="AB190" i="20"/>
  <c r="AC190" i="20"/>
  <c r="AD190" i="20"/>
  <c r="AF190" i="20"/>
  <c r="AG190" i="20"/>
  <c r="AH190" i="20"/>
  <c r="AI190" i="20"/>
  <c r="AJ190" i="20"/>
  <c r="AK190" i="20"/>
  <c r="AL190" i="20"/>
  <c r="AM190" i="20"/>
  <c r="A191" i="20"/>
  <c r="B191" i="20"/>
  <c r="C191" i="20"/>
  <c r="E191" i="20"/>
  <c r="F191" i="20"/>
  <c r="G191" i="20"/>
  <c r="H191" i="20"/>
  <c r="I191" i="20" s="1"/>
  <c r="J191" i="20"/>
  <c r="K191" i="20"/>
  <c r="L191" i="20"/>
  <c r="M191" i="20"/>
  <c r="N191" i="20"/>
  <c r="O191" i="20"/>
  <c r="P191" i="20"/>
  <c r="Q191" i="20"/>
  <c r="R191" i="20"/>
  <c r="S191" i="20" s="1"/>
  <c r="T191" i="20"/>
  <c r="U191" i="20"/>
  <c r="V191" i="20"/>
  <c r="W191" i="20"/>
  <c r="X191" i="20"/>
  <c r="Y191" i="20"/>
  <c r="Z191" i="20"/>
  <c r="AA191" i="20"/>
  <c r="AB191" i="20"/>
  <c r="AC191" i="20"/>
  <c r="AD191" i="20"/>
  <c r="AF191" i="20"/>
  <c r="AG191" i="20"/>
  <c r="AH191" i="20"/>
  <c r="AI191" i="20"/>
  <c r="AJ191" i="20"/>
  <c r="AK191" i="20"/>
  <c r="AL191" i="20"/>
  <c r="AM191" i="20"/>
  <c r="A192" i="20"/>
  <c r="B192" i="20"/>
  <c r="C192" i="20"/>
  <c r="E192" i="20"/>
  <c r="F192" i="20"/>
  <c r="G192" i="20"/>
  <c r="H192" i="20"/>
  <c r="I192" i="20" s="1"/>
  <c r="J192" i="20"/>
  <c r="K192" i="20"/>
  <c r="L192" i="20"/>
  <c r="M192" i="20"/>
  <c r="N192" i="20"/>
  <c r="O192" i="20"/>
  <c r="P192" i="20"/>
  <c r="Q192" i="20"/>
  <c r="R192" i="20"/>
  <c r="S192" i="20" s="1"/>
  <c r="T192" i="20"/>
  <c r="U192" i="20"/>
  <c r="V192" i="20"/>
  <c r="W192" i="20"/>
  <c r="X192" i="20"/>
  <c r="Y192" i="20"/>
  <c r="Z192" i="20"/>
  <c r="AA192" i="20"/>
  <c r="AB192" i="20"/>
  <c r="AC192" i="20"/>
  <c r="AD192" i="20"/>
  <c r="AF192" i="20"/>
  <c r="AG192" i="20"/>
  <c r="AH192" i="20"/>
  <c r="AI192" i="20"/>
  <c r="AJ192" i="20"/>
  <c r="AK192" i="20"/>
  <c r="AL192" i="20"/>
  <c r="AM192" i="20"/>
  <c r="A193" i="20"/>
  <c r="B193" i="20"/>
  <c r="C193" i="20"/>
  <c r="E193" i="20"/>
  <c r="F193" i="20"/>
  <c r="G193" i="20"/>
  <c r="H193" i="20"/>
  <c r="I193" i="20" s="1"/>
  <c r="J193" i="20"/>
  <c r="K193" i="20"/>
  <c r="L193" i="20"/>
  <c r="M193" i="20"/>
  <c r="N193" i="20"/>
  <c r="O193" i="20"/>
  <c r="P193" i="20"/>
  <c r="Q193" i="20"/>
  <c r="R193" i="20"/>
  <c r="S193" i="20" s="1"/>
  <c r="T193" i="20"/>
  <c r="U193" i="20"/>
  <c r="V193" i="20"/>
  <c r="W193" i="20"/>
  <c r="X193" i="20"/>
  <c r="Y193" i="20"/>
  <c r="Z193" i="20"/>
  <c r="AA193" i="20"/>
  <c r="AB193" i="20"/>
  <c r="AC193" i="20"/>
  <c r="AD193" i="20"/>
  <c r="AF193" i="20"/>
  <c r="AG193" i="20"/>
  <c r="AH193" i="20"/>
  <c r="AI193" i="20"/>
  <c r="AJ193" i="20"/>
  <c r="AK193" i="20"/>
  <c r="AL193" i="20"/>
  <c r="AM193" i="20"/>
  <c r="A110" i="20"/>
  <c r="B110" i="20"/>
  <c r="C110" i="20"/>
  <c r="E110" i="20"/>
  <c r="F110" i="20"/>
  <c r="G110" i="20"/>
  <c r="H110" i="20"/>
  <c r="I110" i="20" s="1"/>
  <c r="J110" i="20"/>
  <c r="L110" i="20"/>
  <c r="N110" i="20"/>
  <c r="O110" i="20"/>
  <c r="Q110" i="20"/>
  <c r="R110" i="20"/>
  <c r="S110" i="20" s="1"/>
  <c r="T110" i="20"/>
  <c r="U110" i="20"/>
  <c r="V110" i="20"/>
  <c r="W110" i="20"/>
  <c r="X110" i="20"/>
  <c r="Y110" i="20"/>
  <c r="Z110" i="20"/>
  <c r="AA110" i="20"/>
  <c r="AB110" i="20"/>
  <c r="AC110" i="20"/>
  <c r="AF110" i="20"/>
  <c r="AG110" i="20"/>
  <c r="AH110" i="20"/>
  <c r="AI110" i="20"/>
  <c r="AJ110" i="20"/>
  <c r="AK110" i="20"/>
  <c r="AL110" i="20"/>
  <c r="AM110" i="20"/>
  <c r="A111" i="20"/>
  <c r="B111" i="20"/>
  <c r="C111" i="20"/>
  <c r="E111" i="20"/>
  <c r="F111" i="20"/>
  <c r="G111" i="20"/>
  <c r="H111" i="20"/>
  <c r="I111" i="20" s="1"/>
  <c r="J111" i="20"/>
  <c r="K111" i="20"/>
  <c r="L111" i="20"/>
  <c r="M111" i="20"/>
  <c r="N111" i="20"/>
  <c r="O111" i="20"/>
  <c r="Q111" i="20"/>
  <c r="R111" i="20"/>
  <c r="S111" i="20" s="1"/>
  <c r="T111" i="20"/>
  <c r="U111" i="20"/>
  <c r="V111" i="20"/>
  <c r="W111" i="20"/>
  <c r="X111" i="20"/>
  <c r="Y111" i="20"/>
  <c r="Z111" i="20"/>
  <c r="AA111" i="20"/>
  <c r="AB111" i="20"/>
  <c r="AC111" i="20"/>
  <c r="AF111" i="20"/>
  <c r="AG111" i="20"/>
  <c r="AH111" i="20"/>
  <c r="AI111" i="20"/>
  <c r="AJ111" i="20"/>
  <c r="AK111" i="20"/>
  <c r="AL111" i="20"/>
  <c r="AM111" i="20"/>
  <c r="A112" i="20"/>
  <c r="B112" i="20"/>
  <c r="C112" i="20"/>
  <c r="E112" i="20"/>
  <c r="F112" i="20"/>
  <c r="G112" i="20"/>
  <c r="H112" i="20"/>
  <c r="I112" i="20" s="1"/>
  <c r="J112" i="20"/>
  <c r="K112" i="20"/>
  <c r="L112" i="20"/>
  <c r="M112" i="20"/>
  <c r="N112" i="20"/>
  <c r="O112" i="20"/>
  <c r="P112" i="20"/>
  <c r="Q112" i="20"/>
  <c r="R112" i="20"/>
  <c r="S112" i="20" s="1"/>
  <c r="T112" i="20"/>
  <c r="U112" i="20"/>
  <c r="V112" i="20"/>
  <c r="W112" i="20"/>
  <c r="X112" i="20"/>
  <c r="Y112" i="20"/>
  <c r="Z112" i="20"/>
  <c r="AA112" i="20"/>
  <c r="AB112" i="20"/>
  <c r="AC112" i="20"/>
  <c r="AF112" i="20"/>
  <c r="AG112" i="20"/>
  <c r="AH112" i="20"/>
  <c r="AI112" i="20"/>
  <c r="AJ112" i="20"/>
  <c r="AK112" i="20"/>
  <c r="AL112" i="20"/>
  <c r="AM112" i="20"/>
  <c r="A113" i="20"/>
  <c r="B113" i="20"/>
  <c r="C113" i="20"/>
  <c r="E113" i="20"/>
  <c r="F113" i="20"/>
  <c r="G113" i="20"/>
  <c r="H113" i="20"/>
  <c r="I113" i="20" s="1"/>
  <c r="J113" i="20"/>
  <c r="K113" i="20"/>
  <c r="L113" i="20"/>
  <c r="M113" i="20"/>
  <c r="N113" i="20"/>
  <c r="O113" i="20"/>
  <c r="P113" i="20"/>
  <c r="Q113" i="20"/>
  <c r="R113" i="20"/>
  <c r="S113" i="20" s="1"/>
  <c r="T113" i="20"/>
  <c r="U113" i="20"/>
  <c r="V113" i="20"/>
  <c r="W113" i="20"/>
  <c r="X113" i="20"/>
  <c r="Y113" i="20"/>
  <c r="Z113" i="20"/>
  <c r="AA113" i="20"/>
  <c r="AB113" i="20"/>
  <c r="AC113" i="20"/>
  <c r="AF113" i="20"/>
  <c r="AG113" i="20"/>
  <c r="AH113" i="20"/>
  <c r="AI113" i="20"/>
  <c r="AJ113" i="20"/>
  <c r="AK113" i="20"/>
  <c r="AL113" i="20"/>
  <c r="AM113" i="20"/>
  <c r="A114" i="20"/>
  <c r="B114" i="20"/>
  <c r="C114" i="20"/>
  <c r="E114" i="20"/>
  <c r="F114" i="20"/>
  <c r="G114" i="20"/>
  <c r="H114" i="20"/>
  <c r="I114" i="20" s="1"/>
  <c r="J114" i="20"/>
  <c r="K114" i="20"/>
  <c r="L114" i="20"/>
  <c r="M114" i="20"/>
  <c r="N114" i="20"/>
  <c r="O114" i="20"/>
  <c r="Q114" i="20"/>
  <c r="R114" i="20"/>
  <c r="S114" i="20" s="1"/>
  <c r="T114" i="20"/>
  <c r="U114" i="20"/>
  <c r="V114" i="20"/>
  <c r="W114" i="20"/>
  <c r="X114" i="20"/>
  <c r="Y114" i="20"/>
  <c r="Z114" i="20"/>
  <c r="AA114" i="20"/>
  <c r="AB114" i="20"/>
  <c r="AC114" i="20"/>
  <c r="AF114" i="20"/>
  <c r="AG114" i="20"/>
  <c r="AH114" i="20"/>
  <c r="AI114" i="20"/>
  <c r="AJ114" i="20"/>
  <c r="AK114" i="20"/>
  <c r="AL114" i="20"/>
  <c r="AM114" i="20"/>
  <c r="A115" i="20"/>
  <c r="B115" i="20"/>
  <c r="C115" i="20"/>
  <c r="E115" i="20"/>
  <c r="F115" i="20"/>
  <c r="G115" i="20"/>
  <c r="H115" i="20"/>
  <c r="I115" i="20" s="1"/>
  <c r="J115" i="20"/>
  <c r="K115" i="20"/>
  <c r="L115" i="20"/>
  <c r="M115" i="20"/>
  <c r="N115" i="20"/>
  <c r="O115" i="20"/>
  <c r="P115" i="20"/>
  <c r="Q115" i="20"/>
  <c r="R115" i="20"/>
  <c r="S115" i="20" s="1"/>
  <c r="T115" i="20"/>
  <c r="U115" i="20"/>
  <c r="V115" i="20"/>
  <c r="W115" i="20"/>
  <c r="X115" i="20"/>
  <c r="Y115" i="20"/>
  <c r="Z115" i="20"/>
  <c r="AA115" i="20"/>
  <c r="AB115" i="20"/>
  <c r="AC115" i="20"/>
  <c r="AF115" i="20"/>
  <c r="AG115" i="20"/>
  <c r="AH115" i="20"/>
  <c r="AI115" i="20"/>
  <c r="AJ115" i="20"/>
  <c r="AK115" i="20"/>
  <c r="AL115" i="20"/>
  <c r="AM115" i="20"/>
  <c r="A116" i="20"/>
  <c r="B116" i="20"/>
  <c r="C116" i="20"/>
  <c r="E116" i="20"/>
  <c r="F116" i="20"/>
  <c r="G116" i="20"/>
  <c r="H116" i="20"/>
  <c r="I116" i="20" s="1"/>
  <c r="J116" i="20"/>
  <c r="K116" i="20"/>
  <c r="L116" i="20"/>
  <c r="M116" i="20"/>
  <c r="N116" i="20"/>
  <c r="O116" i="20"/>
  <c r="P116" i="20"/>
  <c r="Q116" i="20"/>
  <c r="R116" i="20"/>
  <c r="S116" i="20" s="1"/>
  <c r="T116" i="20"/>
  <c r="U116" i="20"/>
  <c r="V116" i="20"/>
  <c r="W116" i="20"/>
  <c r="X116" i="20"/>
  <c r="Y116" i="20"/>
  <c r="Z116" i="20"/>
  <c r="AA116" i="20"/>
  <c r="AB116" i="20"/>
  <c r="AC116" i="20"/>
  <c r="AF116" i="20"/>
  <c r="AG116" i="20"/>
  <c r="AH116" i="20"/>
  <c r="AI116" i="20"/>
  <c r="AJ116" i="20"/>
  <c r="AK116" i="20"/>
  <c r="AL116" i="20"/>
  <c r="AM116" i="20"/>
  <c r="A117" i="20"/>
  <c r="B117" i="20"/>
  <c r="C117" i="20"/>
  <c r="E117" i="20"/>
  <c r="F117" i="20"/>
  <c r="G117" i="20"/>
  <c r="H117" i="20"/>
  <c r="I117" i="20" s="1"/>
  <c r="J117" i="20"/>
  <c r="K117" i="20"/>
  <c r="L117" i="20"/>
  <c r="M117" i="20"/>
  <c r="N117" i="20"/>
  <c r="O117" i="20"/>
  <c r="Q117" i="20"/>
  <c r="R117" i="20"/>
  <c r="S117" i="20" s="1"/>
  <c r="T117" i="20"/>
  <c r="U117" i="20"/>
  <c r="V117" i="20"/>
  <c r="W117" i="20"/>
  <c r="X117" i="20"/>
  <c r="Y117" i="20"/>
  <c r="Z117" i="20"/>
  <c r="AA117" i="20"/>
  <c r="AB117" i="20"/>
  <c r="AC117" i="20"/>
  <c r="AF117" i="20"/>
  <c r="AG117" i="20"/>
  <c r="AH117" i="20"/>
  <c r="AI117" i="20"/>
  <c r="AJ117" i="20"/>
  <c r="AK117" i="20"/>
  <c r="AL117" i="20"/>
  <c r="AM117" i="20"/>
  <c r="A118" i="20"/>
  <c r="B118" i="20"/>
  <c r="C118" i="20"/>
  <c r="E118" i="20"/>
  <c r="F118" i="20"/>
  <c r="G118" i="20"/>
  <c r="H118" i="20"/>
  <c r="I118" i="20" s="1"/>
  <c r="J118" i="20"/>
  <c r="K118" i="20"/>
  <c r="L118" i="20"/>
  <c r="M118" i="20"/>
  <c r="N118" i="20"/>
  <c r="O118" i="20"/>
  <c r="P118" i="20"/>
  <c r="Q118" i="20"/>
  <c r="R118" i="20"/>
  <c r="S118" i="20" s="1"/>
  <c r="T118" i="20"/>
  <c r="U118" i="20"/>
  <c r="V118" i="20"/>
  <c r="W118" i="20"/>
  <c r="X118" i="20"/>
  <c r="Y118" i="20"/>
  <c r="Z118" i="20"/>
  <c r="AA118" i="20"/>
  <c r="AB118" i="20"/>
  <c r="AC118" i="20"/>
  <c r="AF118" i="20"/>
  <c r="AG118" i="20"/>
  <c r="AH118" i="20"/>
  <c r="AI118" i="20"/>
  <c r="AJ118" i="20"/>
  <c r="AK118" i="20"/>
  <c r="AL118" i="20"/>
  <c r="AM118" i="20"/>
  <c r="A119" i="20"/>
  <c r="B119" i="20"/>
  <c r="C119" i="20"/>
  <c r="E119" i="20"/>
  <c r="F119" i="20"/>
  <c r="G119" i="20"/>
  <c r="H119" i="20"/>
  <c r="I119" i="20" s="1"/>
  <c r="J119" i="20"/>
  <c r="K119" i="20"/>
  <c r="L119" i="20"/>
  <c r="M119" i="20"/>
  <c r="N119" i="20"/>
  <c r="O119" i="20"/>
  <c r="P119" i="20"/>
  <c r="Q119" i="20"/>
  <c r="R119" i="20"/>
  <c r="S119" i="20" s="1"/>
  <c r="T119" i="20"/>
  <c r="U119" i="20"/>
  <c r="V119" i="20"/>
  <c r="W119" i="20"/>
  <c r="X119" i="20"/>
  <c r="Y119" i="20"/>
  <c r="Z119" i="20"/>
  <c r="AA119" i="20"/>
  <c r="AB119" i="20"/>
  <c r="AC119" i="20"/>
  <c r="AF119" i="20"/>
  <c r="AG119" i="20"/>
  <c r="AH119" i="20"/>
  <c r="AI119" i="20"/>
  <c r="AJ119" i="20"/>
  <c r="AK119" i="20"/>
  <c r="AL119" i="20"/>
  <c r="AM119" i="20"/>
  <c r="A120" i="20"/>
  <c r="B120" i="20"/>
  <c r="C120" i="20"/>
  <c r="E120" i="20"/>
  <c r="F120" i="20"/>
  <c r="G120" i="20"/>
  <c r="H120" i="20"/>
  <c r="I120" i="20" s="1"/>
  <c r="J120" i="20"/>
  <c r="K120" i="20"/>
  <c r="L120" i="20"/>
  <c r="M120" i="20"/>
  <c r="N120" i="20"/>
  <c r="O120" i="20"/>
  <c r="Q120" i="20"/>
  <c r="R120" i="20"/>
  <c r="S120" i="20" s="1"/>
  <c r="T120" i="20"/>
  <c r="U120" i="20"/>
  <c r="V120" i="20"/>
  <c r="W120" i="20"/>
  <c r="X120" i="20"/>
  <c r="Y120" i="20"/>
  <c r="Z120" i="20"/>
  <c r="AA120" i="20"/>
  <c r="AB120" i="20"/>
  <c r="AC120" i="20"/>
  <c r="AF120" i="20"/>
  <c r="AG120" i="20"/>
  <c r="AH120" i="20"/>
  <c r="AI120" i="20"/>
  <c r="AJ120" i="20"/>
  <c r="AK120" i="20"/>
  <c r="AL120" i="20"/>
  <c r="AM120" i="20"/>
  <c r="A121" i="20"/>
  <c r="B121" i="20"/>
  <c r="C121" i="20"/>
  <c r="E121" i="20"/>
  <c r="F121" i="20"/>
  <c r="G121" i="20"/>
  <c r="H121" i="20"/>
  <c r="I121" i="20" s="1"/>
  <c r="J121" i="20"/>
  <c r="K121" i="20"/>
  <c r="L121" i="20"/>
  <c r="M121" i="20"/>
  <c r="N121" i="20"/>
  <c r="O121" i="20"/>
  <c r="P121" i="20"/>
  <c r="Q121" i="20"/>
  <c r="R121" i="20"/>
  <c r="S121" i="20" s="1"/>
  <c r="T121" i="20"/>
  <c r="U121" i="20"/>
  <c r="V121" i="20"/>
  <c r="W121" i="20"/>
  <c r="X121" i="20"/>
  <c r="Y121" i="20"/>
  <c r="Z121" i="20"/>
  <c r="AA121" i="20"/>
  <c r="AB121" i="20"/>
  <c r="AC121" i="20"/>
  <c r="AF121" i="20"/>
  <c r="AG121" i="20"/>
  <c r="AH121" i="20"/>
  <c r="AI121" i="20"/>
  <c r="AJ121" i="20"/>
  <c r="AK121" i="20"/>
  <c r="AL121" i="20"/>
  <c r="AM121" i="20"/>
  <c r="A122" i="20"/>
  <c r="B122" i="20"/>
  <c r="C122" i="20"/>
  <c r="E122" i="20"/>
  <c r="F122" i="20"/>
  <c r="G122" i="20"/>
  <c r="H122" i="20"/>
  <c r="I122" i="20" s="1"/>
  <c r="J122" i="20"/>
  <c r="K122" i="20"/>
  <c r="L122" i="20"/>
  <c r="M122" i="20"/>
  <c r="N122" i="20"/>
  <c r="O122" i="20"/>
  <c r="P122" i="20"/>
  <c r="Q122" i="20"/>
  <c r="R122" i="20"/>
  <c r="S122" i="20" s="1"/>
  <c r="T122" i="20"/>
  <c r="U122" i="20"/>
  <c r="V122" i="20"/>
  <c r="W122" i="20"/>
  <c r="X122" i="20"/>
  <c r="Y122" i="20"/>
  <c r="Z122" i="20"/>
  <c r="AA122" i="20"/>
  <c r="AB122" i="20"/>
  <c r="AC122" i="20"/>
  <c r="AF122" i="20"/>
  <c r="AG122" i="20"/>
  <c r="AH122" i="20"/>
  <c r="AI122" i="20"/>
  <c r="AJ122" i="20"/>
  <c r="AK122" i="20"/>
  <c r="AL122" i="20"/>
  <c r="AM122" i="20"/>
  <c r="A123" i="20"/>
  <c r="B123" i="20"/>
  <c r="C123" i="20"/>
  <c r="E123" i="20"/>
  <c r="F123" i="20"/>
  <c r="G123" i="20"/>
  <c r="H123" i="20"/>
  <c r="I123" i="20" s="1"/>
  <c r="J123" i="20"/>
  <c r="K123" i="20"/>
  <c r="L123" i="20"/>
  <c r="M123" i="20"/>
  <c r="N123" i="20"/>
  <c r="O123" i="20"/>
  <c r="Q123" i="20"/>
  <c r="R123" i="20"/>
  <c r="S123" i="20" s="1"/>
  <c r="T123" i="20"/>
  <c r="U123" i="20"/>
  <c r="V123" i="20"/>
  <c r="W123" i="20"/>
  <c r="X123" i="20"/>
  <c r="Y123" i="20"/>
  <c r="Z123" i="20"/>
  <c r="AA123" i="20"/>
  <c r="AB123" i="20"/>
  <c r="AC123" i="20"/>
  <c r="AF123" i="20"/>
  <c r="AG123" i="20"/>
  <c r="AH123" i="20"/>
  <c r="AI123" i="20"/>
  <c r="AJ123" i="20"/>
  <c r="AK123" i="20"/>
  <c r="AL123" i="20"/>
  <c r="AM123" i="20"/>
  <c r="A124" i="20"/>
  <c r="B124" i="20"/>
  <c r="C124" i="20"/>
  <c r="E124" i="20"/>
  <c r="F124" i="20"/>
  <c r="G124" i="20"/>
  <c r="H124" i="20"/>
  <c r="I124" i="20" s="1"/>
  <c r="J124" i="20"/>
  <c r="K124" i="20"/>
  <c r="L124" i="20"/>
  <c r="M124" i="20"/>
  <c r="N124" i="20"/>
  <c r="O124" i="20"/>
  <c r="P124" i="20"/>
  <c r="Q124" i="20"/>
  <c r="R124" i="20"/>
  <c r="S124" i="20" s="1"/>
  <c r="T124" i="20"/>
  <c r="U124" i="20"/>
  <c r="V124" i="20"/>
  <c r="W124" i="20"/>
  <c r="X124" i="20"/>
  <c r="Y124" i="20"/>
  <c r="Z124" i="20"/>
  <c r="AA124" i="20"/>
  <c r="AB124" i="20"/>
  <c r="AC124" i="20"/>
  <c r="AF124" i="20"/>
  <c r="AG124" i="20"/>
  <c r="AH124" i="20"/>
  <c r="AI124" i="20"/>
  <c r="AJ124" i="20"/>
  <c r="AK124" i="20"/>
  <c r="AL124" i="20"/>
  <c r="AM124" i="20"/>
  <c r="A125" i="20"/>
  <c r="B125" i="20"/>
  <c r="C125" i="20"/>
  <c r="E125" i="20"/>
  <c r="F125" i="20"/>
  <c r="G125" i="20"/>
  <c r="H125" i="20"/>
  <c r="I125" i="20" s="1"/>
  <c r="J125" i="20"/>
  <c r="K125" i="20"/>
  <c r="L125" i="20"/>
  <c r="M125" i="20"/>
  <c r="N125" i="20"/>
  <c r="O125" i="20"/>
  <c r="P125" i="20"/>
  <c r="Q125" i="20"/>
  <c r="R125" i="20"/>
  <c r="S125" i="20" s="1"/>
  <c r="T125" i="20"/>
  <c r="U125" i="20"/>
  <c r="V125" i="20"/>
  <c r="W125" i="20"/>
  <c r="X125" i="20"/>
  <c r="Y125" i="20"/>
  <c r="Z125" i="20"/>
  <c r="AA125" i="20"/>
  <c r="AB125" i="20"/>
  <c r="AC125" i="20"/>
  <c r="AF125" i="20"/>
  <c r="AG125" i="20"/>
  <c r="AH125" i="20"/>
  <c r="AI125" i="20"/>
  <c r="AJ125" i="20"/>
  <c r="AK125" i="20"/>
  <c r="AL125" i="20"/>
  <c r="AM125" i="20"/>
  <c r="A126" i="20"/>
  <c r="B126" i="20"/>
  <c r="C126" i="20"/>
  <c r="E126" i="20"/>
  <c r="F126" i="20"/>
  <c r="G126" i="20"/>
  <c r="H126" i="20"/>
  <c r="I126" i="20" s="1"/>
  <c r="J126" i="20"/>
  <c r="K126" i="20"/>
  <c r="L126" i="20"/>
  <c r="M126" i="20"/>
  <c r="N126" i="20"/>
  <c r="O126" i="20"/>
  <c r="Q126" i="20"/>
  <c r="R126" i="20"/>
  <c r="S126" i="20" s="1"/>
  <c r="T126" i="20"/>
  <c r="U126" i="20"/>
  <c r="V126" i="20"/>
  <c r="W126" i="20"/>
  <c r="X126" i="20"/>
  <c r="Y126" i="20"/>
  <c r="Z126" i="20"/>
  <c r="AA126" i="20"/>
  <c r="AB126" i="20"/>
  <c r="AC126" i="20"/>
  <c r="AF126" i="20"/>
  <c r="AG126" i="20"/>
  <c r="AH126" i="20"/>
  <c r="AI126" i="20"/>
  <c r="AJ126" i="20"/>
  <c r="AK126" i="20"/>
  <c r="AL126" i="20"/>
  <c r="AM126" i="20"/>
  <c r="A127" i="20"/>
  <c r="B127" i="20"/>
  <c r="C127" i="20"/>
  <c r="E127" i="20"/>
  <c r="F127" i="20"/>
  <c r="G127" i="20"/>
  <c r="H127" i="20"/>
  <c r="I127" i="20" s="1"/>
  <c r="J127" i="20"/>
  <c r="K127" i="20"/>
  <c r="L127" i="20"/>
  <c r="M127" i="20"/>
  <c r="N127" i="20"/>
  <c r="O127" i="20"/>
  <c r="P127" i="20"/>
  <c r="Q127" i="20"/>
  <c r="R127" i="20"/>
  <c r="S127" i="20" s="1"/>
  <c r="T127" i="20"/>
  <c r="U127" i="20"/>
  <c r="V127" i="20"/>
  <c r="W127" i="20"/>
  <c r="X127" i="20"/>
  <c r="Y127" i="20"/>
  <c r="Z127" i="20"/>
  <c r="AA127" i="20"/>
  <c r="AB127" i="20"/>
  <c r="AC127" i="20"/>
  <c r="AF127" i="20"/>
  <c r="AG127" i="20"/>
  <c r="AH127" i="20"/>
  <c r="AI127" i="20"/>
  <c r="AJ127" i="20"/>
  <c r="AK127" i="20"/>
  <c r="AL127" i="20"/>
  <c r="AM127" i="20"/>
  <c r="A128" i="20"/>
  <c r="B128" i="20"/>
  <c r="C128" i="20"/>
  <c r="E128" i="20"/>
  <c r="F128" i="20"/>
  <c r="G128" i="20"/>
  <c r="H128" i="20"/>
  <c r="I128" i="20" s="1"/>
  <c r="J128" i="20"/>
  <c r="K128" i="20"/>
  <c r="L128" i="20"/>
  <c r="M128" i="20"/>
  <c r="N128" i="20"/>
  <c r="O128" i="20"/>
  <c r="P128" i="20"/>
  <c r="Q128" i="20"/>
  <c r="R128" i="20"/>
  <c r="S128" i="20" s="1"/>
  <c r="T128" i="20"/>
  <c r="U128" i="20"/>
  <c r="V128" i="20"/>
  <c r="W128" i="20"/>
  <c r="X128" i="20"/>
  <c r="Y128" i="20"/>
  <c r="Z128" i="20"/>
  <c r="AA128" i="20"/>
  <c r="AB128" i="20"/>
  <c r="AC128" i="20"/>
  <c r="AF128" i="20"/>
  <c r="AG128" i="20"/>
  <c r="AH128" i="20"/>
  <c r="AI128" i="20"/>
  <c r="AJ128" i="20"/>
  <c r="AK128" i="20"/>
  <c r="AL128" i="20"/>
  <c r="AM128" i="20"/>
  <c r="A129" i="20"/>
  <c r="B129" i="20"/>
  <c r="C129" i="20"/>
  <c r="E129" i="20"/>
  <c r="F129" i="20"/>
  <c r="G129" i="20"/>
  <c r="H129" i="20"/>
  <c r="I129" i="20" s="1"/>
  <c r="J129" i="20"/>
  <c r="K129" i="20"/>
  <c r="L129" i="20"/>
  <c r="M129" i="20"/>
  <c r="N129" i="20"/>
  <c r="O129" i="20"/>
  <c r="Q129" i="20"/>
  <c r="R129" i="20"/>
  <c r="S129" i="20" s="1"/>
  <c r="T129" i="20"/>
  <c r="U129" i="20"/>
  <c r="V129" i="20"/>
  <c r="W129" i="20"/>
  <c r="X129" i="20"/>
  <c r="Y129" i="20"/>
  <c r="Z129" i="20"/>
  <c r="AA129" i="20"/>
  <c r="AB129" i="20"/>
  <c r="AC129" i="20"/>
  <c r="AF129" i="20"/>
  <c r="AG129" i="20"/>
  <c r="AH129" i="20"/>
  <c r="AI129" i="20"/>
  <c r="AJ129" i="20"/>
  <c r="AK129" i="20"/>
  <c r="AL129" i="20"/>
  <c r="AM129" i="20"/>
  <c r="A130" i="20"/>
  <c r="B130" i="20"/>
  <c r="C130" i="20"/>
  <c r="E130" i="20"/>
  <c r="F130" i="20"/>
  <c r="G130" i="20"/>
  <c r="H130" i="20"/>
  <c r="I130" i="20" s="1"/>
  <c r="J130" i="20"/>
  <c r="K130" i="20"/>
  <c r="L130" i="20"/>
  <c r="M130" i="20"/>
  <c r="N130" i="20"/>
  <c r="O130" i="20"/>
  <c r="P130" i="20"/>
  <c r="Q130" i="20"/>
  <c r="R130" i="20"/>
  <c r="S130" i="20" s="1"/>
  <c r="T130" i="20"/>
  <c r="U130" i="20"/>
  <c r="V130" i="20"/>
  <c r="W130" i="20"/>
  <c r="X130" i="20"/>
  <c r="Y130" i="20"/>
  <c r="Z130" i="20"/>
  <c r="AA130" i="20"/>
  <c r="AB130" i="20"/>
  <c r="AC130" i="20"/>
  <c r="AF130" i="20"/>
  <c r="AG130" i="20"/>
  <c r="AH130" i="20"/>
  <c r="AI130" i="20"/>
  <c r="AJ130" i="20"/>
  <c r="AK130" i="20"/>
  <c r="AL130" i="20"/>
  <c r="AM130" i="20"/>
  <c r="A131" i="20"/>
  <c r="B131" i="20"/>
  <c r="C131" i="20"/>
  <c r="E131" i="20"/>
  <c r="F131" i="20"/>
  <c r="G131" i="20"/>
  <c r="H131" i="20"/>
  <c r="I131" i="20" s="1"/>
  <c r="J131" i="20"/>
  <c r="K131" i="20"/>
  <c r="L131" i="20"/>
  <c r="M131" i="20"/>
  <c r="N131" i="20"/>
  <c r="O131" i="20"/>
  <c r="P131" i="20"/>
  <c r="Q131" i="20"/>
  <c r="R131" i="20"/>
  <c r="S131" i="20" s="1"/>
  <c r="T131" i="20"/>
  <c r="U131" i="20"/>
  <c r="V131" i="20"/>
  <c r="W131" i="20"/>
  <c r="X131" i="20"/>
  <c r="Y131" i="20"/>
  <c r="Z131" i="20"/>
  <c r="AA131" i="20"/>
  <c r="AB131" i="20"/>
  <c r="AC131" i="20"/>
  <c r="AF131" i="20"/>
  <c r="AG131" i="20"/>
  <c r="AH131" i="20"/>
  <c r="AI131" i="20"/>
  <c r="AJ131" i="20"/>
  <c r="AK131" i="20"/>
  <c r="AL131" i="20"/>
  <c r="AM131" i="20"/>
  <c r="A132" i="20"/>
  <c r="B132" i="20"/>
  <c r="C132" i="20"/>
  <c r="E132" i="20"/>
  <c r="F132" i="20"/>
  <c r="G132" i="20"/>
  <c r="H132" i="20"/>
  <c r="I132" i="20" s="1"/>
  <c r="J132" i="20"/>
  <c r="K132" i="20"/>
  <c r="L132" i="20"/>
  <c r="M132" i="20"/>
  <c r="N132" i="20"/>
  <c r="O132" i="20"/>
  <c r="Q132" i="20"/>
  <c r="R132" i="20"/>
  <c r="S132" i="20" s="1"/>
  <c r="T132" i="20"/>
  <c r="U132" i="20"/>
  <c r="V132" i="20"/>
  <c r="W132" i="20"/>
  <c r="X132" i="20"/>
  <c r="Y132" i="20"/>
  <c r="Z132" i="20"/>
  <c r="AA132" i="20"/>
  <c r="AB132" i="20"/>
  <c r="AC132" i="20"/>
  <c r="AF132" i="20"/>
  <c r="AG132" i="20"/>
  <c r="AH132" i="20"/>
  <c r="AI132" i="20"/>
  <c r="AJ132" i="20"/>
  <c r="AK132" i="20"/>
  <c r="AL132" i="20"/>
  <c r="AM132" i="20"/>
  <c r="A133" i="20"/>
  <c r="B133" i="20"/>
  <c r="C133" i="20"/>
  <c r="E133" i="20"/>
  <c r="F133" i="20"/>
  <c r="G133" i="20"/>
  <c r="H133" i="20"/>
  <c r="I133" i="20" s="1"/>
  <c r="J133" i="20"/>
  <c r="K133" i="20"/>
  <c r="L133" i="20"/>
  <c r="M133" i="20"/>
  <c r="N133" i="20"/>
  <c r="O133" i="20"/>
  <c r="P133" i="20"/>
  <c r="Q133" i="20"/>
  <c r="R133" i="20"/>
  <c r="S133" i="20" s="1"/>
  <c r="T133" i="20"/>
  <c r="U133" i="20"/>
  <c r="V133" i="20"/>
  <c r="W133" i="20"/>
  <c r="X133" i="20"/>
  <c r="Y133" i="20"/>
  <c r="Z133" i="20"/>
  <c r="AA133" i="20"/>
  <c r="AB133" i="20"/>
  <c r="AC133" i="20"/>
  <c r="AF133" i="20"/>
  <c r="AG133" i="20"/>
  <c r="AH133" i="20"/>
  <c r="AI133" i="20"/>
  <c r="AJ133" i="20"/>
  <c r="AK133" i="20"/>
  <c r="AL133" i="20"/>
  <c r="AM133" i="20"/>
  <c r="A134" i="20"/>
  <c r="B134" i="20"/>
  <c r="C134" i="20"/>
  <c r="E134" i="20"/>
  <c r="F134" i="20"/>
  <c r="G134" i="20"/>
  <c r="H134" i="20"/>
  <c r="I134" i="20" s="1"/>
  <c r="J134" i="20"/>
  <c r="K134" i="20"/>
  <c r="L134" i="20"/>
  <c r="M134" i="20"/>
  <c r="N134" i="20"/>
  <c r="O134" i="20"/>
  <c r="P134" i="20"/>
  <c r="Q134" i="20"/>
  <c r="R134" i="20"/>
  <c r="S134" i="20" s="1"/>
  <c r="T134" i="20"/>
  <c r="U134" i="20"/>
  <c r="V134" i="20"/>
  <c r="W134" i="20"/>
  <c r="X134" i="20"/>
  <c r="Y134" i="20"/>
  <c r="Z134" i="20"/>
  <c r="AA134" i="20"/>
  <c r="AB134" i="20"/>
  <c r="AC134" i="20"/>
  <c r="AF134" i="20"/>
  <c r="AG134" i="20"/>
  <c r="AH134" i="20"/>
  <c r="AI134" i="20"/>
  <c r="AJ134" i="20"/>
  <c r="AK134" i="20"/>
  <c r="AL134" i="20"/>
  <c r="AM134" i="20"/>
  <c r="A135" i="20"/>
  <c r="B135" i="20"/>
  <c r="C135" i="20"/>
  <c r="E135" i="20"/>
  <c r="F135" i="20"/>
  <c r="G135" i="20"/>
  <c r="H135" i="20"/>
  <c r="I135" i="20" s="1"/>
  <c r="J135" i="20"/>
  <c r="K135" i="20"/>
  <c r="L135" i="20"/>
  <c r="M135" i="20"/>
  <c r="N135" i="20"/>
  <c r="O135" i="20"/>
  <c r="P135" i="20"/>
  <c r="R135" i="20"/>
  <c r="S135" i="20" s="1"/>
  <c r="T135" i="20"/>
  <c r="U135" i="20"/>
  <c r="V135" i="20"/>
  <c r="W135" i="20"/>
  <c r="Z135" i="20"/>
  <c r="AA135" i="20"/>
  <c r="AB135" i="20"/>
  <c r="AC135" i="20"/>
  <c r="AF135" i="20"/>
  <c r="AG135" i="20"/>
  <c r="AH135" i="20"/>
  <c r="AI135" i="20"/>
  <c r="AJ135" i="20"/>
  <c r="AK135" i="20"/>
  <c r="AL135" i="20"/>
  <c r="AM135" i="20"/>
  <c r="A136" i="20"/>
  <c r="B136" i="20"/>
  <c r="C136" i="20"/>
  <c r="E136" i="20"/>
  <c r="F136" i="20"/>
  <c r="G136" i="20"/>
  <c r="H136" i="20"/>
  <c r="I136" i="20" s="1"/>
  <c r="J136" i="20"/>
  <c r="K136" i="20"/>
  <c r="L136" i="20"/>
  <c r="M136" i="20"/>
  <c r="N136" i="20"/>
  <c r="O136" i="20"/>
  <c r="P136" i="20"/>
  <c r="Q136" i="20"/>
  <c r="R136" i="20"/>
  <c r="S136" i="20" s="1"/>
  <c r="T136" i="20"/>
  <c r="U136" i="20"/>
  <c r="V136" i="20"/>
  <c r="W136" i="20"/>
  <c r="AA136" i="20"/>
  <c r="AB136" i="20"/>
  <c r="AC136" i="20"/>
  <c r="AF136" i="20"/>
  <c r="AG136" i="20"/>
  <c r="AH136" i="20"/>
  <c r="AI136" i="20"/>
  <c r="AJ136" i="20"/>
  <c r="AK136" i="20"/>
  <c r="AL136" i="20"/>
  <c r="AM136" i="20"/>
  <c r="A137" i="20"/>
  <c r="B137" i="20"/>
  <c r="C137" i="20"/>
  <c r="E137" i="20"/>
  <c r="F137" i="20"/>
  <c r="G137" i="20"/>
  <c r="H137" i="20"/>
  <c r="I137" i="20" s="1"/>
  <c r="J137" i="20"/>
  <c r="K137" i="20"/>
  <c r="L137" i="20"/>
  <c r="M137" i="20"/>
  <c r="N137" i="20"/>
  <c r="O137" i="20"/>
  <c r="P137" i="20"/>
  <c r="R137" i="20"/>
  <c r="S137" i="20" s="1"/>
  <c r="T137" i="20"/>
  <c r="U137" i="20"/>
  <c r="V137" i="20"/>
  <c r="W137" i="20"/>
  <c r="AA137" i="20"/>
  <c r="AB137" i="20"/>
  <c r="AC137" i="20"/>
  <c r="AF137" i="20"/>
  <c r="AG137" i="20"/>
  <c r="AH137" i="20"/>
  <c r="AI137" i="20"/>
  <c r="AJ137" i="20"/>
  <c r="AK137" i="20"/>
  <c r="AL137" i="20"/>
  <c r="AM137" i="20"/>
  <c r="A138" i="20"/>
  <c r="B138" i="20"/>
  <c r="C138" i="20"/>
  <c r="E138" i="20"/>
  <c r="F138" i="20"/>
  <c r="G138" i="20"/>
  <c r="H138" i="20"/>
  <c r="I138" i="20" s="1"/>
  <c r="J138" i="20"/>
  <c r="K138" i="20"/>
  <c r="L138" i="20"/>
  <c r="M138" i="20"/>
  <c r="N138" i="20"/>
  <c r="O138" i="20"/>
  <c r="P138" i="20"/>
  <c r="Q138" i="20"/>
  <c r="R138" i="20"/>
  <c r="S138" i="20" s="1"/>
  <c r="T138" i="20"/>
  <c r="U138" i="20"/>
  <c r="V138" i="20"/>
  <c r="W138" i="20"/>
  <c r="AA138" i="20"/>
  <c r="AB138" i="20"/>
  <c r="AF138" i="20"/>
  <c r="AG138" i="20"/>
  <c r="AH138" i="20"/>
  <c r="AI138" i="20"/>
  <c r="AJ138" i="20"/>
  <c r="AK138" i="20"/>
  <c r="AL138" i="20"/>
  <c r="AM138" i="20"/>
  <c r="A139" i="20"/>
  <c r="B139" i="20"/>
  <c r="C139" i="20"/>
  <c r="E139" i="20"/>
  <c r="F139" i="20"/>
  <c r="G139" i="20"/>
  <c r="H139" i="20"/>
  <c r="I139" i="20" s="1"/>
  <c r="J139" i="20"/>
  <c r="K139" i="20"/>
  <c r="L139" i="20"/>
  <c r="M139" i="20"/>
  <c r="N139" i="20"/>
  <c r="O139" i="20"/>
  <c r="P139" i="20"/>
  <c r="R139" i="20"/>
  <c r="S139" i="20" s="1"/>
  <c r="T139" i="20"/>
  <c r="U139" i="20"/>
  <c r="V139" i="20"/>
  <c r="W139" i="20"/>
  <c r="AA139" i="20"/>
  <c r="AB139" i="20"/>
  <c r="AC139" i="20"/>
  <c r="AF139" i="20"/>
  <c r="AG139" i="20"/>
  <c r="AH139" i="20"/>
  <c r="AI139" i="20"/>
  <c r="AJ139" i="20"/>
  <c r="AK139" i="20"/>
  <c r="AL139" i="20"/>
  <c r="AM139" i="20"/>
  <c r="A140" i="20"/>
  <c r="B140" i="20"/>
  <c r="C140" i="20"/>
  <c r="E140" i="20"/>
  <c r="F140" i="20"/>
  <c r="G140" i="20"/>
  <c r="H140" i="20"/>
  <c r="I140" i="20" s="1"/>
  <c r="J140" i="20"/>
  <c r="K140" i="20"/>
  <c r="L140" i="20"/>
  <c r="M140" i="20"/>
  <c r="N140" i="20"/>
  <c r="O140" i="20"/>
  <c r="P140" i="20"/>
  <c r="Q140" i="20"/>
  <c r="R140" i="20"/>
  <c r="S140" i="20" s="1"/>
  <c r="T140" i="20"/>
  <c r="U140" i="20"/>
  <c r="V140" i="20"/>
  <c r="W140" i="20"/>
  <c r="AA140" i="20"/>
  <c r="AB140" i="20"/>
  <c r="AF140" i="20"/>
  <c r="AG140" i="20"/>
  <c r="AH140" i="20"/>
  <c r="AI140" i="20"/>
  <c r="AJ140" i="20"/>
  <c r="AK140" i="20"/>
  <c r="AL140" i="20"/>
  <c r="AM140" i="20"/>
  <c r="A141" i="20"/>
  <c r="B141" i="20"/>
  <c r="C141" i="20"/>
  <c r="E141" i="20"/>
  <c r="F141" i="20"/>
  <c r="G141" i="20"/>
  <c r="H141" i="20"/>
  <c r="I141" i="20" s="1"/>
  <c r="J141" i="20"/>
  <c r="K141" i="20"/>
  <c r="L141" i="20"/>
  <c r="M141" i="20"/>
  <c r="N141" i="20"/>
  <c r="O141" i="20"/>
  <c r="P141" i="20"/>
  <c r="R141" i="20"/>
  <c r="S141" i="20" s="1"/>
  <c r="T141" i="20"/>
  <c r="U141" i="20"/>
  <c r="V141" i="20"/>
  <c r="W141" i="20"/>
  <c r="AA141" i="20"/>
  <c r="AB141" i="20"/>
  <c r="AC141" i="20"/>
  <c r="AF141" i="20"/>
  <c r="AG141" i="20"/>
  <c r="AH141" i="20"/>
  <c r="AI141" i="20"/>
  <c r="AJ141" i="20"/>
  <c r="AK141" i="20"/>
  <c r="AL141" i="20"/>
  <c r="AM141" i="20"/>
  <c r="A142" i="20"/>
  <c r="B142" i="20"/>
  <c r="C142" i="20"/>
  <c r="E142" i="20"/>
  <c r="F142" i="20"/>
  <c r="G142" i="20"/>
  <c r="H142" i="20"/>
  <c r="I142" i="20" s="1"/>
  <c r="J142" i="20"/>
  <c r="K142" i="20"/>
  <c r="L142" i="20"/>
  <c r="M142" i="20"/>
  <c r="N142" i="20"/>
  <c r="O142" i="20"/>
  <c r="P142" i="20"/>
  <c r="Q142" i="20"/>
  <c r="R142" i="20"/>
  <c r="S142" i="20" s="1"/>
  <c r="T142" i="20"/>
  <c r="U142" i="20"/>
  <c r="V142" i="20"/>
  <c r="W142" i="20"/>
  <c r="AA142" i="20"/>
  <c r="AB142" i="20"/>
  <c r="AF142" i="20"/>
  <c r="AG142" i="20"/>
  <c r="AH142" i="20"/>
  <c r="AI142" i="20"/>
  <c r="AJ142" i="20"/>
  <c r="AK142" i="20"/>
  <c r="AL142" i="20"/>
  <c r="AM142" i="20"/>
  <c r="A143" i="20"/>
  <c r="B143" i="20"/>
  <c r="C143" i="20"/>
  <c r="E143" i="20"/>
  <c r="F143" i="20"/>
  <c r="G143" i="20"/>
  <c r="H143" i="20"/>
  <c r="I143" i="20" s="1"/>
  <c r="J143" i="20"/>
  <c r="K143" i="20"/>
  <c r="L143" i="20"/>
  <c r="M143" i="20"/>
  <c r="N143" i="20"/>
  <c r="O143" i="20"/>
  <c r="P143" i="20"/>
  <c r="R143" i="20"/>
  <c r="S143" i="20" s="1"/>
  <c r="T143" i="20"/>
  <c r="U143" i="20"/>
  <c r="V143" i="20"/>
  <c r="W143" i="20"/>
  <c r="AA143" i="20"/>
  <c r="AB143" i="20"/>
  <c r="AC143" i="20"/>
  <c r="AF143" i="20"/>
  <c r="AG143" i="20"/>
  <c r="AH143" i="20"/>
  <c r="AI143" i="20"/>
  <c r="AJ143" i="20"/>
  <c r="AK143" i="20"/>
  <c r="AL143" i="20"/>
  <c r="AM143" i="20"/>
  <c r="A144" i="20"/>
  <c r="B144" i="20"/>
  <c r="C144" i="20"/>
  <c r="E144" i="20"/>
  <c r="F144" i="20"/>
  <c r="G144" i="20"/>
  <c r="H144" i="20"/>
  <c r="I144" i="20" s="1"/>
  <c r="J144" i="20"/>
  <c r="K144" i="20"/>
  <c r="L144" i="20"/>
  <c r="M144" i="20"/>
  <c r="N144" i="20"/>
  <c r="O144" i="20"/>
  <c r="P144" i="20"/>
  <c r="R144" i="20"/>
  <c r="S144" i="20" s="1"/>
  <c r="T144" i="20"/>
  <c r="U144" i="20"/>
  <c r="V144" i="20"/>
  <c r="W144" i="20"/>
  <c r="AA144" i="20"/>
  <c r="AB144" i="20"/>
  <c r="AC144" i="20"/>
  <c r="AF144" i="20"/>
  <c r="AG144" i="20"/>
  <c r="AH144" i="20"/>
  <c r="AI144" i="20"/>
  <c r="AJ144" i="20"/>
  <c r="AK144" i="20"/>
  <c r="AL144" i="20"/>
  <c r="AM144" i="20"/>
  <c r="A145" i="20"/>
  <c r="B145" i="20"/>
  <c r="C145" i="20"/>
  <c r="E145" i="20"/>
  <c r="F145" i="20"/>
  <c r="G145" i="20"/>
  <c r="H145" i="20"/>
  <c r="I145" i="20" s="1"/>
  <c r="J145" i="20"/>
  <c r="K145" i="20"/>
  <c r="L145" i="20"/>
  <c r="M145" i="20"/>
  <c r="N145" i="20"/>
  <c r="O145" i="20"/>
  <c r="P145" i="20"/>
  <c r="R145" i="20"/>
  <c r="S145" i="20" s="1"/>
  <c r="T145" i="20"/>
  <c r="U145" i="20"/>
  <c r="V145" i="20"/>
  <c r="W145" i="20"/>
  <c r="AA145" i="20"/>
  <c r="AB145" i="20"/>
  <c r="AC145" i="20"/>
  <c r="AF145" i="20"/>
  <c r="AG145" i="20"/>
  <c r="AH145" i="20"/>
  <c r="AI145" i="20"/>
  <c r="AJ145" i="20"/>
  <c r="AK145" i="20"/>
  <c r="AL145" i="20"/>
  <c r="AM145" i="20"/>
  <c r="A146" i="20"/>
  <c r="B146" i="20"/>
  <c r="C146" i="20"/>
  <c r="E146" i="20"/>
  <c r="F146" i="20"/>
  <c r="G146" i="20"/>
  <c r="H146" i="20"/>
  <c r="I146" i="20" s="1"/>
  <c r="J146" i="20"/>
  <c r="K146" i="20"/>
  <c r="L146" i="20"/>
  <c r="M146" i="20"/>
  <c r="N146" i="20"/>
  <c r="O146" i="20"/>
  <c r="P146" i="20"/>
  <c r="R146" i="20"/>
  <c r="S146" i="20" s="1"/>
  <c r="T146" i="20"/>
  <c r="U146" i="20"/>
  <c r="V146" i="20"/>
  <c r="W146" i="20"/>
  <c r="AA146" i="20"/>
  <c r="AB146" i="20"/>
  <c r="AC146" i="20"/>
  <c r="AF146" i="20"/>
  <c r="AG146" i="20"/>
  <c r="AH146" i="20"/>
  <c r="AI146" i="20"/>
  <c r="AJ146" i="20"/>
  <c r="AK146" i="20"/>
  <c r="AL146" i="20"/>
  <c r="AM146" i="20"/>
  <c r="A147" i="20"/>
  <c r="B147" i="20"/>
  <c r="C147" i="20"/>
  <c r="E147" i="20"/>
  <c r="F147" i="20"/>
  <c r="G147" i="20"/>
  <c r="H147" i="20"/>
  <c r="I147" i="20" s="1"/>
  <c r="J147" i="20"/>
  <c r="K147" i="20"/>
  <c r="L147" i="20"/>
  <c r="M147" i="20"/>
  <c r="N147" i="20"/>
  <c r="O147" i="20"/>
  <c r="P147" i="20"/>
  <c r="R147" i="20"/>
  <c r="S147" i="20" s="1"/>
  <c r="T147" i="20"/>
  <c r="U147" i="20"/>
  <c r="V147" i="20"/>
  <c r="W147" i="20"/>
  <c r="AA147" i="20"/>
  <c r="AB147" i="20"/>
  <c r="AC147" i="20"/>
  <c r="AF147" i="20"/>
  <c r="AG147" i="20"/>
  <c r="AH147" i="20"/>
  <c r="AI147" i="20"/>
  <c r="AJ147" i="20"/>
  <c r="AK147" i="20"/>
  <c r="AL147" i="20"/>
  <c r="AM147" i="20"/>
  <c r="A148" i="20"/>
  <c r="B148" i="20"/>
  <c r="C148" i="20"/>
  <c r="E148" i="20"/>
  <c r="F148" i="20"/>
  <c r="G148" i="20"/>
  <c r="H148" i="20"/>
  <c r="I148" i="20" s="1"/>
  <c r="J148" i="20"/>
  <c r="K148" i="20"/>
  <c r="L148" i="20"/>
  <c r="M148" i="20"/>
  <c r="N148" i="20"/>
  <c r="O148" i="20"/>
  <c r="P148" i="20"/>
  <c r="R148" i="20"/>
  <c r="S148" i="20" s="1"/>
  <c r="T148" i="20"/>
  <c r="U148" i="20"/>
  <c r="V148" i="20"/>
  <c r="W148" i="20"/>
  <c r="AA148" i="20"/>
  <c r="AB148" i="20"/>
  <c r="AC148" i="20"/>
  <c r="AF148" i="20"/>
  <c r="AG148" i="20"/>
  <c r="AH148" i="20"/>
  <c r="AI148" i="20"/>
  <c r="AJ148" i="20"/>
  <c r="AK148" i="20"/>
  <c r="AL148" i="20"/>
  <c r="AM148" i="20"/>
  <c r="A149" i="20"/>
  <c r="B149" i="20"/>
  <c r="C149" i="20"/>
  <c r="E149" i="20"/>
  <c r="F149" i="20"/>
  <c r="G149" i="20"/>
  <c r="H149" i="20"/>
  <c r="I149" i="20" s="1"/>
  <c r="J149" i="20"/>
  <c r="K149" i="20"/>
  <c r="L149" i="20"/>
  <c r="M149" i="20"/>
  <c r="N149" i="20"/>
  <c r="O149" i="20"/>
  <c r="P149" i="20"/>
  <c r="R149" i="20"/>
  <c r="S149" i="20" s="1"/>
  <c r="T149" i="20"/>
  <c r="U149" i="20"/>
  <c r="V149" i="20"/>
  <c r="W149" i="20"/>
  <c r="AA149" i="20"/>
  <c r="AB149" i="20"/>
  <c r="AC149" i="20"/>
  <c r="AF149" i="20"/>
  <c r="AG149" i="20"/>
  <c r="AH149" i="20"/>
  <c r="AI149" i="20"/>
  <c r="AJ149" i="20"/>
  <c r="AK149" i="20"/>
  <c r="AL149" i="20"/>
  <c r="AM149" i="20"/>
  <c r="A150" i="20"/>
  <c r="B150" i="20"/>
  <c r="C150" i="20"/>
  <c r="E150" i="20"/>
  <c r="F150" i="20"/>
  <c r="G150" i="20"/>
  <c r="H150" i="20"/>
  <c r="I150" i="20" s="1"/>
  <c r="J150" i="20"/>
  <c r="K150" i="20"/>
  <c r="L150" i="20"/>
  <c r="M150" i="20"/>
  <c r="N150" i="20"/>
  <c r="O150" i="20"/>
  <c r="P150" i="20"/>
  <c r="R150" i="20"/>
  <c r="S150" i="20" s="1"/>
  <c r="T150" i="20"/>
  <c r="U150" i="20"/>
  <c r="V150" i="20"/>
  <c r="W150" i="20"/>
  <c r="AA150" i="20"/>
  <c r="AB150" i="20"/>
  <c r="AC150" i="20"/>
  <c r="AF150" i="20"/>
  <c r="AG150" i="20"/>
  <c r="AH150" i="20"/>
  <c r="AI150" i="20"/>
  <c r="AJ150" i="20"/>
  <c r="AK150" i="20"/>
  <c r="AL150" i="20"/>
  <c r="AM150" i="20"/>
  <c r="A151" i="20"/>
  <c r="B151" i="20"/>
  <c r="C151" i="20"/>
  <c r="E151" i="20"/>
  <c r="F151" i="20"/>
  <c r="G151" i="20"/>
  <c r="H151" i="20"/>
  <c r="I151" i="20" s="1"/>
  <c r="J151" i="20"/>
  <c r="K151" i="20"/>
  <c r="L151" i="20"/>
  <c r="M151" i="20"/>
  <c r="N151" i="20"/>
  <c r="O151" i="20"/>
  <c r="P151" i="20"/>
  <c r="R151" i="20"/>
  <c r="S151" i="20" s="1"/>
  <c r="T151" i="20"/>
  <c r="U151" i="20"/>
  <c r="V151" i="20"/>
  <c r="W151" i="20"/>
  <c r="AA151" i="20"/>
  <c r="AB151" i="20"/>
  <c r="AC151" i="20"/>
  <c r="AF151" i="20"/>
  <c r="AG151" i="20"/>
  <c r="AH151" i="20"/>
  <c r="AI151" i="20"/>
  <c r="AJ151" i="20"/>
  <c r="AK151" i="20"/>
  <c r="AL151" i="20"/>
  <c r="AM151" i="20"/>
  <c r="A152" i="20"/>
  <c r="B152" i="20"/>
  <c r="C152" i="20"/>
  <c r="E152" i="20"/>
  <c r="F152" i="20"/>
  <c r="G152" i="20"/>
  <c r="H152" i="20"/>
  <c r="I152" i="20" s="1"/>
  <c r="J152" i="20"/>
  <c r="K152" i="20"/>
  <c r="L152" i="20"/>
  <c r="M152" i="20"/>
  <c r="N152" i="20"/>
  <c r="O152" i="20"/>
  <c r="P152" i="20"/>
  <c r="R152" i="20"/>
  <c r="S152" i="20" s="1"/>
  <c r="T152" i="20"/>
  <c r="U152" i="20"/>
  <c r="V152" i="20"/>
  <c r="W152" i="20"/>
  <c r="AA152" i="20"/>
  <c r="AB152" i="20"/>
  <c r="AC152" i="20"/>
  <c r="AF152" i="20"/>
  <c r="AG152" i="20"/>
  <c r="AH152" i="20"/>
  <c r="AI152" i="20"/>
  <c r="AJ152" i="20"/>
  <c r="AK152" i="20"/>
  <c r="AL152" i="20"/>
  <c r="AM152" i="20"/>
  <c r="A153" i="20"/>
  <c r="B153" i="20"/>
  <c r="C153" i="20"/>
  <c r="E153" i="20"/>
  <c r="F153" i="20"/>
  <c r="G153" i="20"/>
  <c r="H153" i="20"/>
  <c r="I153" i="20" s="1"/>
  <c r="J153" i="20"/>
  <c r="K153" i="20"/>
  <c r="L153" i="20"/>
  <c r="M153" i="20"/>
  <c r="N153" i="20"/>
  <c r="O153" i="20"/>
  <c r="P153" i="20"/>
  <c r="Q153" i="20"/>
  <c r="R153" i="20"/>
  <c r="S153" i="20" s="1"/>
  <c r="T153" i="20"/>
  <c r="U153" i="20"/>
  <c r="V153" i="20"/>
  <c r="W153" i="20"/>
  <c r="AA153" i="20"/>
  <c r="AB153" i="20"/>
  <c r="AC153" i="20"/>
  <c r="AF153" i="20"/>
  <c r="AG153" i="20"/>
  <c r="AH153" i="20"/>
  <c r="AI153" i="20"/>
  <c r="AJ153" i="20"/>
  <c r="AK153" i="20"/>
  <c r="AL153" i="20"/>
  <c r="AM153" i="20"/>
  <c r="A154" i="20"/>
  <c r="B154" i="20"/>
  <c r="C154" i="20"/>
  <c r="E154" i="20"/>
  <c r="F154" i="20"/>
  <c r="G154" i="20"/>
  <c r="H154" i="20"/>
  <c r="I154" i="20" s="1"/>
  <c r="J154" i="20"/>
  <c r="K154" i="20"/>
  <c r="L154" i="20"/>
  <c r="M154" i="20"/>
  <c r="N154" i="20"/>
  <c r="O154" i="20"/>
  <c r="P154" i="20"/>
  <c r="Q154" i="20"/>
  <c r="R154" i="20"/>
  <c r="S154" i="20" s="1"/>
  <c r="T154" i="20"/>
  <c r="U154" i="20"/>
  <c r="V154" i="20"/>
  <c r="W154" i="20"/>
  <c r="AA154" i="20"/>
  <c r="AB154" i="20"/>
  <c r="AC154" i="20"/>
  <c r="AF154" i="20"/>
  <c r="AG154" i="20"/>
  <c r="AH154" i="20"/>
  <c r="AI154" i="20"/>
  <c r="AJ154" i="20"/>
  <c r="AK154" i="20"/>
  <c r="AL154" i="20"/>
  <c r="AM154" i="20"/>
  <c r="A155" i="20"/>
  <c r="B155" i="20"/>
  <c r="C155" i="20"/>
  <c r="E155" i="20"/>
  <c r="F155" i="20"/>
  <c r="G155" i="20"/>
  <c r="H155" i="20"/>
  <c r="I155" i="20" s="1"/>
  <c r="J155" i="20"/>
  <c r="K155" i="20"/>
  <c r="L155" i="20"/>
  <c r="M155" i="20"/>
  <c r="N155" i="20"/>
  <c r="O155" i="20"/>
  <c r="P155" i="20"/>
  <c r="Q155" i="20"/>
  <c r="R155" i="20"/>
  <c r="S155" i="20" s="1"/>
  <c r="T155" i="20"/>
  <c r="U155" i="20"/>
  <c r="V155" i="20"/>
  <c r="W155" i="20"/>
  <c r="AA155" i="20"/>
  <c r="AB155" i="20"/>
  <c r="AC155" i="20"/>
  <c r="AF155" i="20"/>
  <c r="AG155" i="20"/>
  <c r="AH155" i="20"/>
  <c r="AI155" i="20"/>
  <c r="AJ155" i="20"/>
  <c r="AK155" i="20"/>
  <c r="AL155" i="20"/>
  <c r="AM155" i="20"/>
  <c r="A156" i="20"/>
  <c r="B156" i="20"/>
  <c r="C156" i="20"/>
  <c r="E156" i="20"/>
  <c r="F156" i="20"/>
  <c r="G156" i="20"/>
  <c r="H156" i="20"/>
  <c r="I156" i="20" s="1"/>
  <c r="J156" i="20"/>
  <c r="K156" i="20"/>
  <c r="L156" i="20"/>
  <c r="M156" i="20"/>
  <c r="N156" i="20"/>
  <c r="O156" i="20"/>
  <c r="P156" i="20"/>
  <c r="Q156" i="20"/>
  <c r="R156" i="20"/>
  <c r="S156" i="20" s="1"/>
  <c r="T156" i="20"/>
  <c r="U156" i="20"/>
  <c r="V156" i="20"/>
  <c r="W156" i="20"/>
  <c r="AA156" i="20"/>
  <c r="AB156" i="20"/>
  <c r="AC156" i="20"/>
  <c r="AF156" i="20"/>
  <c r="AG156" i="20"/>
  <c r="AH156" i="20"/>
  <c r="AI156" i="20"/>
  <c r="AJ156" i="20"/>
  <c r="AK156" i="20"/>
  <c r="AL156" i="20"/>
  <c r="AM156" i="20"/>
  <c r="A157" i="20"/>
  <c r="B157" i="20"/>
  <c r="C157" i="20"/>
  <c r="E157" i="20"/>
  <c r="F157" i="20"/>
  <c r="G157" i="20"/>
  <c r="H157" i="20"/>
  <c r="I157" i="20" s="1"/>
  <c r="J157" i="20"/>
  <c r="K157" i="20"/>
  <c r="L157" i="20"/>
  <c r="M157" i="20"/>
  <c r="N157" i="20"/>
  <c r="O157" i="20"/>
  <c r="P157" i="20"/>
  <c r="Q157" i="20"/>
  <c r="R157" i="20"/>
  <c r="S157" i="20" s="1"/>
  <c r="T157" i="20"/>
  <c r="U157" i="20"/>
  <c r="V157" i="20"/>
  <c r="W157" i="20"/>
  <c r="AA157" i="20"/>
  <c r="AB157" i="20"/>
  <c r="AC157" i="20"/>
  <c r="AF157" i="20"/>
  <c r="AG157" i="20"/>
  <c r="AH157" i="20"/>
  <c r="AI157" i="20"/>
  <c r="AJ157" i="20"/>
  <c r="AK157" i="20"/>
  <c r="AL157" i="20"/>
  <c r="AM157" i="20"/>
  <c r="A158" i="20"/>
  <c r="B158" i="20"/>
  <c r="C158" i="20"/>
  <c r="E158" i="20"/>
  <c r="F158" i="20"/>
  <c r="G158" i="20"/>
  <c r="H158" i="20"/>
  <c r="I158" i="20" s="1"/>
  <c r="J158" i="20"/>
  <c r="K158" i="20"/>
  <c r="L158" i="20"/>
  <c r="M158" i="20"/>
  <c r="N158" i="20"/>
  <c r="O158" i="20"/>
  <c r="P158" i="20"/>
  <c r="Q158" i="20"/>
  <c r="R158" i="20"/>
  <c r="S158" i="20" s="1"/>
  <c r="T158" i="20"/>
  <c r="U158" i="20"/>
  <c r="V158" i="20"/>
  <c r="W158" i="20"/>
  <c r="AA158" i="20"/>
  <c r="AB158" i="20"/>
  <c r="AC158" i="20"/>
  <c r="AF158" i="20"/>
  <c r="AG158" i="20"/>
  <c r="AH158" i="20"/>
  <c r="AI158" i="20"/>
  <c r="AJ158" i="20"/>
  <c r="AK158" i="20"/>
  <c r="AL158" i="20"/>
  <c r="AM158" i="20"/>
  <c r="A159" i="20"/>
  <c r="B159" i="20"/>
  <c r="C159" i="20"/>
  <c r="E159" i="20"/>
  <c r="F159" i="20"/>
  <c r="G159" i="20"/>
  <c r="H159" i="20"/>
  <c r="I159" i="20" s="1"/>
  <c r="J159" i="20"/>
  <c r="K159" i="20"/>
  <c r="L159" i="20"/>
  <c r="M159" i="20"/>
  <c r="N159" i="20"/>
  <c r="O159" i="20"/>
  <c r="P159" i="20"/>
  <c r="R159" i="20"/>
  <c r="S159" i="20" s="1"/>
  <c r="T159" i="20"/>
  <c r="U159" i="20"/>
  <c r="V159" i="20"/>
  <c r="W159" i="20"/>
  <c r="AA159" i="20"/>
  <c r="AB159" i="20"/>
  <c r="AC159" i="20"/>
  <c r="AF159" i="20"/>
  <c r="AG159" i="20"/>
  <c r="AH159" i="20"/>
  <c r="AI159" i="20"/>
  <c r="AJ159" i="20"/>
  <c r="AK159" i="20"/>
  <c r="AL159" i="20"/>
  <c r="AM159" i="20"/>
  <c r="A160" i="20"/>
  <c r="B160" i="20"/>
  <c r="C160" i="20"/>
  <c r="E160" i="20"/>
  <c r="F160" i="20"/>
  <c r="G160" i="20"/>
  <c r="H160" i="20"/>
  <c r="I160" i="20" s="1"/>
  <c r="J160" i="20"/>
  <c r="K160" i="20"/>
  <c r="L160" i="20"/>
  <c r="M160" i="20"/>
  <c r="N160" i="20"/>
  <c r="O160" i="20"/>
  <c r="P160" i="20"/>
  <c r="R160" i="20"/>
  <c r="S160" i="20" s="1"/>
  <c r="T160" i="20"/>
  <c r="U160" i="20"/>
  <c r="V160" i="20"/>
  <c r="W160" i="20"/>
  <c r="AA160" i="20"/>
  <c r="AB160" i="20"/>
  <c r="AC160" i="20"/>
  <c r="AF160" i="20"/>
  <c r="AG160" i="20"/>
  <c r="AH160" i="20"/>
  <c r="AI160" i="20"/>
  <c r="AJ160" i="20"/>
  <c r="AK160" i="20"/>
  <c r="AL160" i="20"/>
  <c r="AM160" i="20"/>
  <c r="A161" i="20"/>
  <c r="B161" i="20"/>
  <c r="C161" i="20"/>
  <c r="E161" i="20"/>
  <c r="F161" i="20"/>
  <c r="G161" i="20"/>
  <c r="H161" i="20"/>
  <c r="I161" i="20" s="1"/>
  <c r="J161" i="20"/>
  <c r="K161" i="20"/>
  <c r="L161" i="20"/>
  <c r="M161" i="20"/>
  <c r="N161" i="20"/>
  <c r="O161" i="20"/>
  <c r="P161" i="20"/>
  <c r="R161" i="20"/>
  <c r="S161" i="20" s="1"/>
  <c r="T161" i="20"/>
  <c r="U161" i="20"/>
  <c r="V161" i="20"/>
  <c r="W161" i="20"/>
  <c r="AA161" i="20"/>
  <c r="AB161" i="20"/>
  <c r="AC161" i="20"/>
  <c r="AF161" i="20"/>
  <c r="AG161" i="20"/>
  <c r="AH161" i="20"/>
  <c r="AI161" i="20"/>
  <c r="AJ161" i="20"/>
  <c r="AK161" i="20"/>
  <c r="AL161" i="20"/>
  <c r="AM161" i="20"/>
  <c r="A162" i="20"/>
  <c r="B162" i="20"/>
  <c r="C162" i="20"/>
  <c r="E162" i="20"/>
  <c r="F162" i="20"/>
  <c r="G162" i="20"/>
  <c r="H162" i="20"/>
  <c r="I162" i="20" s="1"/>
  <c r="J162" i="20"/>
  <c r="K162" i="20"/>
  <c r="L162" i="20"/>
  <c r="M162" i="20"/>
  <c r="N162" i="20"/>
  <c r="O162" i="20"/>
  <c r="P162" i="20"/>
  <c r="R162" i="20"/>
  <c r="S162" i="20" s="1"/>
  <c r="T162" i="20"/>
  <c r="U162" i="20"/>
  <c r="V162" i="20"/>
  <c r="W162" i="20"/>
  <c r="AA162" i="20"/>
  <c r="AB162" i="20"/>
  <c r="AC162" i="20"/>
  <c r="AF162" i="20"/>
  <c r="AG162" i="20"/>
  <c r="AH162" i="20"/>
  <c r="AI162" i="20"/>
  <c r="AJ162" i="20"/>
  <c r="AK162" i="20"/>
  <c r="AL162" i="20"/>
  <c r="AM162" i="20"/>
  <c r="A163" i="20"/>
  <c r="C163" i="20"/>
  <c r="E163" i="20"/>
  <c r="F163" i="20"/>
  <c r="G163" i="20"/>
  <c r="H163" i="20"/>
  <c r="I163" i="20" s="1"/>
  <c r="J163" i="20"/>
  <c r="K163" i="20"/>
  <c r="L163" i="20"/>
  <c r="M163" i="20"/>
  <c r="N163" i="20"/>
  <c r="O163" i="20"/>
  <c r="P163" i="20"/>
  <c r="R163" i="20"/>
  <c r="S163" i="20" s="1"/>
  <c r="T163" i="20"/>
  <c r="U163" i="20"/>
  <c r="V163" i="20"/>
  <c r="W163" i="20"/>
  <c r="AA163" i="20"/>
  <c r="AB163" i="20"/>
  <c r="AC163" i="20"/>
  <c r="AF163" i="20"/>
  <c r="AG163" i="20"/>
  <c r="AH163" i="20"/>
  <c r="AI163" i="20"/>
  <c r="AJ163" i="20"/>
  <c r="AK163" i="20"/>
  <c r="AL163" i="20"/>
  <c r="AM163" i="20"/>
  <c r="A164" i="20"/>
  <c r="B164" i="20"/>
  <c r="C164" i="20"/>
  <c r="E164" i="20"/>
  <c r="F164" i="20"/>
  <c r="G164" i="20"/>
  <c r="H164" i="20"/>
  <c r="I164" i="20" s="1"/>
  <c r="J164" i="20"/>
  <c r="K164" i="20"/>
  <c r="L164" i="20"/>
  <c r="M164" i="20"/>
  <c r="N164" i="20"/>
  <c r="O164" i="20"/>
  <c r="P164" i="20"/>
  <c r="R164" i="20"/>
  <c r="S164" i="20" s="1"/>
  <c r="T164" i="20"/>
  <c r="U164" i="20"/>
  <c r="V164" i="20"/>
  <c r="W164" i="20"/>
  <c r="AA164" i="20"/>
  <c r="AB164" i="20"/>
  <c r="AC164" i="20"/>
  <c r="AF164" i="20"/>
  <c r="AG164" i="20"/>
  <c r="AH164" i="20"/>
  <c r="AI164" i="20"/>
  <c r="AJ164" i="20"/>
  <c r="AK164" i="20"/>
  <c r="AL164" i="20"/>
  <c r="AM164" i="20"/>
  <c r="A165" i="20"/>
  <c r="B165" i="20"/>
  <c r="C165" i="20"/>
  <c r="E165" i="20"/>
  <c r="F165" i="20"/>
  <c r="G165" i="20"/>
  <c r="H165" i="20"/>
  <c r="I165" i="20" s="1"/>
  <c r="J165" i="20"/>
  <c r="K165" i="20"/>
  <c r="L165" i="20"/>
  <c r="M165" i="20"/>
  <c r="N165" i="20"/>
  <c r="O165" i="20"/>
  <c r="P165" i="20"/>
  <c r="R165" i="20"/>
  <c r="S165" i="20" s="1"/>
  <c r="T165" i="20"/>
  <c r="U165" i="20"/>
  <c r="V165" i="20"/>
  <c r="W165" i="20"/>
  <c r="AA165" i="20"/>
  <c r="AB165" i="20"/>
  <c r="AC165" i="20"/>
  <c r="AF165" i="20"/>
  <c r="AG165" i="20"/>
  <c r="AH165" i="20"/>
  <c r="AI165" i="20"/>
  <c r="AJ165" i="20"/>
  <c r="AK165" i="20"/>
  <c r="AL165" i="20"/>
  <c r="AM165" i="20"/>
  <c r="AA161" i="16" l="1"/>
  <c r="AA147" i="16"/>
  <c r="AA145" i="16"/>
  <c r="AA163" i="16"/>
  <c r="AA149" i="16"/>
  <c r="AA159" i="16"/>
  <c r="B163" i="16"/>
  <c r="AA151" i="16"/>
  <c r="AA153" i="16"/>
  <c r="AA155" i="16"/>
  <c r="AC140" i="20"/>
  <c r="AC142" i="20"/>
  <c r="Z143" i="16"/>
  <c r="Z147" i="16" s="1"/>
  <c r="AB155" i="16"/>
  <c r="AB145" i="16"/>
  <c r="AB149" i="16"/>
  <c r="AB157" i="16"/>
  <c r="AB159" i="16"/>
  <c r="AB147" i="16"/>
  <c r="AB153" i="16"/>
  <c r="AB163" i="16"/>
  <c r="AB151" i="16"/>
  <c r="AB161" i="16"/>
  <c r="AD59" i="20"/>
  <c r="AD60" i="20"/>
  <c r="AD61" i="20"/>
  <c r="AD62" i="20"/>
  <c r="AD63" i="20"/>
  <c r="AD64" i="20"/>
  <c r="AD65" i="20"/>
  <c r="AD66" i="20"/>
  <c r="AD67" i="20"/>
  <c r="AD68" i="20"/>
  <c r="AD69" i="20"/>
  <c r="AD70" i="20"/>
  <c r="AD71" i="20"/>
  <c r="AD72" i="20"/>
  <c r="AD73" i="20"/>
  <c r="AD74" i="20"/>
  <c r="AD75" i="20"/>
  <c r="AD76" i="20"/>
  <c r="AD77" i="20"/>
  <c r="AD78" i="20"/>
  <c r="AD79" i="20"/>
  <c r="AD80" i="20"/>
  <c r="AD81" i="20"/>
  <c r="AD82" i="20"/>
  <c r="AD83" i="20"/>
  <c r="AD84" i="20"/>
  <c r="AD85" i="20"/>
  <c r="AD86" i="20"/>
  <c r="AD87" i="20"/>
  <c r="AD88" i="20"/>
  <c r="AD89" i="20"/>
  <c r="AD90" i="20"/>
  <c r="AD91" i="20"/>
  <c r="AD92" i="20"/>
  <c r="AD93" i="20"/>
  <c r="AD94" i="20"/>
  <c r="AD95" i="20"/>
  <c r="AD96" i="20"/>
  <c r="AD97" i="20"/>
  <c r="AD98" i="20"/>
  <c r="AD99" i="20"/>
  <c r="AD100" i="20"/>
  <c r="AD101" i="20"/>
  <c r="AD102" i="20"/>
  <c r="AD103" i="20"/>
  <c r="AD104" i="20"/>
  <c r="AD105" i="20"/>
  <c r="AD106" i="20"/>
  <c r="AD107" i="20"/>
  <c r="AD108" i="20"/>
  <c r="AD58" i="20"/>
  <c r="AD3" i="20"/>
  <c r="AD4" i="20"/>
  <c r="AD5" i="20"/>
  <c r="AD6" i="20"/>
  <c r="AD7" i="20"/>
  <c r="AD8" i="20"/>
  <c r="AD9" i="20"/>
  <c r="AD10" i="20"/>
  <c r="AD11" i="20"/>
  <c r="AD12" i="20"/>
  <c r="AD13" i="20"/>
  <c r="AD14" i="20"/>
  <c r="AD15" i="20"/>
  <c r="AD16" i="20"/>
  <c r="AD17" i="20"/>
  <c r="AD18" i="20"/>
  <c r="AD19" i="20"/>
  <c r="AD20" i="20"/>
  <c r="AD21" i="20"/>
  <c r="AD22" i="20"/>
  <c r="AD23" i="20"/>
  <c r="AD24" i="20"/>
  <c r="AD25" i="20"/>
  <c r="AD26" i="20"/>
  <c r="AD27" i="20"/>
  <c r="AD28" i="20"/>
  <c r="AD29" i="20"/>
  <c r="AD30" i="20"/>
  <c r="AD31" i="20"/>
  <c r="AD32" i="20"/>
  <c r="AD33" i="20"/>
  <c r="AD36" i="20"/>
  <c r="AD37" i="20"/>
  <c r="AD38" i="20"/>
  <c r="AD39" i="20"/>
  <c r="AD40" i="20"/>
  <c r="AD42" i="20"/>
  <c r="AD44" i="20"/>
  <c r="AD46" i="20"/>
  <c r="AD47" i="20"/>
  <c r="AD48" i="20"/>
  <c r="AD49" i="20"/>
  <c r="AD50" i="20"/>
  <c r="AD51" i="20"/>
  <c r="AD52" i="20"/>
  <c r="AD53" i="20"/>
  <c r="AD54" i="20"/>
  <c r="AD55" i="20"/>
  <c r="AD56" i="20"/>
  <c r="AD57" i="20"/>
  <c r="R188" i="18"/>
  <c r="P188" i="20" s="1"/>
  <c r="P188" i="18"/>
  <c r="N188" i="20" s="1"/>
  <c r="AA187" i="18"/>
  <c r="R187" i="18"/>
  <c r="P187" i="20" s="1"/>
  <c r="P187" i="18"/>
  <c r="N187" i="20" s="1"/>
  <c r="S182" i="18"/>
  <c r="Q182" i="20" s="1"/>
  <c r="S177" i="18"/>
  <c r="Q177" i="20" s="1"/>
  <c r="S172" i="18"/>
  <c r="Q172" i="20" s="1"/>
  <c r="S167" i="18"/>
  <c r="Q167" i="20" s="1"/>
  <c r="AA166" i="18"/>
  <c r="Y166" i="20" s="1"/>
  <c r="S166" i="18"/>
  <c r="Q166" i="20" s="1"/>
  <c r="AA165" i="18"/>
  <c r="Y165" i="20" s="1"/>
  <c r="S165" i="18"/>
  <c r="Q165" i="20" s="1"/>
  <c r="S164" i="18"/>
  <c r="Q164" i="20" s="1"/>
  <c r="S163" i="18"/>
  <c r="Q163" i="20" s="1"/>
  <c r="S162" i="18"/>
  <c r="Q162" i="20" s="1"/>
  <c r="S161" i="18"/>
  <c r="Q161" i="20" s="1"/>
  <c r="S160" i="18"/>
  <c r="Q160" i="20" s="1"/>
  <c r="S159" i="18"/>
  <c r="Q159" i="20" s="1"/>
  <c r="S152" i="18"/>
  <c r="Q152" i="20" s="1"/>
  <c r="S151" i="18"/>
  <c r="Q151" i="20" s="1"/>
  <c r="S150" i="18"/>
  <c r="Q150" i="20" s="1"/>
  <c r="S149" i="18"/>
  <c r="Q149" i="20" s="1"/>
  <c r="S148" i="18"/>
  <c r="Q148" i="20" s="1"/>
  <c r="S147" i="18"/>
  <c r="Q147" i="20" s="1"/>
  <c r="S146" i="18"/>
  <c r="Q146" i="20" s="1"/>
  <c r="S145" i="18"/>
  <c r="Q145" i="20" s="1"/>
  <c r="S144" i="18"/>
  <c r="Q144" i="20" s="1"/>
  <c r="AB143" i="18"/>
  <c r="Z143" i="20" s="1"/>
  <c r="AA143" i="18"/>
  <c r="Z143" i="18"/>
  <c r="S143" i="18"/>
  <c r="Q143" i="20" s="1"/>
  <c r="AA141" i="18"/>
  <c r="Y141" i="20" s="1"/>
  <c r="Z141" i="18"/>
  <c r="X141" i="20" s="1"/>
  <c r="S141" i="18"/>
  <c r="Q141" i="20" s="1"/>
  <c r="AA139" i="18"/>
  <c r="Y139" i="20" s="1"/>
  <c r="Z139" i="18"/>
  <c r="X139" i="20" s="1"/>
  <c r="S139" i="18"/>
  <c r="Q139" i="20" s="1"/>
  <c r="AA137" i="18"/>
  <c r="Y137" i="20" s="1"/>
  <c r="Z137" i="18"/>
  <c r="X137" i="20" s="1"/>
  <c r="S137" i="18"/>
  <c r="Q137" i="20" s="1"/>
  <c r="AA135" i="18"/>
  <c r="Y135" i="20" s="1"/>
  <c r="Z135" i="18"/>
  <c r="X135" i="20" s="1"/>
  <c r="S135" i="18"/>
  <c r="Q135" i="20" s="1"/>
  <c r="R132" i="18"/>
  <c r="P132" i="20" s="1"/>
  <c r="R129" i="18"/>
  <c r="P129" i="20" s="1"/>
  <c r="R126" i="18"/>
  <c r="P126" i="20" s="1"/>
  <c r="R123" i="18"/>
  <c r="P123" i="20" s="1"/>
  <c r="R120" i="18"/>
  <c r="P120" i="20" s="1"/>
  <c r="R117" i="18"/>
  <c r="P117" i="20" s="1"/>
  <c r="R114" i="18"/>
  <c r="P114" i="20" s="1"/>
  <c r="R111" i="18"/>
  <c r="P111" i="20" s="1"/>
  <c r="R110" i="18"/>
  <c r="P110" i="20" s="1"/>
  <c r="M110" i="18"/>
  <c r="K110" i="20" s="1"/>
  <c r="Z109" i="18"/>
  <c r="R109" i="18"/>
  <c r="M109" i="18"/>
  <c r="B163" i="20" l="1"/>
  <c r="Z155" i="16"/>
  <c r="Z153" i="16"/>
  <c r="Z163" i="16"/>
  <c r="Z151" i="16"/>
  <c r="Z149" i="16"/>
  <c r="Z157" i="16"/>
  <c r="Z159" i="16"/>
  <c r="Z145" i="16"/>
  <c r="Z161" i="16"/>
  <c r="Z153" i="18"/>
  <c r="X153" i="20" s="1"/>
  <c r="Z163" i="18"/>
  <c r="Z147" i="18"/>
  <c r="X147" i="20" s="1"/>
  <c r="Z157" i="18"/>
  <c r="Z151" i="18"/>
  <c r="Z161" i="18"/>
  <c r="Z145" i="18"/>
  <c r="Z155" i="18"/>
  <c r="X155" i="20" s="1"/>
  <c r="Z149" i="18"/>
  <c r="Z159" i="18"/>
  <c r="AA163" i="18"/>
  <c r="Y163" i="20" s="1"/>
  <c r="AA147" i="18"/>
  <c r="Y147" i="20" s="1"/>
  <c r="AA157" i="18"/>
  <c r="Y157" i="20" s="1"/>
  <c r="AA151" i="18"/>
  <c r="Y151" i="20" s="1"/>
  <c r="AA145" i="18"/>
  <c r="Y145" i="20" s="1"/>
  <c r="AA161" i="18"/>
  <c r="Y161" i="20" s="1"/>
  <c r="AA155" i="18"/>
  <c r="Y155" i="20" s="1"/>
  <c r="AA149" i="18"/>
  <c r="Y149" i="20" s="1"/>
  <c r="AA159" i="18"/>
  <c r="Y159" i="20" s="1"/>
  <c r="AA153" i="18"/>
  <c r="Y153" i="20" s="1"/>
  <c r="X143" i="20"/>
  <c r="AB157" i="18"/>
  <c r="Z157" i="20" s="1"/>
  <c r="AB151" i="18"/>
  <c r="Z151" i="20" s="1"/>
  <c r="AB161" i="18"/>
  <c r="Z161" i="20" s="1"/>
  <c r="AB155" i="18"/>
  <c r="Z155" i="20" s="1"/>
  <c r="AB145" i="18"/>
  <c r="Z145" i="20" s="1"/>
  <c r="AB149" i="18"/>
  <c r="Z149" i="20" s="1"/>
  <c r="AB159" i="18"/>
  <c r="Z159" i="20" s="1"/>
  <c r="AB153" i="18"/>
  <c r="Z153" i="20" s="1"/>
  <c r="AB163" i="18"/>
  <c r="Z163" i="20" s="1"/>
  <c r="AB147" i="18"/>
  <c r="Z147" i="20" s="1"/>
  <c r="Z187" i="18"/>
  <c r="X187" i="20" s="1"/>
  <c r="Y187" i="20"/>
  <c r="Y143" i="20"/>
  <c r="Z166" i="18"/>
  <c r="X166" i="20" s="1"/>
  <c r="Z165" i="18"/>
  <c r="X165" i="20" s="1"/>
  <c r="AM55" i="18"/>
  <c r="AM54" i="18"/>
  <c r="AM53" i="18"/>
  <c r="AM52" i="18"/>
  <c r="AM51" i="18"/>
  <c r="AM50" i="18"/>
  <c r="AM55" i="16"/>
  <c r="AM54" i="16"/>
  <c r="AM53" i="16"/>
  <c r="AM52" i="16"/>
  <c r="AM51" i="16"/>
  <c r="AM50" i="16"/>
  <c r="AG97" i="20"/>
  <c r="S85" i="16"/>
  <c r="S83" i="16"/>
  <c r="S81" i="16"/>
  <c r="AQ63" i="28"/>
  <c r="AP63" i="28"/>
  <c r="AQ60" i="28"/>
  <c r="AP60" i="28"/>
  <c r="U105" i="20"/>
  <c r="AM94" i="20"/>
  <c r="A109" i="20"/>
  <c r="B109" i="20"/>
  <c r="C109" i="20"/>
  <c r="E109" i="20"/>
  <c r="F109" i="20"/>
  <c r="G109" i="20"/>
  <c r="H109" i="20"/>
  <c r="I109" i="20" s="1"/>
  <c r="J109" i="20"/>
  <c r="K109" i="20"/>
  <c r="L109" i="20"/>
  <c r="N109" i="20"/>
  <c r="O109" i="20"/>
  <c r="P109" i="20"/>
  <c r="Q109" i="20"/>
  <c r="R109" i="20"/>
  <c r="S109" i="20" s="1"/>
  <c r="T109" i="20"/>
  <c r="U109" i="20"/>
  <c r="V109" i="20"/>
  <c r="W109" i="20"/>
  <c r="Z109" i="20"/>
  <c r="AA109" i="20"/>
  <c r="AB109" i="20"/>
  <c r="AC109" i="20"/>
  <c r="AF109" i="20"/>
  <c r="AG109" i="20"/>
  <c r="AH109" i="20"/>
  <c r="AI109" i="20"/>
  <c r="AJ109" i="20"/>
  <c r="AK109" i="20"/>
  <c r="AL109" i="20"/>
  <c r="AM109" i="20"/>
  <c r="AG58" i="20"/>
  <c r="AI58" i="20"/>
  <c r="AJ58" i="20"/>
  <c r="AK58" i="20"/>
  <c r="AL58" i="20"/>
  <c r="AM58" i="20"/>
  <c r="AG59" i="20"/>
  <c r="AH59" i="20"/>
  <c r="AI59" i="20"/>
  <c r="AJ59" i="20"/>
  <c r="AK59" i="20"/>
  <c r="AL59" i="20"/>
  <c r="AM59" i="20"/>
  <c r="AG60" i="20"/>
  <c r="AH60" i="20"/>
  <c r="AI60" i="20"/>
  <c r="AJ60" i="20"/>
  <c r="AK60" i="20"/>
  <c r="AL60" i="20"/>
  <c r="AM60" i="20"/>
  <c r="AG61" i="20"/>
  <c r="AH61" i="20"/>
  <c r="AI61" i="20"/>
  <c r="AJ61" i="20"/>
  <c r="AK61" i="20"/>
  <c r="AL61" i="20"/>
  <c r="AM61" i="20"/>
  <c r="AG62" i="20"/>
  <c r="AI62" i="20"/>
  <c r="AJ62" i="20"/>
  <c r="AK62" i="20"/>
  <c r="AL62" i="20"/>
  <c r="AM62" i="20"/>
  <c r="AG63" i="20"/>
  <c r="AH63" i="20"/>
  <c r="AI63" i="20"/>
  <c r="AJ63" i="20"/>
  <c r="AK63" i="20"/>
  <c r="AL63" i="20"/>
  <c r="AM63" i="20"/>
  <c r="AG64" i="20"/>
  <c r="AH64" i="20"/>
  <c r="AI64" i="20"/>
  <c r="AJ64" i="20"/>
  <c r="AK64" i="20"/>
  <c r="AL64" i="20"/>
  <c r="AM64" i="20"/>
  <c r="AG65" i="20"/>
  <c r="AH65" i="20"/>
  <c r="AI65" i="20"/>
  <c r="AJ65" i="20"/>
  <c r="AK65" i="20"/>
  <c r="AL65" i="20"/>
  <c r="AM65" i="20"/>
  <c r="AG66" i="20"/>
  <c r="AH66" i="20"/>
  <c r="AI66" i="20"/>
  <c r="AJ66" i="20"/>
  <c r="AK66" i="20"/>
  <c r="AL66" i="20"/>
  <c r="AM66" i="20"/>
  <c r="AG67" i="20"/>
  <c r="AH67" i="20"/>
  <c r="AI67" i="20"/>
  <c r="AJ67" i="20"/>
  <c r="AK67" i="20"/>
  <c r="AL67" i="20"/>
  <c r="AM67" i="20"/>
  <c r="AG68" i="20"/>
  <c r="AH68" i="20"/>
  <c r="AI68" i="20"/>
  <c r="AJ68" i="20"/>
  <c r="AK68" i="20"/>
  <c r="AL68" i="20"/>
  <c r="AM68" i="20"/>
  <c r="AG69" i="20"/>
  <c r="AH69" i="20"/>
  <c r="AI69" i="20"/>
  <c r="AJ69" i="20"/>
  <c r="AK69" i="20"/>
  <c r="AL69" i="20"/>
  <c r="AM69" i="20"/>
  <c r="AG70" i="20"/>
  <c r="AH70" i="20"/>
  <c r="AI70" i="20"/>
  <c r="AJ70" i="20"/>
  <c r="AK70" i="20"/>
  <c r="AL70" i="20"/>
  <c r="AM70" i="20"/>
  <c r="AG71" i="20"/>
  <c r="AH71" i="20"/>
  <c r="AI71" i="20"/>
  <c r="AJ71" i="20"/>
  <c r="AK71" i="20"/>
  <c r="AL71" i="20"/>
  <c r="AM71" i="20"/>
  <c r="AG72" i="20"/>
  <c r="AH72" i="20"/>
  <c r="AI72" i="20"/>
  <c r="AJ72" i="20"/>
  <c r="AK72" i="20"/>
  <c r="AL72" i="20"/>
  <c r="AM72" i="20"/>
  <c r="AG73" i="20"/>
  <c r="AH73" i="20"/>
  <c r="AI73" i="20"/>
  <c r="AJ73" i="20"/>
  <c r="AK73" i="20"/>
  <c r="AL73" i="20"/>
  <c r="AM73" i="20"/>
  <c r="AG74" i="20"/>
  <c r="AH74" i="20"/>
  <c r="AI74" i="20"/>
  <c r="AJ74" i="20"/>
  <c r="AK74" i="20"/>
  <c r="AL74" i="20"/>
  <c r="AM74" i="20"/>
  <c r="AG75" i="20"/>
  <c r="AH75" i="20"/>
  <c r="AI75" i="20"/>
  <c r="AJ75" i="20"/>
  <c r="AK75" i="20"/>
  <c r="AL75" i="20"/>
  <c r="AM75" i="20"/>
  <c r="AG76" i="20"/>
  <c r="AH76" i="20"/>
  <c r="AI76" i="20"/>
  <c r="AJ76" i="20"/>
  <c r="AK76" i="20"/>
  <c r="AL76" i="20"/>
  <c r="AM76" i="20"/>
  <c r="AG77" i="20"/>
  <c r="AH77" i="20"/>
  <c r="AI77" i="20"/>
  <c r="AJ77" i="20"/>
  <c r="AK77" i="20"/>
  <c r="AL77" i="20"/>
  <c r="AM77" i="20"/>
  <c r="AG78" i="20"/>
  <c r="AH78" i="20"/>
  <c r="AI78" i="20"/>
  <c r="AJ78" i="20"/>
  <c r="AK78" i="20"/>
  <c r="AL78" i="20"/>
  <c r="AM78" i="20"/>
  <c r="AG79" i="20"/>
  <c r="AH79" i="20"/>
  <c r="AI79" i="20"/>
  <c r="AJ79" i="20"/>
  <c r="AK79" i="20"/>
  <c r="AL79" i="20"/>
  <c r="AM79" i="20"/>
  <c r="AG80" i="20"/>
  <c r="AH80" i="20"/>
  <c r="AI80" i="20"/>
  <c r="AJ80" i="20"/>
  <c r="AK80" i="20"/>
  <c r="AL80" i="20"/>
  <c r="AM80" i="20"/>
  <c r="AG81" i="20"/>
  <c r="AH81" i="20"/>
  <c r="AI81" i="20"/>
  <c r="AJ81" i="20"/>
  <c r="AK81" i="20"/>
  <c r="AL81" i="20"/>
  <c r="AM81" i="20"/>
  <c r="AG82" i="20"/>
  <c r="AH82" i="20"/>
  <c r="AI82" i="20"/>
  <c r="AJ82" i="20"/>
  <c r="AK82" i="20"/>
  <c r="AL82" i="20"/>
  <c r="AM82" i="20"/>
  <c r="AG83" i="20"/>
  <c r="AH83" i="20"/>
  <c r="AI83" i="20"/>
  <c r="AJ83" i="20"/>
  <c r="AK83" i="20"/>
  <c r="AL83" i="20"/>
  <c r="AM83" i="20"/>
  <c r="AG84" i="20"/>
  <c r="AH84" i="20"/>
  <c r="AI84" i="20"/>
  <c r="AJ84" i="20"/>
  <c r="AK84" i="20"/>
  <c r="AL84" i="20"/>
  <c r="AM84" i="20"/>
  <c r="AG85" i="20"/>
  <c r="AH85" i="20"/>
  <c r="AI85" i="20"/>
  <c r="AJ85" i="20"/>
  <c r="AK85" i="20"/>
  <c r="AL85" i="20"/>
  <c r="AM85" i="20"/>
  <c r="AG86" i="20"/>
  <c r="AH86" i="20"/>
  <c r="AI86" i="20"/>
  <c r="AJ86" i="20"/>
  <c r="AK86" i="20"/>
  <c r="AL86" i="20"/>
  <c r="AM86" i="20"/>
  <c r="AG87" i="20"/>
  <c r="AH87" i="20"/>
  <c r="AI87" i="20"/>
  <c r="AJ87" i="20"/>
  <c r="AK87" i="20"/>
  <c r="AL87" i="20"/>
  <c r="AM87" i="20"/>
  <c r="AG88" i="20"/>
  <c r="AH88" i="20"/>
  <c r="AI88" i="20"/>
  <c r="AJ88" i="20"/>
  <c r="AK88" i="20"/>
  <c r="AL88" i="20"/>
  <c r="AM88" i="20"/>
  <c r="AG89" i="20"/>
  <c r="AH89" i="20"/>
  <c r="AI89" i="20"/>
  <c r="AJ89" i="20"/>
  <c r="AK89" i="20"/>
  <c r="AL89" i="20"/>
  <c r="AM89" i="20"/>
  <c r="AG90" i="20"/>
  <c r="AH90" i="20"/>
  <c r="AI90" i="20"/>
  <c r="AJ90" i="20"/>
  <c r="AK90" i="20"/>
  <c r="AL90" i="20"/>
  <c r="AM90" i="20"/>
  <c r="AH91" i="20"/>
  <c r="AI91" i="20"/>
  <c r="AK91" i="20"/>
  <c r="AL91" i="20"/>
  <c r="AH92" i="20"/>
  <c r="AI92" i="20"/>
  <c r="AK92" i="20"/>
  <c r="AL92" i="20"/>
  <c r="AH93" i="20"/>
  <c r="AI93" i="20"/>
  <c r="AK93" i="20"/>
  <c r="AL93" i="20"/>
  <c r="AG94" i="20"/>
  <c r="AH94" i="20"/>
  <c r="AI94" i="20"/>
  <c r="AJ94" i="20"/>
  <c r="AK94" i="20"/>
  <c r="AL94" i="20"/>
  <c r="AG95" i="20"/>
  <c r="AH95" i="20"/>
  <c r="AI95" i="20"/>
  <c r="AJ95" i="20"/>
  <c r="AK95" i="20"/>
  <c r="AL95" i="20"/>
  <c r="AM95" i="20"/>
  <c r="AG96" i="20"/>
  <c r="AH96" i="20"/>
  <c r="AI96" i="20"/>
  <c r="AJ96" i="20"/>
  <c r="AK96" i="20"/>
  <c r="AL96" i="20"/>
  <c r="AM96" i="20"/>
  <c r="AH97" i="20"/>
  <c r="AI97" i="20"/>
  <c r="AJ97" i="20"/>
  <c r="AK97" i="20"/>
  <c r="AL97" i="20"/>
  <c r="AM97" i="20"/>
  <c r="AG98" i="20"/>
  <c r="AH98" i="20"/>
  <c r="AI98" i="20"/>
  <c r="AJ98" i="20"/>
  <c r="AK98" i="20"/>
  <c r="AL98" i="20"/>
  <c r="AM98" i="20"/>
  <c r="AG99" i="20"/>
  <c r="AH99" i="20"/>
  <c r="AI99" i="20"/>
  <c r="AJ99" i="20"/>
  <c r="AK99" i="20"/>
  <c r="AL99" i="20"/>
  <c r="AM99" i="20"/>
  <c r="AG100" i="20"/>
  <c r="AH100" i="20"/>
  <c r="AI100" i="20"/>
  <c r="AJ100" i="20"/>
  <c r="AK100" i="20"/>
  <c r="AL100" i="20"/>
  <c r="AM100" i="20"/>
  <c r="AG101" i="20"/>
  <c r="AH101" i="20"/>
  <c r="AI101" i="20"/>
  <c r="AJ101" i="20"/>
  <c r="AK101" i="20"/>
  <c r="AL101" i="20"/>
  <c r="AM101" i="20"/>
  <c r="AG102" i="20"/>
  <c r="AH102" i="20"/>
  <c r="AI102" i="20"/>
  <c r="AJ102" i="20"/>
  <c r="AK102" i="20"/>
  <c r="AL102" i="20"/>
  <c r="AM102" i="20"/>
  <c r="AG103" i="20"/>
  <c r="AH103" i="20"/>
  <c r="AI103" i="20"/>
  <c r="AJ103" i="20"/>
  <c r="AK103" i="20"/>
  <c r="AL103" i="20"/>
  <c r="AM103" i="20"/>
  <c r="AG104" i="20"/>
  <c r="AH104" i="20"/>
  <c r="AI104" i="20"/>
  <c r="AJ104" i="20"/>
  <c r="AK104" i="20"/>
  <c r="AL104" i="20"/>
  <c r="AM104" i="20"/>
  <c r="AG105" i="20"/>
  <c r="AI105" i="20"/>
  <c r="AJ105" i="20"/>
  <c r="AL105" i="20"/>
  <c r="AM105" i="20"/>
  <c r="AG106" i="20"/>
  <c r="AI106" i="20"/>
  <c r="AJ106" i="20"/>
  <c r="AL106" i="20"/>
  <c r="AM106" i="20"/>
  <c r="AG107" i="20"/>
  <c r="AI107" i="20"/>
  <c r="AJ107" i="20"/>
  <c r="AL107" i="20"/>
  <c r="AM107" i="20"/>
  <c r="AG108" i="20"/>
  <c r="AI108" i="20"/>
  <c r="AJ108" i="20"/>
  <c r="AL108" i="20"/>
  <c r="AM108" i="20"/>
  <c r="AF108" i="20"/>
  <c r="AC108" i="20"/>
  <c r="AF107" i="20"/>
  <c r="AC107" i="20"/>
  <c r="AF106" i="20"/>
  <c r="AC106" i="20"/>
  <c r="AF105" i="20"/>
  <c r="AC105" i="20"/>
  <c r="AF104" i="20"/>
  <c r="AC104" i="20"/>
  <c r="AF103" i="20"/>
  <c r="AC103" i="20"/>
  <c r="AF102" i="20"/>
  <c r="AC102" i="20"/>
  <c r="AF101" i="20"/>
  <c r="AC101" i="20"/>
  <c r="AF100" i="20"/>
  <c r="AC100" i="20"/>
  <c r="AF99" i="20"/>
  <c r="AC99" i="20"/>
  <c r="AF98" i="20"/>
  <c r="AC98" i="20"/>
  <c r="AF97" i="20"/>
  <c r="AC97" i="20"/>
  <c r="AF96" i="20"/>
  <c r="AC96" i="20"/>
  <c r="AF95" i="20"/>
  <c r="AC95" i="20"/>
  <c r="AF94" i="20"/>
  <c r="AC94" i="20"/>
  <c r="AF93" i="20"/>
  <c r="AC93" i="20"/>
  <c r="AF92" i="20"/>
  <c r="AC92" i="20"/>
  <c r="AF91" i="20"/>
  <c r="AC91" i="20"/>
  <c r="AF90" i="20"/>
  <c r="AC90" i="20"/>
  <c r="AF89" i="20"/>
  <c r="AC89" i="20"/>
  <c r="AF88" i="20"/>
  <c r="AC88" i="20"/>
  <c r="AF87" i="20"/>
  <c r="AC87" i="20"/>
  <c r="AF86" i="20"/>
  <c r="AC86" i="20"/>
  <c r="AF85" i="20"/>
  <c r="AC85" i="20"/>
  <c r="AF84" i="20"/>
  <c r="AC84" i="20"/>
  <c r="AF83" i="20"/>
  <c r="AC83" i="20"/>
  <c r="AF82" i="20"/>
  <c r="AC82" i="20"/>
  <c r="AF81" i="20"/>
  <c r="AC81" i="20"/>
  <c r="AF80" i="20"/>
  <c r="AC80" i="20"/>
  <c r="AF79" i="20"/>
  <c r="AC79" i="20"/>
  <c r="AF78" i="20"/>
  <c r="AC78" i="20"/>
  <c r="AF77" i="20"/>
  <c r="AC77" i="20"/>
  <c r="AF76" i="20"/>
  <c r="AC76" i="20"/>
  <c r="AF75" i="20"/>
  <c r="AC75" i="20"/>
  <c r="AF74" i="20"/>
  <c r="AC74" i="20"/>
  <c r="AF73" i="20"/>
  <c r="AC73" i="20"/>
  <c r="AF72" i="20"/>
  <c r="AC72" i="20"/>
  <c r="AF71" i="20"/>
  <c r="AC71" i="20"/>
  <c r="AF70" i="20"/>
  <c r="AC70" i="20"/>
  <c r="AF69" i="20"/>
  <c r="AC69" i="20"/>
  <c r="AF68" i="20"/>
  <c r="AC68" i="20"/>
  <c r="AF67" i="20"/>
  <c r="AC67" i="20"/>
  <c r="AF66" i="20"/>
  <c r="AC66" i="20"/>
  <c r="AF65" i="20"/>
  <c r="AC65" i="20"/>
  <c r="AF64" i="20"/>
  <c r="AC64" i="20"/>
  <c r="AF63" i="20"/>
  <c r="AC63" i="20"/>
  <c r="AF62" i="20"/>
  <c r="AC62" i="20"/>
  <c r="AF61" i="20"/>
  <c r="AC61" i="20"/>
  <c r="AF60" i="20"/>
  <c r="AC60" i="20"/>
  <c r="AF59" i="20"/>
  <c r="AC59" i="20"/>
  <c r="AF58" i="20"/>
  <c r="AC58" i="20"/>
  <c r="AA58" i="20"/>
  <c r="Z59" i="20"/>
  <c r="AA59" i="20"/>
  <c r="Z60" i="20"/>
  <c r="AA60" i="20"/>
  <c r="Z61" i="20"/>
  <c r="AA61" i="20"/>
  <c r="Z62" i="20"/>
  <c r="AA62" i="20"/>
  <c r="Z63" i="20"/>
  <c r="AA63" i="20"/>
  <c r="Z64" i="20"/>
  <c r="AA64" i="20"/>
  <c r="Z65" i="20"/>
  <c r="AA65" i="20"/>
  <c r="Z66" i="20"/>
  <c r="AA66" i="20"/>
  <c r="Z67" i="20"/>
  <c r="AA67" i="20"/>
  <c r="Z68" i="20"/>
  <c r="AA68" i="20"/>
  <c r="Z69" i="20"/>
  <c r="AA69" i="20"/>
  <c r="Z70" i="20"/>
  <c r="AA70" i="20"/>
  <c r="Z71" i="20"/>
  <c r="AA71" i="20"/>
  <c r="Z72" i="20"/>
  <c r="AA72" i="20"/>
  <c r="Z73" i="20"/>
  <c r="AA73" i="20"/>
  <c r="Z74" i="20"/>
  <c r="AA74" i="20"/>
  <c r="Z75" i="20"/>
  <c r="AA75" i="20"/>
  <c r="Z76" i="20"/>
  <c r="AA76" i="20"/>
  <c r="Z77" i="20"/>
  <c r="AA77" i="20"/>
  <c r="Z78" i="20"/>
  <c r="AA78" i="20"/>
  <c r="Z79" i="20"/>
  <c r="AA79" i="20"/>
  <c r="Z80" i="20"/>
  <c r="AA80" i="20"/>
  <c r="Z81" i="20"/>
  <c r="AA81" i="20"/>
  <c r="Z82" i="20"/>
  <c r="AA82" i="20"/>
  <c r="Z83" i="20"/>
  <c r="AA83" i="20"/>
  <c r="Z84" i="20"/>
  <c r="AA84" i="20"/>
  <c r="Z85" i="20"/>
  <c r="AA85" i="20"/>
  <c r="Z86" i="20"/>
  <c r="AA86" i="20"/>
  <c r="Z87" i="20"/>
  <c r="AA87" i="20"/>
  <c r="Z88" i="20"/>
  <c r="AA88" i="20"/>
  <c r="Z89" i="20"/>
  <c r="AA89" i="20"/>
  <c r="Z90" i="20"/>
  <c r="AA90" i="20"/>
  <c r="Z91" i="20"/>
  <c r="AA91" i="20"/>
  <c r="Z92" i="20"/>
  <c r="AA92" i="20"/>
  <c r="Z93" i="20"/>
  <c r="AA93" i="20"/>
  <c r="Z94" i="20"/>
  <c r="AA94" i="20"/>
  <c r="Z95" i="20"/>
  <c r="AA95" i="20"/>
  <c r="Z96" i="20"/>
  <c r="AA96" i="20"/>
  <c r="Z97" i="20"/>
  <c r="AA97" i="20"/>
  <c r="Z98" i="20"/>
  <c r="AA98" i="20"/>
  <c r="Z99" i="20"/>
  <c r="AA99" i="20"/>
  <c r="Z100" i="20"/>
  <c r="AA100" i="20"/>
  <c r="Z101" i="20"/>
  <c r="AA101" i="20"/>
  <c r="Z102" i="20"/>
  <c r="AA102" i="20"/>
  <c r="AA103" i="20"/>
  <c r="Z104" i="20"/>
  <c r="AA104" i="20"/>
  <c r="AA105" i="20"/>
  <c r="Z106" i="20"/>
  <c r="AA106" i="20"/>
  <c r="AA107" i="20"/>
  <c r="Z108" i="20"/>
  <c r="AA108" i="20"/>
  <c r="AB58" i="20"/>
  <c r="AB59" i="20"/>
  <c r="AB60" i="20"/>
  <c r="AB61" i="20"/>
  <c r="AB62" i="20"/>
  <c r="AB63" i="20"/>
  <c r="AB64" i="20"/>
  <c r="AB65" i="20"/>
  <c r="AB66" i="20"/>
  <c r="AB67" i="20"/>
  <c r="AB68" i="20"/>
  <c r="AB69" i="20"/>
  <c r="AB70" i="20"/>
  <c r="AB71" i="20"/>
  <c r="AB72" i="20"/>
  <c r="AB73" i="20"/>
  <c r="AB74" i="20"/>
  <c r="AB75" i="20"/>
  <c r="AB76" i="20"/>
  <c r="AB77" i="20"/>
  <c r="AB78" i="20"/>
  <c r="AB79" i="20"/>
  <c r="AB80" i="20"/>
  <c r="AB81" i="20"/>
  <c r="AB82" i="20"/>
  <c r="AB83" i="20"/>
  <c r="AB84" i="20"/>
  <c r="AB85" i="20"/>
  <c r="AB86" i="20"/>
  <c r="AB87" i="20"/>
  <c r="AB88" i="20"/>
  <c r="AB89" i="20"/>
  <c r="AB90" i="20"/>
  <c r="AB91" i="20"/>
  <c r="AB92" i="20"/>
  <c r="AB93" i="20"/>
  <c r="AB94" i="20"/>
  <c r="AB95" i="20"/>
  <c r="AB96" i="20"/>
  <c r="AB97" i="20"/>
  <c r="AB98" i="20"/>
  <c r="AB99" i="20"/>
  <c r="AB100" i="20"/>
  <c r="AB101" i="20"/>
  <c r="AB102" i="20"/>
  <c r="AB103" i="20"/>
  <c r="AB104" i="20"/>
  <c r="AB105" i="20"/>
  <c r="AB106" i="20"/>
  <c r="AB107" i="20"/>
  <c r="AB108" i="20"/>
  <c r="Y59" i="20"/>
  <c r="Y60" i="20"/>
  <c r="Y61" i="20"/>
  <c r="Y62" i="20"/>
  <c r="Y63" i="20"/>
  <c r="Y64" i="20"/>
  <c r="Y65" i="20"/>
  <c r="Y66" i="20"/>
  <c r="Y67" i="20"/>
  <c r="Y68" i="20"/>
  <c r="Y69" i="20"/>
  <c r="Y70" i="20"/>
  <c r="Y71" i="20"/>
  <c r="Y72" i="20"/>
  <c r="Y73" i="20"/>
  <c r="Y74" i="20"/>
  <c r="Y75" i="20"/>
  <c r="Y76" i="20"/>
  <c r="Y77" i="20"/>
  <c r="Y78" i="20"/>
  <c r="Y79" i="20"/>
  <c r="Y80" i="20"/>
  <c r="Y82" i="20"/>
  <c r="Y84" i="20"/>
  <c r="Y86" i="20"/>
  <c r="Y88" i="20"/>
  <c r="Y90" i="20"/>
  <c r="Y91" i="20"/>
  <c r="Y92" i="20"/>
  <c r="Y93" i="20"/>
  <c r="Y94" i="20"/>
  <c r="Y95" i="20"/>
  <c r="Y96" i="20"/>
  <c r="Y97" i="20"/>
  <c r="Y98" i="20"/>
  <c r="Y99" i="20"/>
  <c r="Y100" i="20"/>
  <c r="Y102" i="20"/>
  <c r="Y103" i="20"/>
  <c r="Y104" i="20"/>
  <c r="Y105" i="20"/>
  <c r="Y106" i="20"/>
  <c r="Y107" i="20"/>
  <c r="Y108" i="20"/>
  <c r="AA56" i="18"/>
  <c r="AA52" i="18"/>
  <c r="AA50" i="18"/>
  <c r="AA46" i="18"/>
  <c r="AA38" i="18"/>
  <c r="AA36" i="18"/>
  <c r="AA34" i="18"/>
  <c r="AM108" i="18"/>
  <c r="AJ108" i="18"/>
  <c r="AM107" i="18"/>
  <c r="AJ107" i="18"/>
  <c r="AB107" i="18"/>
  <c r="Z107" i="18" s="1"/>
  <c r="AM106" i="18"/>
  <c r="AJ106" i="18"/>
  <c r="AM105" i="18"/>
  <c r="AJ105" i="18"/>
  <c r="AB105" i="18"/>
  <c r="Z105" i="18" s="1"/>
  <c r="AB103" i="18"/>
  <c r="Z103" i="18" s="1"/>
  <c r="Z98" i="18"/>
  <c r="Z94" i="18"/>
  <c r="AL93" i="18"/>
  <c r="AI93" i="18"/>
  <c r="AL92" i="18"/>
  <c r="AI92" i="18"/>
  <c r="Z92" i="18"/>
  <c r="AL91" i="18"/>
  <c r="AI91" i="18"/>
  <c r="Z91" i="18"/>
  <c r="AA89" i="18"/>
  <c r="Z89" i="18"/>
  <c r="AA87" i="18"/>
  <c r="Z87" i="18"/>
  <c r="AA85" i="18"/>
  <c r="Z85" i="18"/>
  <c r="AA83" i="18"/>
  <c r="Z83" i="18"/>
  <c r="AA81" i="18"/>
  <c r="Z81" i="18"/>
  <c r="Z71" i="18"/>
  <c r="Z66" i="18"/>
  <c r="AA58" i="18"/>
  <c r="Z58" i="18"/>
  <c r="AA109" i="16"/>
  <c r="Y109" i="20" s="1"/>
  <c r="AB107" i="16"/>
  <c r="AB105" i="16"/>
  <c r="AB103" i="16"/>
  <c r="AA101" i="16"/>
  <c r="Y101" i="20" s="1"/>
  <c r="Z99" i="16"/>
  <c r="Z98" i="16"/>
  <c r="X151" i="20" l="1"/>
  <c r="X163" i="20"/>
  <c r="X145" i="20"/>
  <c r="X149" i="20"/>
  <c r="X159" i="20"/>
  <c r="X161" i="20"/>
  <c r="X157" i="20"/>
  <c r="Z107" i="20"/>
  <c r="Z105" i="20"/>
  <c r="Z103" i="20"/>
  <c r="Z109" i="16"/>
  <c r="X109" i="20" s="1"/>
  <c r="Z105" i="16"/>
  <c r="Z101" i="16"/>
  <c r="X101" i="20" s="1"/>
  <c r="Z103" i="16"/>
  <c r="Z107" i="16"/>
  <c r="AR60" i="28"/>
  <c r="Z94" i="16"/>
  <c r="AL93" i="16"/>
  <c r="AJ93" i="20" s="1"/>
  <c r="AI93" i="16"/>
  <c r="AG93" i="20" s="1"/>
  <c r="AL92" i="16"/>
  <c r="AJ92" i="20" s="1"/>
  <c r="AI92" i="16"/>
  <c r="AG92" i="20" s="1"/>
  <c r="Z92" i="16"/>
  <c r="AL91" i="16"/>
  <c r="AJ91" i="20" s="1"/>
  <c r="AI91" i="16"/>
  <c r="AG91" i="20" s="1"/>
  <c r="Z91" i="16"/>
  <c r="AA89" i="16"/>
  <c r="AA87" i="16"/>
  <c r="AA85" i="16"/>
  <c r="AA83" i="16"/>
  <c r="AA81" i="16"/>
  <c r="Z71" i="16"/>
  <c r="Z66" i="16"/>
  <c r="AJ62" i="16"/>
  <c r="AH62" i="20" s="1"/>
  <c r="AJ58" i="16"/>
  <c r="AH58" i="20" s="1"/>
  <c r="AB58" i="16"/>
  <c r="Z58" i="20" s="1"/>
  <c r="AA58" i="16"/>
  <c r="Y58" i="20" s="1"/>
  <c r="O88" i="20"/>
  <c r="A76" i="20"/>
  <c r="B76" i="20"/>
  <c r="C76" i="20"/>
  <c r="E76" i="20"/>
  <c r="F76" i="20"/>
  <c r="G76" i="20"/>
  <c r="H76" i="20"/>
  <c r="I76" i="20" s="1"/>
  <c r="J76" i="20"/>
  <c r="L76" i="20"/>
  <c r="M76" i="20"/>
  <c r="N76" i="20"/>
  <c r="O76" i="20"/>
  <c r="R76" i="20"/>
  <c r="S76" i="20" s="1"/>
  <c r="T76" i="20"/>
  <c r="U76" i="20"/>
  <c r="V76" i="20"/>
  <c r="W76" i="20"/>
  <c r="X76" i="20"/>
  <c r="A77" i="20"/>
  <c r="B77" i="20"/>
  <c r="C77" i="20"/>
  <c r="E77" i="20"/>
  <c r="F77" i="20"/>
  <c r="G77" i="20"/>
  <c r="H77" i="20"/>
  <c r="I77" i="20" s="1"/>
  <c r="J77" i="20"/>
  <c r="K77" i="20"/>
  <c r="L77" i="20"/>
  <c r="M77" i="20"/>
  <c r="N77" i="20"/>
  <c r="O77" i="20"/>
  <c r="P77" i="20"/>
  <c r="Q77" i="20"/>
  <c r="R77" i="20"/>
  <c r="S77" i="20" s="1"/>
  <c r="T77" i="20"/>
  <c r="U77" i="20"/>
  <c r="V77" i="20"/>
  <c r="W77" i="20"/>
  <c r="X77" i="20"/>
  <c r="A78" i="20"/>
  <c r="B78" i="20"/>
  <c r="C78" i="20"/>
  <c r="E78" i="20"/>
  <c r="F78" i="20"/>
  <c r="G78" i="20"/>
  <c r="H78" i="20"/>
  <c r="I78" i="20" s="1"/>
  <c r="J78" i="20"/>
  <c r="K78" i="20"/>
  <c r="L78" i="20"/>
  <c r="M78" i="20"/>
  <c r="N78" i="20"/>
  <c r="O78" i="20"/>
  <c r="P78" i="20"/>
  <c r="Q78" i="20"/>
  <c r="R78" i="20"/>
  <c r="S78" i="20" s="1"/>
  <c r="T78" i="20"/>
  <c r="U78" i="20"/>
  <c r="V78" i="20"/>
  <c r="W78" i="20"/>
  <c r="X78" i="20"/>
  <c r="A79" i="20"/>
  <c r="B79" i="20"/>
  <c r="C79" i="20"/>
  <c r="E79" i="20"/>
  <c r="F79" i="20"/>
  <c r="G79" i="20"/>
  <c r="H79" i="20"/>
  <c r="I79" i="20" s="1"/>
  <c r="J79" i="20"/>
  <c r="K79" i="20"/>
  <c r="L79" i="20"/>
  <c r="M79" i="20"/>
  <c r="N79" i="20"/>
  <c r="O79" i="20"/>
  <c r="P79" i="20"/>
  <c r="Q79" i="20"/>
  <c r="R79" i="20"/>
  <c r="S79" i="20" s="1"/>
  <c r="T79" i="20"/>
  <c r="U79" i="20"/>
  <c r="V79" i="20"/>
  <c r="W79" i="20"/>
  <c r="X79" i="20"/>
  <c r="A80" i="20"/>
  <c r="B80" i="20"/>
  <c r="C80" i="20"/>
  <c r="E80" i="20"/>
  <c r="F80" i="20"/>
  <c r="G80" i="20"/>
  <c r="H80" i="20"/>
  <c r="I80" i="20" s="1"/>
  <c r="J80" i="20"/>
  <c r="K80" i="20"/>
  <c r="L80" i="20"/>
  <c r="M80" i="20"/>
  <c r="N80" i="20"/>
  <c r="O80" i="20"/>
  <c r="P80" i="20"/>
  <c r="Q80" i="20"/>
  <c r="R80" i="20"/>
  <c r="S80" i="20" s="1"/>
  <c r="T80" i="20"/>
  <c r="U80" i="20"/>
  <c r="V80" i="20"/>
  <c r="W80" i="20"/>
  <c r="X80" i="20"/>
  <c r="A81" i="20"/>
  <c r="B81" i="20"/>
  <c r="C81" i="20"/>
  <c r="E81" i="20"/>
  <c r="F81" i="20"/>
  <c r="G81" i="20"/>
  <c r="H81" i="20"/>
  <c r="I81" i="20" s="1"/>
  <c r="J81" i="20"/>
  <c r="K81" i="20"/>
  <c r="L81" i="20"/>
  <c r="M81" i="20"/>
  <c r="O81" i="20"/>
  <c r="R81" i="20"/>
  <c r="S81" i="20" s="1"/>
  <c r="T81" i="20"/>
  <c r="U81" i="20"/>
  <c r="V81" i="20"/>
  <c r="W81" i="20"/>
  <c r="A82" i="20"/>
  <c r="B82" i="20"/>
  <c r="C82" i="20"/>
  <c r="E82" i="20"/>
  <c r="F82" i="20"/>
  <c r="G82" i="20"/>
  <c r="H82" i="20"/>
  <c r="I82" i="20" s="1"/>
  <c r="J82" i="20"/>
  <c r="K82" i="20"/>
  <c r="L82" i="20"/>
  <c r="M82" i="20"/>
  <c r="N82" i="20"/>
  <c r="O82" i="20"/>
  <c r="P82" i="20"/>
  <c r="Q82" i="20"/>
  <c r="R82" i="20"/>
  <c r="S82" i="20" s="1"/>
  <c r="T82" i="20"/>
  <c r="U82" i="20"/>
  <c r="V82" i="20"/>
  <c r="W82" i="20"/>
  <c r="X82" i="20"/>
  <c r="A83" i="20"/>
  <c r="B83" i="20"/>
  <c r="C83" i="20"/>
  <c r="E83" i="20"/>
  <c r="F83" i="20"/>
  <c r="G83" i="20"/>
  <c r="H83" i="20"/>
  <c r="I83" i="20" s="1"/>
  <c r="J83" i="20"/>
  <c r="K83" i="20"/>
  <c r="L83" i="20"/>
  <c r="M83" i="20"/>
  <c r="O83" i="20"/>
  <c r="R83" i="20"/>
  <c r="S83" i="20" s="1"/>
  <c r="T83" i="20"/>
  <c r="U83" i="20"/>
  <c r="V83" i="20"/>
  <c r="W83" i="20"/>
  <c r="A84" i="20"/>
  <c r="B84" i="20"/>
  <c r="C84" i="20"/>
  <c r="E84" i="20"/>
  <c r="F84" i="20"/>
  <c r="G84" i="20"/>
  <c r="H84" i="20"/>
  <c r="I84" i="20" s="1"/>
  <c r="J84" i="20"/>
  <c r="K84" i="20"/>
  <c r="L84" i="20"/>
  <c r="M84" i="20"/>
  <c r="N84" i="20"/>
  <c r="O84" i="20"/>
  <c r="P84" i="20"/>
  <c r="Q84" i="20"/>
  <c r="R84" i="20"/>
  <c r="S84" i="20" s="1"/>
  <c r="T84" i="20"/>
  <c r="U84" i="20"/>
  <c r="V84" i="20"/>
  <c r="W84" i="20"/>
  <c r="X84" i="20"/>
  <c r="A85" i="20"/>
  <c r="B85" i="20"/>
  <c r="C85" i="20"/>
  <c r="E85" i="20"/>
  <c r="F85" i="20"/>
  <c r="G85" i="20"/>
  <c r="H85" i="20"/>
  <c r="I85" i="20" s="1"/>
  <c r="J85" i="20"/>
  <c r="K85" i="20"/>
  <c r="L85" i="20"/>
  <c r="N85" i="20"/>
  <c r="R85" i="20"/>
  <c r="S85" i="20" s="1"/>
  <c r="T85" i="20"/>
  <c r="U85" i="20"/>
  <c r="V85" i="20"/>
  <c r="W85" i="20"/>
  <c r="A86" i="20"/>
  <c r="B86" i="20"/>
  <c r="C86" i="20"/>
  <c r="E86" i="20"/>
  <c r="F86" i="20"/>
  <c r="G86" i="20"/>
  <c r="H86" i="20"/>
  <c r="I86" i="20" s="1"/>
  <c r="J86" i="20"/>
  <c r="K86" i="20"/>
  <c r="L86" i="20"/>
  <c r="M86" i="20"/>
  <c r="N86" i="20"/>
  <c r="O86" i="20"/>
  <c r="P86" i="20"/>
  <c r="Q86" i="20"/>
  <c r="R86" i="20"/>
  <c r="S86" i="20" s="1"/>
  <c r="T86" i="20"/>
  <c r="U86" i="20"/>
  <c r="V86" i="20"/>
  <c r="W86" i="20"/>
  <c r="X86" i="20"/>
  <c r="A87" i="20"/>
  <c r="B87" i="20"/>
  <c r="C87" i="20"/>
  <c r="E87" i="20"/>
  <c r="F87" i="20"/>
  <c r="G87" i="20"/>
  <c r="H87" i="20"/>
  <c r="I87" i="20" s="1"/>
  <c r="J87" i="20"/>
  <c r="K87" i="20"/>
  <c r="L87" i="20"/>
  <c r="N87" i="20"/>
  <c r="R87" i="20"/>
  <c r="S87" i="20" s="1"/>
  <c r="T87" i="20"/>
  <c r="U87" i="20"/>
  <c r="V87" i="20"/>
  <c r="W87" i="20"/>
  <c r="A88" i="20"/>
  <c r="B88" i="20"/>
  <c r="C88" i="20"/>
  <c r="E88" i="20"/>
  <c r="F88" i="20"/>
  <c r="G88" i="20"/>
  <c r="H88" i="20"/>
  <c r="I88" i="20" s="1"/>
  <c r="J88" i="20"/>
  <c r="K88" i="20"/>
  <c r="L88" i="20"/>
  <c r="M88" i="20"/>
  <c r="N88" i="20"/>
  <c r="P88" i="20"/>
  <c r="Q88" i="20"/>
  <c r="R88" i="20"/>
  <c r="S88" i="20" s="1"/>
  <c r="T88" i="20"/>
  <c r="U88" i="20"/>
  <c r="V88" i="20"/>
  <c r="W88" i="20"/>
  <c r="X88" i="20"/>
  <c r="A89" i="20"/>
  <c r="B89" i="20"/>
  <c r="C89" i="20"/>
  <c r="E89" i="20"/>
  <c r="F89" i="20"/>
  <c r="G89" i="20"/>
  <c r="H89" i="20"/>
  <c r="I89" i="20" s="1"/>
  <c r="J89" i="20"/>
  <c r="K89" i="20"/>
  <c r="L89" i="20"/>
  <c r="N89" i="20"/>
  <c r="R89" i="20"/>
  <c r="S89" i="20" s="1"/>
  <c r="T89" i="20"/>
  <c r="U89" i="20"/>
  <c r="V89" i="20"/>
  <c r="W89" i="20"/>
  <c r="A90" i="20"/>
  <c r="B90" i="20"/>
  <c r="C90" i="20"/>
  <c r="E90" i="20"/>
  <c r="F90" i="20"/>
  <c r="G90" i="20"/>
  <c r="H90" i="20"/>
  <c r="I90" i="20" s="1"/>
  <c r="J90" i="20"/>
  <c r="K90" i="20"/>
  <c r="L90" i="20"/>
  <c r="M90" i="20"/>
  <c r="N90" i="20"/>
  <c r="O90" i="20"/>
  <c r="P90" i="20"/>
  <c r="Q90" i="20"/>
  <c r="R90" i="20"/>
  <c r="S90" i="20" s="1"/>
  <c r="T90" i="20"/>
  <c r="U90" i="20"/>
  <c r="V90" i="20"/>
  <c r="W90" i="20"/>
  <c r="X90" i="20"/>
  <c r="A91" i="20"/>
  <c r="B91" i="20"/>
  <c r="C91" i="20"/>
  <c r="E91" i="20"/>
  <c r="F91" i="20"/>
  <c r="G91" i="20"/>
  <c r="H91" i="20"/>
  <c r="I91" i="20" s="1"/>
  <c r="J91" i="20"/>
  <c r="K91" i="20"/>
  <c r="L91" i="20"/>
  <c r="M91" i="20"/>
  <c r="N91" i="20"/>
  <c r="O91" i="20"/>
  <c r="Q91" i="20"/>
  <c r="R91" i="20"/>
  <c r="S91" i="20" s="1"/>
  <c r="T91" i="20"/>
  <c r="U91" i="20"/>
  <c r="V91" i="20"/>
  <c r="W91" i="20"/>
  <c r="A92" i="20"/>
  <c r="B92" i="20"/>
  <c r="C92" i="20"/>
  <c r="E92" i="20"/>
  <c r="F92" i="20"/>
  <c r="G92" i="20"/>
  <c r="H92" i="20"/>
  <c r="I92" i="20" s="1"/>
  <c r="J92" i="20"/>
  <c r="K92" i="20"/>
  <c r="L92" i="20"/>
  <c r="M92" i="20"/>
  <c r="N92" i="20"/>
  <c r="O92" i="20"/>
  <c r="Q92" i="20"/>
  <c r="R92" i="20"/>
  <c r="S92" i="20" s="1"/>
  <c r="T92" i="20"/>
  <c r="U92" i="20"/>
  <c r="V92" i="20"/>
  <c r="W92" i="20"/>
  <c r="A93" i="20"/>
  <c r="B93" i="20"/>
  <c r="C93" i="20"/>
  <c r="E93" i="20"/>
  <c r="F93" i="20"/>
  <c r="G93" i="20"/>
  <c r="H93" i="20"/>
  <c r="I93" i="20" s="1"/>
  <c r="J93" i="20"/>
  <c r="K93" i="20"/>
  <c r="L93" i="20"/>
  <c r="M93" i="20"/>
  <c r="N93" i="20"/>
  <c r="O93" i="20"/>
  <c r="Q93" i="20"/>
  <c r="R93" i="20"/>
  <c r="S93" i="20" s="1"/>
  <c r="T93" i="20"/>
  <c r="U93" i="20"/>
  <c r="V93" i="20"/>
  <c r="W93" i="20"/>
  <c r="X93" i="20"/>
  <c r="A94" i="20"/>
  <c r="B94" i="20"/>
  <c r="C94" i="20"/>
  <c r="E94" i="20"/>
  <c r="F94" i="20"/>
  <c r="G94" i="20"/>
  <c r="H94" i="20"/>
  <c r="I94" i="20" s="1"/>
  <c r="J94" i="20"/>
  <c r="K94" i="20"/>
  <c r="L94" i="20"/>
  <c r="N94" i="20"/>
  <c r="R94" i="20"/>
  <c r="S94" i="20" s="1"/>
  <c r="T94" i="20"/>
  <c r="U94" i="20"/>
  <c r="V94" i="20"/>
  <c r="W94" i="20"/>
  <c r="A95" i="20"/>
  <c r="B95" i="20"/>
  <c r="C95" i="20"/>
  <c r="E95" i="20"/>
  <c r="F95" i="20"/>
  <c r="G95" i="20"/>
  <c r="H95" i="20"/>
  <c r="I95" i="20" s="1"/>
  <c r="J95" i="20"/>
  <c r="K95" i="20"/>
  <c r="L95" i="20"/>
  <c r="M95" i="20"/>
  <c r="N95" i="20"/>
  <c r="O95" i="20"/>
  <c r="P95" i="20"/>
  <c r="Q95" i="20"/>
  <c r="R95" i="20"/>
  <c r="S95" i="20" s="1"/>
  <c r="T95" i="20"/>
  <c r="U95" i="20"/>
  <c r="V95" i="20"/>
  <c r="W95" i="20"/>
  <c r="X95" i="20"/>
  <c r="A96" i="20"/>
  <c r="B96" i="20"/>
  <c r="C96" i="20"/>
  <c r="E96" i="20"/>
  <c r="F96" i="20"/>
  <c r="G96" i="20"/>
  <c r="H96" i="20"/>
  <c r="I96" i="20" s="1"/>
  <c r="J96" i="20"/>
  <c r="K96" i="20"/>
  <c r="L96" i="20"/>
  <c r="N96" i="20"/>
  <c r="R96" i="20"/>
  <c r="S96" i="20" s="1"/>
  <c r="T96" i="20"/>
  <c r="U96" i="20"/>
  <c r="V96" i="20"/>
  <c r="W96" i="20"/>
  <c r="X96" i="20"/>
  <c r="A97" i="20"/>
  <c r="B97" i="20"/>
  <c r="C97" i="20"/>
  <c r="E97" i="20"/>
  <c r="F97" i="20"/>
  <c r="G97" i="20"/>
  <c r="H97" i="20"/>
  <c r="I97" i="20" s="1"/>
  <c r="J97" i="20"/>
  <c r="K97" i="20"/>
  <c r="L97" i="20"/>
  <c r="M97" i="20"/>
  <c r="N97" i="20"/>
  <c r="O97" i="20"/>
  <c r="P97" i="20"/>
  <c r="Q97" i="20"/>
  <c r="R97" i="20"/>
  <c r="S97" i="20" s="1"/>
  <c r="T97" i="20"/>
  <c r="U97" i="20"/>
  <c r="V97" i="20"/>
  <c r="W97" i="20"/>
  <c r="X97" i="20"/>
  <c r="A98" i="20"/>
  <c r="B98" i="20"/>
  <c r="C98" i="20"/>
  <c r="E98" i="20"/>
  <c r="F98" i="20"/>
  <c r="G98" i="20"/>
  <c r="H98" i="20"/>
  <c r="I98" i="20" s="1"/>
  <c r="J98" i="20"/>
  <c r="K98" i="20"/>
  <c r="L98" i="20"/>
  <c r="M98" i="20"/>
  <c r="N98" i="20"/>
  <c r="O98" i="20"/>
  <c r="Q98" i="20"/>
  <c r="R98" i="20"/>
  <c r="S98" i="20" s="1"/>
  <c r="T98" i="20"/>
  <c r="U98" i="20"/>
  <c r="V98" i="20"/>
  <c r="W98" i="20"/>
  <c r="A99" i="20"/>
  <c r="B99" i="20"/>
  <c r="C99" i="20"/>
  <c r="E99" i="20"/>
  <c r="F99" i="20"/>
  <c r="G99" i="20"/>
  <c r="H99" i="20"/>
  <c r="I99" i="20" s="1"/>
  <c r="J99" i="20"/>
  <c r="K99" i="20"/>
  <c r="L99" i="20"/>
  <c r="M99" i="20"/>
  <c r="N99" i="20"/>
  <c r="O99" i="20"/>
  <c r="Q99" i="20"/>
  <c r="R99" i="20"/>
  <c r="S99" i="20" s="1"/>
  <c r="T99" i="20"/>
  <c r="U99" i="20"/>
  <c r="V99" i="20"/>
  <c r="W99" i="20"/>
  <c r="X99" i="20"/>
  <c r="A100" i="20"/>
  <c r="B100" i="20"/>
  <c r="C100" i="20"/>
  <c r="E100" i="20"/>
  <c r="F100" i="20"/>
  <c r="G100" i="20"/>
  <c r="H100" i="20"/>
  <c r="I100" i="20" s="1"/>
  <c r="J100" i="20"/>
  <c r="K100" i="20"/>
  <c r="L100" i="20"/>
  <c r="M100" i="20"/>
  <c r="N100" i="20"/>
  <c r="O100" i="20"/>
  <c r="Q100" i="20"/>
  <c r="R100" i="20"/>
  <c r="S100" i="20" s="1"/>
  <c r="T100" i="20"/>
  <c r="U100" i="20"/>
  <c r="V100" i="20"/>
  <c r="W100" i="20"/>
  <c r="X100" i="20"/>
  <c r="A101" i="20"/>
  <c r="B101" i="20"/>
  <c r="C101" i="20"/>
  <c r="E101" i="20"/>
  <c r="F101" i="20"/>
  <c r="G101" i="20"/>
  <c r="H101" i="20"/>
  <c r="I101" i="20" s="1"/>
  <c r="J101" i="20"/>
  <c r="K101" i="20"/>
  <c r="L101" i="20"/>
  <c r="M101" i="20"/>
  <c r="N101" i="20"/>
  <c r="O101" i="20"/>
  <c r="Q101" i="20"/>
  <c r="R101" i="20"/>
  <c r="S101" i="20" s="1"/>
  <c r="T101" i="20"/>
  <c r="U101" i="20"/>
  <c r="V101" i="20"/>
  <c r="W101" i="20"/>
  <c r="A102" i="20"/>
  <c r="B102" i="20"/>
  <c r="C102" i="20"/>
  <c r="E102" i="20"/>
  <c r="F102" i="20"/>
  <c r="G102" i="20"/>
  <c r="H102" i="20"/>
  <c r="I102" i="20" s="1"/>
  <c r="J102" i="20"/>
  <c r="K102" i="20"/>
  <c r="L102" i="20"/>
  <c r="M102" i="20"/>
  <c r="N102" i="20"/>
  <c r="O102" i="20"/>
  <c r="Q102" i="20"/>
  <c r="R102" i="20"/>
  <c r="S102" i="20" s="1"/>
  <c r="T102" i="20"/>
  <c r="U102" i="20"/>
  <c r="V102" i="20"/>
  <c r="W102" i="20"/>
  <c r="X102" i="20"/>
  <c r="A103" i="20"/>
  <c r="B103" i="20"/>
  <c r="C103" i="20"/>
  <c r="E103" i="20"/>
  <c r="F103" i="20"/>
  <c r="G103" i="20"/>
  <c r="H103" i="20"/>
  <c r="I103" i="20" s="1"/>
  <c r="J103" i="20"/>
  <c r="L103" i="20"/>
  <c r="M103" i="20"/>
  <c r="N103" i="20"/>
  <c r="P103" i="20"/>
  <c r="R103" i="20"/>
  <c r="S103" i="20" s="1"/>
  <c r="T103" i="20"/>
  <c r="U103" i="20"/>
  <c r="V103" i="20"/>
  <c r="W103" i="20"/>
  <c r="A104" i="20"/>
  <c r="B104" i="20"/>
  <c r="C104" i="20"/>
  <c r="E104" i="20"/>
  <c r="F104" i="20"/>
  <c r="G104" i="20"/>
  <c r="H104" i="20"/>
  <c r="I104" i="20" s="1"/>
  <c r="J104" i="20"/>
  <c r="L104" i="20"/>
  <c r="M104" i="20"/>
  <c r="N104" i="20"/>
  <c r="P104" i="20"/>
  <c r="R104" i="20"/>
  <c r="S104" i="20" s="1"/>
  <c r="T104" i="20"/>
  <c r="U104" i="20"/>
  <c r="V104" i="20"/>
  <c r="W104" i="20"/>
  <c r="X104" i="20"/>
  <c r="A105" i="20"/>
  <c r="B105" i="20"/>
  <c r="C105" i="20"/>
  <c r="E105" i="20"/>
  <c r="F105" i="20"/>
  <c r="G105" i="20"/>
  <c r="H105" i="20"/>
  <c r="I105" i="20" s="1"/>
  <c r="J105" i="20"/>
  <c r="L105" i="20"/>
  <c r="M105" i="20"/>
  <c r="N105" i="20"/>
  <c r="O105" i="20"/>
  <c r="P105" i="20"/>
  <c r="R105" i="20"/>
  <c r="S105" i="20" s="1"/>
  <c r="T105" i="20"/>
  <c r="V105" i="20"/>
  <c r="W105" i="20"/>
  <c r="A106" i="20"/>
  <c r="B106" i="20"/>
  <c r="C106" i="20"/>
  <c r="E106" i="20"/>
  <c r="F106" i="20"/>
  <c r="G106" i="20"/>
  <c r="H106" i="20"/>
  <c r="I106" i="20" s="1"/>
  <c r="J106" i="20"/>
  <c r="L106" i="20"/>
  <c r="M106" i="20"/>
  <c r="N106" i="20"/>
  <c r="O106" i="20"/>
  <c r="P106" i="20"/>
  <c r="R106" i="20"/>
  <c r="S106" i="20" s="1"/>
  <c r="T106" i="20"/>
  <c r="U106" i="20"/>
  <c r="V106" i="20"/>
  <c r="W106" i="20"/>
  <c r="X106" i="20"/>
  <c r="A107" i="20"/>
  <c r="B107" i="20"/>
  <c r="C107" i="20"/>
  <c r="E107" i="20"/>
  <c r="F107" i="20"/>
  <c r="G107" i="20"/>
  <c r="H107" i="20"/>
  <c r="I107" i="20" s="1"/>
  <c r="J107" i="20"/>
  <c r="L107" i="20"/>
  <c r="M107" i="20"/>
  <c r="N107" i="20"/>
  <c r="O107" i="20"/>
  <c r="P107" i="20"/>
  <c r="R107" i="20"/>
  <c r="S107" i="20" s="1"/>
  <c r="T107" i="20"/>
  <c r="U107" i="20"/>
  <c r="V107" i="20"/>
  <c r="W107" i="20"/>
  <c r="A108" i="20"/>
  <c r="B108" i="20"/>
  <c r="C108" i="20"/>
  <c r="E108" i="20"/>
  <c r="F108" i="20"/>
  <c r="G108" i="20"/>
  <c r="H108" i="20"/>
  <c r="I108" i="20" s="1"/>
  <c r="J108" i="20"/>
  <c r="L108" i="20"/>
  <c r="M108" i="20"/>
  <c r="N108" i="20"/>
  <c r="O108" i="20"/>
  <c r="P108" i="20"/>
  <c r="R108" i="20"/>
  <c r="S108" i="20" s="1"/>
  <c r="T108" i="20"/>
  <c r="U108" i="20"/>
  <c r="V108" i="20"/>
  <c r="W108" i="20"/>
  <c r="X108" i="20"/>
  <c r="AM108" i="16"/>
  <c r="AJ108" i="16"/>
  <c r="AM107" i="16"/>
  <c r="AJ107" i="16"/>
  <c r="AM106" i="16"/>
  <c r="AJ106" i="16"/>
  <c r="AM105" i="16"/>
  <c r="AJ105" i="16"/>
  <c r="M110" i="20"/>
  <c r="M109" i="20"/>
  <c r="Q104" i="16"/>
  <c r="Q103" i="16"/>
  <c r="R102" i="16"/>
  <c r="R101" i="16"/>
  <c r="R100" i="16"/>
  <c r="R99" i="16"/>
  <c r="R98" i="16"/>
  <c r="Z87" i="16" l="1"/>
  <c r="X87" i="20" s="1"/>
  <c r="Y87" i="20"/>
  <c r="Z89" i="16"/>
  <c r="X89" i="20" s="1"/>
  <c r="Y89" i="20"/>
  <c r="Z81" i="16"/>
  <c r="X81" i="20" s="1"/>
  <c r="Y81" i="20"/>
  <c r="Z58" i="16"/>
  <c r="X58" i="20" s="1"/>
  <c r="Z83" i="16"/>
  <c r="X83" i="20" s="1"/>
  <c r="Y83" i="20"/>
  <c r="Z85" i="16"/>
  <c r="X85" i="20" s="1"/>
  <c r="Y85" i="20"/>
  <c r="AR63" i="28"/>
  <c r="S108" i="18"/>
  <c r="Q108" i="20" s="1"/>
  <c r="M108" i="18"/>
  <c r="K108" i="20" s="1"/>
  <c r="X107" i="20"/>
  <c r="S107" i="18"/>
  <c r="Q107" i="20" s="1"/>
  <c r="M107" i="18"/>
  <c r="K107" i="20" s="1"/>
  <c r="S106" i="18"/>
  <c r="Q106" i="20" s="1"/>
  <c r="M106" i="18"/>
  <c r="K106" i="20" s="1"/>
  <c r="S105" i="18"/>
  <c r="Q105" i="20" s="1"/>
  <c r="M105" i="18"/>
  <c r="K105" i="20" s="1"/>
  <c r="S104" i="18"/>
  <c r="Q104" i="20" s="1"/>
  <c r="Q104" i="18"/>
  <c r="O104" i="20" s="1"/>
  <c r="M104" i="18"/>
  <c r="K104" i="20" s="1"/>
  <c r="S103" i="18"/>
  <c r="Q103" i="20" s="1"/>
  <c r="Q103" i="18"/>
  <c r="O103" i="20" s="1"/>
  <c r="M103" i="18"/>
  <c r="K103" i="20" s="1"/>
  <c r="R100" i="18"/>
  <c r="P100" i="20" s="1"/>
  <c r="R99" i="18"/>
  <c r="P99" i="20" s="1"/>
  <c r="X98" i="20"/>
  <c r="R98" i="18"/>
  <c r="P98" i="20" s="1"/>
  <c r="S96" i="18"/>
  <c r="R96" i="18"/>
  <c r="Q96" i="18"/>
  <c r="O96" i="18"/>
  <c r="X94" i="20"/>
  <c r="S94" i="18"/>
  <c r="R94" i="18"/>
  <c r="Q94" i="18"/>
  <c r="O94" i="18"/>
  <c r="R93" i="18"/>
  <c r="X92" i="20"/>
  <c r="R92" i="18"/>
  <c r="X91" i="20"/>
  <c r="R91" i="18"/>
  <c r="S83" i="18"/>
  <c r="Q83" i="20" s="1"/>
  <c r="S81" i="18"/>
  <c r="S76" i="18"/>
  <c r="R76" i="18"/>
  <c r="M76" i="18"/>
  <c r="K76" i="20" s="1"/>
  <c r="X71" i="20"/>
  <c r="S71" i="18"/>
  <c r="R71" i="18"/>
  <c r="M71" i="18"/>
  <c r="K71" i="20" s="1"/>
  <c r="X66" i="20"/>
  <c r="S66" i="18"/>
  <c r="R66" i="18"/>
  <c r="M66" i="18"/>
  <c r="K66" i="20" s="1"/>
  <c r="R62" i="18"/>
  <c r="Q62" i="18"/>
  <c r="O62" i="20" s="1"/>
  <c r="O62" i="18"/>
  <c r="M62" i="20" s="1"/>
  <c r="R58" i="18"/>
  <c r="Q58" i="18"/>
  <c r="O58" i="18"/>
  <c r="S96" i="16"/>
  <c r="R96" i="16"/>
  <c r="Q96" i="16"/>
  <c r="O96" i="16"/>
  <c r="S94" i="16"/>
  <c r="R94" i="16"/>
  <c r="Q94" i="16"/>
  <c r="O94" i="16"/>
  <c r="R93" i="16"/>
  <c r="R92" i="16"/>
  <c r="R91" i="16"/>
  <c r="S89" i="16"/>
  <c r="R89" i="16"/>
  <c r="Q89" i="16"/>
  <c r="O89" i="20" s="1"/>
  <c r="O89" i="16"/>
  <c r="S87" i="16"/>
  <c r="R87" i="16"/>
  <c r="Q87" i="16"/>
  <c r="O87" i="16"/>
  <c r="Q85" i="20"/>
  <c r="R85" i="16"/>
  <c r="Q85" i="16"/>
  <c r="O85" i="16"/>
  <c r="R83" i="16"/>
  <c r="P83" i="16"/>
  <c r="R81" i="16"/>
  <c r="P81" i="16"/>
  <c r="S76" i="16"/>
  <c r="R76" i="16"/>
  <c r="S71" i="16"/>
  <c r="R71" i="16"/>
  <c r="S66" i="16"/>
  <c r="R66" i="16"/>
  <c r="R62" i="16"/>
  <c r="R58" i="16"/>
  <c r="Q58" i="16"/>
  <c r="O58" i="16"/>
  <c r="Z46" i="16"/>
  <c r="AQ50" i="28"/>
  <c r="AP50" i="28"/>
  <c r="AQ47" i="28"/>
  <c r="AP47" i="28"/>
  <c r="A59" i="20"/>
  <c r="B59" i="20"/>
  <c r="C59" i="20"/>
  <c r="E59" i="20"/>
  <c r="F59" i="20"/>
  <c r="G59" i="20"/>
  <c r="H59" i="20"/>
  <c r="I59" i="20" s="1"/>
  <c r="J59" i="20"/>
  <c r="K59" i="20"/>
  <c r="L59" i="20"/>
  <c r="M59" i="20"/>
  <c r="N59" i="20"/>
  <c r="O59" i="20"/>
  <c r="P59" i="20"/>
  <c r="Q59" i="20"/>
  <c r="R59" i="20"/>
  <c r="S59" i="20" s="1"/>
  <c r="T59" i="20"/>
  <c r="U59" i="20"/>
  <c r="V59" i="20"/>
  <c r="W59" i="20"/>
  <c r="X59" i="20"/>
  <c r="A60" i="20"/>
  <c r="B60" i="20"/>
  <c r="C60" i="20"/>
  <c r="E60" i="20"/>
  <c r="F60" i="20"/>
  <c r="G60" i="20"/>
  <c r="H60" i="20"/>
  <c r="I60" i="20" s="1"/>
  <c r="J60" i="20"/>
  <c r="K60" i="20"/>
  <c r="L60" i="20"/>
  <c r="M60" i="20"/>
  <c r="N60" i="20"/>
  <c r="O60" i="20"/>
  <c r="P60" i="20"/>
  <c r="Q60" i="20"/>
  <c r="R60" i="20"/>
  <c r="S60" i="20" s="1"/>
  <c r="T60" i="20"/>
  <c r="U60" i="20"/>
  <c r="V60" i="20"/>
  <c r="W60" i="20"/>
  <c r="X60" i="20"/>
  <c r="A61" i="20"/>
  <c r="B61" i="20"/>
  <c r="C61" i="20"/>
  <c r="E61" i="20"/>
  <c r="F61" i="20"/>
  <c r="G61" i="20"/>
  <c r="H61" i="20"/>
  <c r="I61" i="20" s="1"/>
  <c r="J61" i="20"/>
  <c r="K61" i="20"/>
  <c r="L61" i="20"/>
  <c r="M61" i="20"/>
  <c r="N61" i="20"/>
  <c r="O61" i="20"/>
  <c r="P61" i="20"/>
  <c r="Q61" i="20"/>
  <c r="R61" i="20"/>
  <c r="S61" i="20" s="1"/>
  <c r="T61" i="20"/>
  <c r="U61" i="20"/>
  <c r="V61" i="20"/>
  <c r="W61" i="20"/>
  <c r="X61" i="20"/>
  <c r="A62" i="20"/>
  <c r="B62" i="20"/>
  <c r="C62" i="20"/>
  <c r="E62" i="20"/>
  <c r="F62" i="20"/>
  <c r="G62" i="20"/>
  <c r="H62" i="20"/>
  <c r="I62" i="20" s="1"/>
  <c r="J62" i="20"/>
  <c r="K62" i="20"/>
  <c r="L62" i="20"/>
  <c r="N62" i="20"/>
  <c r="Q62" i="20"/>
  <c r="R62" i="20"/>
  <c r="S62" i="20" s="1"/>
  <c r="T62" i="20"/>
  <c r="U62" i="20"/>
  <c r="V62" i="20"/>
  <c r="W62" i="20"/>
  <c r="X62" i="20"/>
  <c r="A63" i="20"/>
  <c r="B63" i="20"/>
  <c r="C63" i="20"/>
  <c r="E63" i="20"/>
  <c r="F63" i="20"/>
  <c r="G63" i="20"/>
  <c r="H63" i="20"/>
  <c r="I63" i="20" s="1"/>
  <c r="J63" i="20"/>
  <c r="K63" i="20"/>
  <c r="L63" i="20"/>
  <c r="M63" i="20"/>
  <c r="N63" i="20"/>
  <c r="O63" i="20"/>
  <c r="P63" i="20"/>
  <c r="Q63" i="20"/>
  <c r="R63" i="20"/>
  <c r="S63" i="20" s="1"/>
  <c r="T63" i="20"/>
  <c r="U63" i="20"/>
  <c r="V63" i="20"/>
  <c r="W63" i="20"/>
  <c r="X63" i="20"/>
  <c r="A64" i="20"/>
  <c r="B64" i="20"/>
  <c r="C64" i="20"/>
  <c r="E64" i="20"/>
  <c r="F64" i="20"/>
  <c r="G64" i="20"/>
  <c r="H64" i="20"/>
  <c r="I64" i="20" s="1"/>
  <c r="J64" i="20"/>
  <c r="K64" i="20"/>
  <c r="L64" i="20"/>
  <c r="M64" i="20"/>
  <c r="N64" i="20"/>
  <c r="O64" i="20"/>
  <c r="P64" i="20"/>
  <c r="Q64" i="20"/>
  <c r="R64" i="20"/>
  <c r="S64" i="20" s="1"/>
  <c r="T64" i="20"/>
  <c r="U64" i="20"/>
  <c r="V64" i="20"/>
  <c r="W64" i="20"/>
  <c r="X64" i="20"/>
  <c r="A65" i="20"/>
  <c r="B65" i="20"/>
  <c r="C65" i="20"/>
  <c r="E65" i="20"/>
  <c r="F65" i="20"/>
  <c r="G65" i="20"/>
  <c r="H65" i="20"/>
  <c r="I65" i="20" s="1"/>
  <c r="J65" i="20"/>
  <c r="K65" i="20"/>
  <c r="L65" i="20"/>
  <c r="M65" i="20"/>
  <c r="N65" i="20"/>
  <c r="O65" i="20"/>
  <c r="P65" i="20"/>
  <c r="Q65" i="20"/>
  <c r="R65" i="20"/>
  <c r="S65" i="20" s="1"/>
  <c r="T65" i="20"/>
  <c r="U65" i="20"/>
  <c r="V65" i="20"/>
  <c r="W65" i="20"/>
  <c r="X65" i="20"/>
  <c r="A66" i="20"/>
  <c r="B66" i="20"/>
  <c r="C66" i="20"/>
  <c r="E66" i="20"/>
  <c r="F66" i="20"/>
  <c r="G66" i="20"/>
  <c r="H66" i="20"/>
  <c r="I66" i="20" s="1"/>
  <c r="J66" i="20"/>
  <c r="L66" i="20"/>
  <c r="M66" i="20"/>
  <c r="N66" i="20"/>
  <c r="O66" i="20"/>
  <c r="R66" i="20"/>
  <c r="S66" i="20" s="1"/>
  <c r="T66" i="20"/>
  <c r="U66" i="20"/>
  <c r="V66" i="20"/>
  <c r="W66" i="20"/>
  <c r="A67" i="20"/>
  <c r="B67" i="20"/>
  <c r="C67" i="20"/>
  <c r="E67" i="20"/>
  <c r="F67" i="20"/>
  <c r="G67" i="20"/>
  <c r="H67" i="20"/>
  <c r="I67" i="20" s="1"/>
  <c r="J67" i="20"/>
  <c r="K67" i="20"/>
  <c r="L67" i="20"/>
  <c r="M67" i="20"/>
  <c r="N67" i="20"/>
  <c r="O67" i="20"/>
  <c r="P67" i="20"/>
  <c r="Q67" i="20"/>
  <c r="R67" i="20"/>
  <c r="S67" i="20" s="1"/>
  <c r="T67" i="20"/>
  <c r="U67" i="20"/>
  <c r="V67" i="20"/>
  <c r="W67" i="20"/>
  <c r="X67" i="20"/>
  <c r="A68" i="20"/>
  <c r="B68" i="20"/>
  <c r="C68" i="20"/>
  <c r="E68" i="20"/>
  <c r="F68" i="20"/>
  <c r="G68" i="20"/>
  <c r="H68" i="20"/>
  <c r="I68" i="20" s="1"/>
  <c r="J68" i="20"/>
  <c r="K68" i="20"/>
  <c r="L68" i="20"/>
  <c r="M68" i="20"/>
  <c r="N68" i="20"/>
  <c r="O68" i="20"/>
  <c r="P68" i="20"/>
  <c r="Q68" i="20"/>
  <c r="R68" i="20"/>
  <c r="S68" i="20" s="1"/>
  <c r="T68" i="20"/>
  <c r="U68" i="20"/>
  <c r="V68" i="20"/>
  <c r="W68" i="20"/>
  <c r="X68" i="20"/>
  <c r="A69" i="20"/>
  <c r="B69" i="20"/>
  <c r="C69" i="20"/>
  <c r="E69" i="20"/>
  <c r="F69" i="20"/>
  <c r="G69" i="20"/>
  <c r="H69" i="20"/>
  <c r="I69" i="20" s="1"/>
  <c r="J69" i="20"/>
  <c r="K69" i="20"/>
  <c r="L69" i="20"/>
  <c r="M69" i="20"/>
  <c r="N69" i="20"/>
  <c r="O69" i="20"/>
  <c r="P69" i="20"/>
  <c r="Q69" i="20"/>
  <c r="R69" i="20"/>
  <c r="S69" i="20" s="1"/>
  <c r="T69" i="20"/>
  <c r="U69" i="20"/>
  <c r="V69" i="20"/>
  <c r="W69" i="20"/>
  <c r="X69" i="20"/>
  <c r="A70" i="20"/>
  <c r="B70" i="20"/>
  <c r="C70" i="20"/>
  <c r="E70" i="20"/>
  <c r="F70" i="20"/>
  <c r="G70" i="20"/>
  <c r="H70" i="20"/>
  <c r="I70" i="20" s="1"/>
  <c r="J70" i="20"/>
  <c r="K70" i="20"/>
  <c r="L70" i="20"/>
  <c r="M70" i="20"/>
  <c r="N70" i="20"/>
  <c r="O70" i="20"/>
  <c r="P70" i="20"/>
  <c r="Q70" i="20"/>
  <c r="R70" i="20"/>
  <c r="S70" i="20" s="1"/>
  <c r="T70" i="20"/>
  <c r="U70" i="20"/>
  <c r="V70" i="20"/>
  <c r="W70" i="20"/>
  <c r="X70" i="20"/>
  <c r="A71" i="20"/>
  <c r="B71" i="20"/>
  <c r="C71" i="20"/>
  <c r="E71" i="20"/>
  <c r="F71" i="20"/>
  <c r="G71" i="20"/>
  <c r="H71" i="20"/>
  <c r="I71" i="20" s="1"/>
  <c r="J71" i="20"/>
  <c r="L71" i="20"/>
  <c r="M71" i="20"/>
  <c r="N71" i="20"/>
  <c r="O71" i="20"/>
  <c r="R71" i="20"/>
  <c r="S71" i="20" s="1"/>
  <c r="T71" i="20"/>
  <c r="U71" i="20"/>
  <c r="V71" i="20"/>
  <c r="W71" i="20"/>
  <c r="A72" i="20"/>
  <c r="B72" i="20"/>
  <c r="C72" i="20"/>
  <c r="E72" i="20"/>
  <c r="F72" i="20"/>
  <c r="G72" i="20"/>
  <c r="H72" i="20"/>
  <c r="I72" i="20" s="1"/>
  <c r="J72" i="20"/>
  <c r="K72" i="20"/>
  <c r="L72" i="20"/>
  <c r="M72" i="20"/>
  <c r="N72" i="20"/>
  <c r="O72" i="20"/>
  <c r="P72" i="20"/>
  <c r="Q72" i="20"/>
  <c r="R72" i="20"/>
  <c r="S72" i="20" s="1"/>
  <c r="T72" i="20"/>
  <c r="U72" i="20"/>
  <c r="V72" i="20"/>
  <c r="W72" i="20"/>
  <c r="X72" i="20"/>
  <c r="A73" i="20"/>
  <c r="B73" i="20"/>
  <c r="C73" i="20"/>
  <c r="E73" i="20"/>
  <c r="F73" i="20"/>
  <c r="G73" i="20"/>
  <c r="H73" i="20"/>
  <c r="I73" i="20" s="1"/>
  <c r="J73" i="20"/>
  <c r="K73" i="20"/>
  <c r="L73" i="20"/>
  <c r="M73" i="20"/>
  <c r="N73" i="20"/>
  <c r="O73" i="20"/>
  <c r="P73" i="20"/>
  <c r="Q73" i="20"/>
  <c r="R73" i="20"/>
  <c r="S73" i="20" s="1"/>
  <c r="T73" i="20"/>
  <c r="U73" i="20"/>
  <c r="V73" i="20"/>
  <c r="W73" i="20"/>
  <c r="X73" i="20"/>
  <c r="A74" i="20"/>
  <c r="B74" i="20"/>
  <c r="C74" i="20"/>
  <c r="E74" i="20"/>
  <c r="F74" i="20"/>
  <c r="G74" i="20"/>
  <c r="H74" i="20"/>
  <c r="I74" i="20" s="1"/>
  <c r="J74" i="20"/>
  <c r="K74" i="20"/>
  <c r="L74" i="20"/>
  <c r="M74" i="20"/>
  <c r="N74" i="20"/>
  <c r="O74" i="20"/>
  <c r="P74" i="20"/>
  <c r="Q74" i="20"/>
  <c r="R74" i="20"/>
  <c r="S74" i="20" s="1"/>
  <c r="T74" i="20"/>
  <c r="U74" i="20"/>
  <c r="V74" i="20"/>
  <c r="W74" i="20"/>
  <c r="X74" i="20"/>
  <c r="A75" i="20"/>
  <c r="B75" i="20"/>
  <c r="C75" i="20"/>
  <c r="E75" i="20"/>
  <c r="F75" i="20"/>
  <c r="G75" i="20"/>
  <c r="H75" i="20"/>
  <c r="I75" i="20" s="1"/>
  <c r="J75" i="20"/>
  <c r="K75" i="20"/>
  <c r="L75" i="20"/>
  <c r="M75" i="20"/>
  <c r="N75" i="20"/>
  <c r="O75" i="20"/>
  <c r="P75" i="20"/>
  <c r="Q75" i="20"/>
  <c r="R75" i="20"/>
  <c r="S75" i="20" s="1"/>
  <c r="T75" i="20"/>
  <c r="U75" i="20"/>
  <c r="V75" i="20"/>
  <c r="W75" i="20"/>
  <c r="X75" i="20"/>
  <c r="R57" i="18"/>
  <c r="Z56" i="18"/>
  <c r="R56" i="18"/>
  <c r="S54" i="18"/>
  <c r="Z52" i="18"/>
  <c r="S52" i="18"/>
  <c r="AK51" i="20"/>
  <c r="Z50" i="18"/>
  <c r="S50" i="18"/>
  <c r="Z46" i="18"/>
  <c r="R57" i="16"/>
  <c r="M57" i="16"/>
  <c r="K57" i="20" s="1"/>
  <c r="Z56" i="16"/>
  <c r="R56" i="16"/>
  <c r="M56" i="16"/>
  <c r="K56" i="20" s="1"/>
  <c r="S54" i="16"/>
  <c r="Z52" i="16"/>
  <c r="S52" i="16"/>
  <c r="Z50" i="16"/>
  <c r="S50" i="16"/>
  <c r="AM43" i="18"/>
  <c r="AM44" i="18"/>
  <c r="AM45" i="18"/>
  <c r="AM42" i="18"/>
  <c r="AJ43" i="18"/>
  <c r="AJ44" i="18"/>
  <c r="AJ45" i="18"/>
  <c r="AJ42" i="18"/>
  <c r="Z40" i="18"/>
  <c r="Z42" i="18"/>
  <c r="J26" i="20"/>
  <c r="AQ33" i="28"/>
  <c r="AP33" i="28"/>
  <c r="AQ30" i="28"/>
  <c r="AP30" i="28"/>
  <c r="AQ28" i="28"/>
  <c r="AP28" i="28"/>
  <c r="AQ27" i="28"/>
  <c r="AP27" i="28"/>
  <c r="AQ26" i="28"/>
  <c r="AP26" i="28"/>
  <c r="AQ25" i="28"/>
  <c r="AP25" i="28"/>
  <c r="A47" i="20"/>
  <c r="B47" i="20"/>
  <c r="C47" i="20"/>
  <c r="E47" i="20"/>
  <c r="F47" i="20"/>
  <c r="G47" i="20"/>
  <c r="H47" i="20"/>
  <c r="I47" i="20" s="1"/>
  <c r="J47" i="20"/>
  <c r="K47" i="20"/>
  <c r="L47" i="20"/>
  <c r="M47" i="20"/>
  <c r="N47" i="20"/>
  <c r="O47" i="20"/>
  <c r="P47" i="20"/>
  <c r="Q47" i="20"/>
  <c r="R47" i="20"/>
  <c r="S47" i="20" s="1"/>
  <c r="T47" i="20"/>
  <c r="U47" i="20"/>
  <c r="V47" i="20"/>
  <c r="W47" i="20"/>
  <c r="X47" i="20"/>
  <c r="Z47" i="20"/>
  <c r="AA47" i="20"/>
  <c r="AB47" i="20"/>
  <c r="AC47" i="20"/>
  <c r="AF47" i="20"/>
  <c r="AG47" i="20"/>
  <c r="AH47" i="20"/>
  <c r="AI47" i="20"/>
  <c r="AJ47" i="20"/>
  <c r="AK47" i="20"/>
  <c r="AL47" i="20"/>
  <c r="AM47" i="20"/>
  <c r="A48" i="20"/>
  <c r="B48" i="20"/>
  <c r="C48" i="20"/>
  <c r="E48" i="20"/>
  <c r="F48" i="20"/>
  <c r="G48" i="20"/>
  <c r="H48" i="20"/>
  <c r="I48" i="20" s="1"/>
  <c r="J48" i="20"/>
  <c r="K48" i="20"/>
  <c r="L48" i="20"/>
  <c r="M48" i="20"/>
  <c r="N48" i="20"/>
  <c r="O48" i="20"/>
  <c r="P48" i="20"/>
  <c r="Q48" i="20"/>
  <c r="R48" i="20"/>
  <c r="S48" i="20" s="1"/>
  <c r="T48" i="20"/>
  <c r="U48" i="20"/>
  <c r="V48" i="20"/>
  <c r="W48" i="20"/>
  <c r="X48" i="20"/>
  <c r="Z48" i="20"/>
  <c r="AA48" i="20"/>
  <c r="AB48" i="20"/>
  <c r="AC48" i="20"/>
  <c r="AF48" i="20"/>
  <c r="AG48" i="20"/>
  <c r="AH48" i="20"/>
  <c r="AI48" i="20"/>
  <c r="AJ48" i="20"/>
  <c r="AK48" i="20"/>
  <c r="AL48" i="20"/>
  <c r="AM48" i="20"/>
  <c r="A49" i="20"/>
  <c r="B49" i="20"/>
  <c r="C49" i="20"/>
  <c r="E49" i="20"/>
  <c r="F49" i="20"/>
  <c r="G49" i="20"/>
  <c r="H49" i="20"/>
  <c r="I49" i="20" s="1"/>
  <c r="J49" i="20"/>
  <c r="K49" i="20"/>
  <c r="L49" i="20"/>
  <c r="M49" i="20"/>
  <c r="N49" i="20"/>
  <c r="O49" i="20"/>
  <c r="P49" i="20"/>
  <c r="Q49" i="20"/>
  <c r="R49" i="20"/>
  <c r="S49" i="20" s="1"/>
  <c r="T49" i="20"/>
  <c r="U49" i="20"/>
  <c r="V49" i="20"/>
  <c r="W49" i="20"/>
  <c r="X49" i="20"/>
  <c r="Z49" i="20"/>
  <c r="AA49" i="20"/>
  <c r="AB49" i="20"/>
  <c r="AC49" i="20"/>
  <c r="AF49" i="20"/>
  <c r="AG49" i="20"/>
  <c r="AH49" i="20"/>
  <c r="AI49" i="20"/>
  <c r="AJ49" i="20"/>
  <c r="AK49" i="20"/>
  <c r="AL49" i="20"/>
  <c r="AM49" i="20"/>
  <c r="A50" i="20"/>
  <c r="B50" i="20"/>
  <c r="C50" i="20"/>
  <c r="E50" i="20"/>
  <c r="F50" i="20"/>
  <c r="G50" i="20"/>
  <c r="H50" i="20"/>
  <c r="I50" i="20" s="1"/>
  <c r="J50" i="20"/>
  <c r="K50" i="20"/>
  <c r="L50" i="20"/>
  <c r="M50" i="20"/>
  <c r="N50" i="20"/>
  <c r="O50" i="20"/>
  <c r="P50" i="20"/>
  <c r="R50" i="20"/>
  <c r="S50" i="20" s="1"/>
  <c r="T50" i="20"/>
  <c r="U50" i="20"/>
  <c r="V50" i="20"/>
  <c r="W50" i="20"/>
  <c r="Z50" i="20"/>
  <c r="AA50" i="20"/>
  <c r="AB50" i="20"/>
  <c r="AC50" i="20"/>
  <c r="AF50" i="20"/>
  <c r="AG50" i="20"/>
  <c r="AH50" i="20"/>
  <c r="AI50" i="20"/>
  <c r="AJ50" i="20"/>
  <c r="AL50" i="20"/>
  <c r="AM50" i="20"/>
  <c r="A51" i="20"/>
  <c r="B51" i="20"/>
  <c r="C51" i="20"/>
  <c r="E51" i="20"/>
  <c r="F51" i="20"/>
  <c r="G51" i="20"/>
  <c r="H51" i="20"/>
  <c r="I51" i="20" s="1"/>
  <c r="J51" i="20"/>
  <c r="K51" i="20"/>
  <c r="L51" i="20"/>
  <c r="M51" i="20"/>
  <c r="N51" i="20"/>
  <c r="O51" i="20"/>
  <c r="P51" i="20"/>
  <c r="Q51" i="20"/>
  <c r="R51" i="20"/>
  <c r="S51" i="20" s="1"/>
  <c r="T51" i="20"/>
  <c r="U51" i="20"/>
  <c r="V51" i="20"/>
  <c r="W51" i="20"/>
  <c r="X51" i="20"/>
  <c r="Z51" i="20"/>
  <c r="AA51" i="20"/>
  <c r="AB51" i="20"/>
  <c r="AC51" i="20"/>
  <c r="AF51" i="20"/>
  <c r="AG51" i="20"/>
  <c r="AH51" i="20"/>
  <c r="AI51" i="20"/>
  <c r="AJ51" i="20"/>
  <c r="AL51" i="20"/>
  <c r="AM51" i="20"/>
  <c r="A52" i="20"/>
  <c r="B52" i="20"/>
  <c r="C52" i="20"/>
  <c r="E52" i="20"/>
  <c r="F52" i="20"/>
  <c r="G52" i="20"/>
  <c r="H52" i="20"/>
  <c r="I52" i="20" s="1"/>
  <c r="J52" i="20"/>
  <c r="K52" i="20"/>
  <c r="L52" i="20"/>
  <c r="M52" i="20"/>
  <c r="N52" i="20"/>
  <c r="O52" i="20"/>
  <c r="P52" i="20"/>
  <c r="R52" i="20"/>
  <c r="S52" i="20" s="1"/>
  <c r="T52" i="20"/>
  <c r="U52" i="20"/>
  <c r="V52" i="20"/>
  <c r="W52" i="20"/>
  <c r="Z52" i="20"/>
  <c r="AA52" i="20"/>
  <c r="AB52" i="20"/>
  <c r="AC52" i="20"/>
  <c r="AF52" i="20"/>
  <c r="AG52" i="20"/>
  <c r="AH52" i="20"/>
  <c r="AI52" i="20"/>
  <c r="AJ52" i="20"/>
  <c r="AL52" i="20"/>
  <c r="AM52" i="20"/>
  <c r="A53" i="20"/>
  <c r="B53" i="20"/>
  <c r="C53" i="20"/>
  <c r="E53" i="20"/>
  <c r="F53" i="20"/>
  <c r="G53" i="20"/>
  <c r="H53" i="20"/>
  <c r="I53" i="20" s="1"/>
  <c r="J53" i="20"/>
  <c r="K53" i="20"/>
  <c r="L53" i="20"/>
  <c r="M53" i="20"/>
  <c r="N53" i="20"/>
  <c r="O53" i="20"/>
  <c r="P53" i="20"/>
  <c r="Q53" i="20"/>
  <c r="R53" i="20"/>
  <c r="S53" i="20" s="1"/>
  <c r="T53" i="20"/>
  <c r="U53" i="20"/>
  <c r="V53" i="20"/>
  <c r="W53" i="20"/>
  <c r="X53" i="20"/>
  <c r="Z53" i="20"/>
  <c r="AA53" i="20"/>
  <c r="AB53" i="20"/>
  <c r="AC53" i="20"/>
  <c r="AF53" i="20"/>
  <c r="AG53" i="20"/>
  <c r="AH53" i="20"/>
  <c r="AI53" i="20"/>
  <c r="AJ53" i="20"/>
  <c r="AL53" i="20"/>
  <c r="AM53" i="20"/>
  <c r="A54" i="20"/>
  <c r="B54" i="20"/>
  <c r="C54" i="20"/>
  <c r="E54" i="20"/>
  <c r="F54" i="20"/>
  <c r="G54" i="20"/>
  <c r="H54" i="20"/>
  <c r="I54" i="20" s="1"/>
  <c r="J54" i="20"/>
  <c r="K54" i="20"/>
  <c r="L54" i="20"/>
  <c r="M54" i="20"/>
  <c r="N54" i="20"/>
  <c r="O54" i="20"/>
  <c r="P54" i="20"/>
  <c r="R54" i="20"/>
  <c r="S54" i="20" s="1"/>
  <c r="T54" i="20"/>
  <c r="U54" i="20"/>
  <c r="V54" i="20"/>
  <c r="W54" i="20"/>
  <c r="X54" i="20"/>
  <c r="Z54" i="20"/>
  <c r="AA54" i="20"/>
  <c r="AB54" i="20"/>
  <c r="AC54" i="20"/>
  <c r="AF54" i="20"/>
  <c r="AG54" i="20"/>
  <c r="AH54" i="20"/>
  <c r="AI54" i="20"/>
  <c r="AJ54" i="20"/>
  <c r="AL54" i="20"/>
  <c r="AM54" i="20"/>
  <c r="A55" i="20"/>
  <c r="B55" i="20"/>
  <c r="C55" i="20"/>
  <c r="E55" i="20"/>
  <c r="F55" i="20"/>
  <c r="G55" i="20"/>
  <c r="H55" i="20"/>
  <c r="I55" i="20" s="1"/>
  <c r="J55" i="20"/>
  <c r="K55" i="20"/>
  <c r="L55" i="20"/>
  <c r="M55" i="20"/>
  <c r="N55" i="20"/>
  <c r="O55" i="20"/>
  <c r="P55" i="20"/>
  <c r="Q55" i="20"/>
  <c r="R55" i="20"/>
  <c r="S55" i="20" s="1"/>
  <c r="T55" i="20"/>
  <c r="U55" i="20"/>
  <c r="V55" i="20"/>
  <c r="W55" i="20"/>
  <c r="X55" i="20"/>
  <c r="Z55" i="20"/>
  <c r="AA55" i="20"/>
  <c r="AB55" i="20"/>
  <c r="AC55" i="20"/>
  <c r="AF55" i="20"/>
  <c r="AG55" i="20"/>
  <c r="AH55" i="20"/>
  <c r="AI55" i="20"/>
  <c r="AJ55" i="20"/>
  <c r="AL55" i="20"/>
  <c r="AM55" i="20"/>
  <c r="A56" i="20"/>
  <c r="B56" i="20"/>
  <c r="C56" i="20"/>
  <c r="E56" i="20"/>
  <c r="F56" i="20"/>
  <c r="G56" i="20"/>
  <c r="H56" i="20"/>
  <c r="I56" i="20" s="1"/>
  <c r="J56" i="20"/>
  <c r="L56" i="20"/>
  <c r="M56" i="20"/>
  <c r="N56" i="20"/>
  <c r="O56" i="20"/>
  <c r="Q56" i="20"/>
  <c r="R56" i="20"/>
  <c r="S56" i="20" s="1"/>
  <c r="T56" i="20"/>
  <c r="U56" i="20"/>
  <c r="V56" i="20"/>
  <c r="W56" i="20"/>
  <c r="Z56" i="20"/>
  <c r="AA56" i="20"/>
  <c r="AB56" i="20"/>
  <c r="AC56" i="20"/>
  <c r="AF56" i="20"/>
  <c r="AG56" i="20"/>
  <c r="AH56" i="20"/>
  <c r="AI56" i="20"/>
  <c r="AJ56" i="20"/>
  <c r="AK56" i="20"/>
  <c r="AL56" i="20"/>
  <c r="AM56" i="20"/>
  <c r="A57" i="20"/>
  <c r="B57" i="20"/>
  <c r="C57" i="20"/>
  <c r="E57" i="20"/>
  <c r="F57" i="20"/>
  <c r="G57" i="20"/>
  <c r="H57" i="20"/>
  <c r="I57" i="20" s="1"/>
  <c r="J57" i="20"/>
  <c r="L57" i="20"/>
  <c r="M57" i="20"/>
  <c r="N57" i="20"/>
  <c r="O57" i="20"/>
  <c r="Q57" i="20"/>
  <c r="R57" i="20"/>
  <c r="S57" i="20" s="1"/>
  <c r="T57" i="20"/>
  <c r="U57" i="20"/>
  <c r="V57" i="20"/>
  <c r="W57" i="20"/>
  <c r="X57" i="20"/>
  <c r="Z57" i="20"/>
  <c r="AA57" i="20"/>
  <c r="AB57" i="20"/>
  <c r="AC57" i="20"/>
  <c r="AF57" i="20"/>
  <c r="AG57" i="20"/>
  <c r="AH57" i="20"/>
  <c r="AI57" i="20"/>
  <c r="AJ57" i="20"/>
  <c r="AK57" i="20"/>
  <c r="AL57" i="20"/>
  <c r="AM57" i="20"/>
  <c r="A58" i="20"/>
  <c r="B58" i="20"/>
  <c r="C58" i="20"/>
  <c r="E58" i="20"/>
  <c r="F58" i="20"/>
  <c r="G58" i="20"/>
  <c r="H58" i="20"/>
  <c r="I58" i="20" s="1"/>
  <c r="J58" i="20"/>
  <c r="K58" i="20"/>
  <c r="L58" i="20"/>
  <c r="N58" i="20"/>
  <c r="Q58" i="20"/>
  <c r="R58" i="20"/>
  <c r="S58" i="20" s="1"/>
  <c r="T58" i="20"/>
  <c r="U58" i="20"/>
  <c r="V58" i="20"/>
  <c r="W58" i="20"/>
  <c r="A46" i="20"/>
  <c r="B46" i="20"/>
  <c r="C46" i="20"/>
  <c r="E46" i="20"/>
  <c r="F46" i="20"/>
  <c r="G46" i="20"/>
  <c r="H46" i="20"/>
  <c r="I46" i="20" s="1"/>
  <c r="J46" i="20"/>
  <c r="K46" i="20"/>
  <c r="L46" i="20"/>
  <c r="M46" i="20"/>
  <c r="N46" i="20"/>
  <c r="O46" i="20"/>
  <c r="P46" i="20"/>
  <c r="Q46" i="20"/>
  <c r="R46" i="20"/>
  <c r="S46" i="20" s="1"/>
  <c r="T46" i="20"/>
  <c r="U46" i="20"/>
  <c r="V46" i="20"/>
  <c r="W46" i="20"/>
  <c r="Z46" i="20"/>
  <c r="AA46" i="20"/>
  <c r="AB46" i="20"/>
  <c r="AC46" i="20"/>
  <c r="AF46" i="20"/>
  <c r="AG46" i="20"/>
  <c r="AH46" i="20"/>
  <c r="AI46" i="20"/>
  <c r="AJ46" i="20"/>
  <c r="AK46" i="20"/>
  <c r="AL46" i="20"/>
  <c r="AM46" i="20"/>
  <c r="AC40" i="20"/>
  <c r="AF40" i="20"/>
  <c r="AG40" i="20"/>
  <c r="AI40" i="20"/>
  <c r="AJ40" i="20"/>
  <c r="AL40" i="20"/>
  <c r="AC41" i="20"/>
  <c r="AF41" i="20"/>
  <c r="AG41" i="20"/>
  <c r="AI41" i="20"/>
  <c r="AJ41" i="20"/>
  <c r="AL41" i="20"/>
  <c r="AC42" i="20"/>
  <c r="AF42" i="20"/>
  <c r="AG42" i="20"/>
  <c r="AI42" i="20"/>
  <c r="AJ42" i="20"/>
  <c r="AL42" i="20"/>
  <c r="AC43" i="20"/>
  <c r="AF43" i="20"/>
  <c r="AG43" i="20"/>
  <c r="AI43" i="20"/>
  <c r="AJ43" i="20"/>
  <c r="AL43" i="20"/>
  <c r="AC44" i="20"/>
  <c r="AF44" i="20"/>
  <c r="AG44" i="20"/>
  <c r="AI44" i="20"/>
  <c r="AJ44" i="20"/>
  <c r="AL44" i="20"/>
  <c r="AC45" i="20"/>
  <c r="AF45" i="20"/>
  <c r="AG45" i="20"/>
  <c r="AI45" i="20"/>
  <c r="AJ45" i="20"/>
  <c r="AL45" i="20"/>
  <c r="Z24" i="20"/>
  <c r="Z25" i="20"/>
  <c r="Z26" i="20"/>
  <c r="O37" i="18"/>
  <c r="H36" i="20"/>
  <c r="I36" i="20" s="1"/>
  <c r="H37" i="20"/>
  <c r="I37" i="20" s="1"/>
  <c r="H38" i="20"/>
  <c r="I38" i="20" s="1"/>
  <c r="H39" i="20"/>
  <c r="I39" i="20" s="1"/>
  <c r="A21" i="20"/>
  <c r="B21" i="20"/>
  <c r="C21" i="20"/>
  <c r="E21" i="20"/>
  <c r="F21" i="20"/>
  <c r="G21" i="20"/>
  <c r="H21" i="20"/>
  <c r="I21" i="20" s="1"/>
  <c r="J21" i="20"/>
  <c r="K21" i="20"/>
  <c r="L21" i="20"/>
  <c r="M21" i="20"/>
  <c r="N21" i="20"/>
  <c r="R21" i="20"/>
  <c r="S21" i="20" s="1"/>
  <c r="T21" i="20"/>
  <c r="U21" i="20"/>
  <c r="V21" i="20"/>
  <c r="W21" i="20"/>
  <c r="Z21" i="20"/>
  <c r="AA21" i="20"/>
  <c r="AB21" i="20"/>
  <c r="AC21" i="20"/>
  <c r="AF21" i="20"/>
  <c r="AG21" i="20"/>
  <c r="AH21" i="20"/>
  <c r="AI21" i="20"/>
  <c r="AJ21" i="20"/>
  <c r="AK21" i="20"/>
  <c r="AL21" i="20"/>
  <c r="AM21" i="20"/>
  <c r="A22" i="20"/>
  <c r="B22" i="20"/>
  <c r="C22" i="20"/>
  <c r="E22" i="20"/>
  <c r="F22" i="20"/>
  <c r="G22" i="20"/>
  <c r="H22" i="20"/>
  <c r="I22" i="20" s="1"/>
  <c r="J22" i="20"/>
  <c r="K22" i="20"/>
  <c r="L22" i="20"/>
  <c r="M22" i="20"/>
  <c r="N22" i="20"/>
  <c r="R22" i="20"/>
  <c r="S22" i="20" s="1"/>
  <c r="T22" i="20"/>
  <c r="U22" i="20"/>
  <c r="V22" i="20"/>
  <c r="W22" i="20"/>
  <c r="Z22" i="20"/>
  <c r="AA22" i="20"/>
  <c r="AB22" i="20"/>
  <c r="AC22" i="20"/>
  <c r="AF22" i="20"/>
  <c r="AG22" i="20"/>
  <c r="AH22" i="20"/>
  <c r="AI22" i="20"/>
  <c r="AJ22" i="20"/>
  <c r="AK22" i="20"/>
  <c r="AL22" i="20"/>
  <c r="AM22" i="20"/>
  <c r="A23" i="20"/>
  <c r="B23" i="20"/>
  <c r="C23" i="20"/>
  <c r="E23" i="20"/>
  <c r="F23" i="20"/>
  <c r="G23" i="20"/>
  <c r="H23" i="20"/>
  <c r="I23" i="20" s="1"/>
  <c r="J23" i="20"/>
  <c r="K23" i="20"/>
  <c r="L23" i="20"/>
  <c r="M23" i="20"/>
  <c r="N23" i="20"/>
  <c r="O23" i="20"/>
  <c r="R23" i="20"/>
  <c r="S23" i="20" s="1"/>
  <c r="T23" i="20"/>
  <c r="U23" i="20"/>
  <c r="V23" i="20"/>
  <c r="W23" i="20"/>
  <c r="Z23" i="20"/>
  <c r="AA23" i="20"/>
  <c r="AB23" i="20"/>
  <c r="AC23" i="20"/>
  <c r="AF23" i="20"/>
  <c r="AG23" i="20"/>
  <c r="AH23" i="20"/>
  <c r="AI23" i="20"/>
  <c r="AJ23" i="20"/>
  <c r="AK23" i="20"/>
  <c r="AL23" i="20"/>
  <c r="AM23" i="20"/>
  <c r="A24" i="20"/>
  <c r="B24" i="20"/>
  <c r="C24" i="20"/>
  <c r="E24" i="20"/>
  <c r="F24" i="20"/>
  <c r="G24" i="20"/>
  <c r="H24" i="20"/>
  <c r="I24" i="20" s="1"/>
  <c r="J24" i="20"/>
  <c r="K24" i="20"/>
  <c r="L24" i="20"/>
  <c r="M24" i="20"/>
  <c r="N24" i="20"/>
  <c r="O24" i="20"/>
  <c r="R24" i="20"/>
  <c r="S24" i="20" s="1"/>
  <c r="T24" i="20"/>
  <c r="U24" i="20"/>
  <c r="V24" i="20"/>
  <c r="W24" i="20"/>
  <c r="AA24" i="20"/>
  <c r="AB24" i="20"/>
  <c r="AC24" i="20"/>
  <c r="AF24" i="20"/>
  <c r="AG24" i="20"/>
  <c r="AH24" i="20"/>
  <c r="AI24" i="20"/>
  <c r="AJ24" i="20"/>
  <c r="AK24" i="20"/>
  <c r="AL24" i="20"/>
  <c r="AM24" i="20"/>
  <c r="A25" i="20"/>
  <c r="B25" i="20"/>
  <c r="C25" i="20"/>
  <c r="E25" i="20"/>
  <c r="F25" i="20"/>
  <c r="G25" i="20"/>
  <c r="H25" i="20"/>
  <c r="I25" i="20" s="1"/>
  <c r="J25" i="20"/>
  <c r="K25" i="20"/>
  <c r="L25" i="20"/>
  <c r="M25" i="20"/>
  <c r="N25" i="20"/>
  <c r="O25" i="20"/>
  <c r="R25" i="20"/>
  <c r="S25" i="20" s="1"/>
  <c r="T25" i="20"/>
  <c r="U25" i="20"/>
  <c r="V25" i="20"/>
  <c r="W25" i="20"/>
  <c r="AA25" i="20"/>
  <c r="AB25" i="20"/>
  <c r="AC25" i="20"/>
  <c r="AF25" i="20"/>
  <c r="AG25" i="20"/>
  <c r="AH25" i="20"/>
  <c r="AI25" i="20"/>
  <c r="AJ25" i="20"/>
  <c r="AK25" i="20"/>
  <c r="AL25" i="20"/>
  <c r="AM25" i="20"/>
  <c r="A26" i="20"/>
  <c r="B26" i="20"/>
  <c r="C26" i="20"/>
  <c r="E26" i="20"/>
  <c r="F26" i="20"/>
  <c r="G26" i="20"/>
  <c r="H26" i="20"/>
  <c r="I26" i="20" s="1"/>
  <c r="L26" i="20"/>
  <c r="M26" i="20"/>
  <c r="N26" i="20"/>
  <c r="O26" i="20"/>
  <c r="R26" i="20"/>
  <c r="S26" i="20" s="1"/>
  <c r="T26" i="20"/>
  <c r="U26" i="20"/>
  <c r="V26" i="20"/>
  <c r="W26" i="20"/>
  <c r="AA26" i="20"/>
  <c r="AB26" i="20"/>
  <c r="AC26" i="20"/>
  <c r="AF26" i="20"/>
  <c r="AG26" i="20"/>
  <c r="AH26" i="20"/>
  <c r="AI26" i="20"/>
  <c r="AJ26" i="20"/>
  <c r="AK26" i="20"/>
  <c r="AL26" i="20"/>
  <c r="AM26" i="20"/>
  <c r="A27" i="20"/>
  <c r="B27" i="20"/>
  <c r="C27" i="20"/>
  <c r="E27" i="20"/>
  <c r="F27" i="20"/>
  <c r="G27" i="20"/>
  <c r="H27" i="20"/>
  <c r="I27" i="20" s="1"/>
  <c r="J27" i="20"/>
  <c r="K27" i="20"/>
  <c r="L27" i="20"/>
  <c r="M27" i="20"/>
  <c r="N27" i="20"/>
  <c r="O27" i="20"/>
  <c r="P27" i="20"/>
  <c r="Q27" i="20"/>
  <c r="R27" i="20"/>
  <c r="S27" i="20" s="1"/>
  <c r="T27" i="20"/>
  <c r="U27" i="20"/>
  <c r="V27" i="20"/>
  <c r="W27" i="20"/>
  <c r="X27" i="20"/>
  <c r="Z27" i="20"/>
  <c r="AA27" i="20"/>
  <c r="AB27" i="20"/>
  <c r="AC27" i="20"/>
  <c r="AI27" i="20"/>
  <c r="AJ27" i="20"/>
  <c r="AK27" i="20"/>
  <c r="AL27" i="20"/>
  <c r="AM27" i="20"/>
  <c r="A28" i="20"/>
  <c r="B28" i="20"/>
  <c r="C28" i="20"/>
  <c r="E28" i="20"/>
  <c r="F28" i="20"/>
  <c r="G28" i="20"/>
  <c r="H28" i="20"/>
  <c r="I28" i="20" s="1"/>
  <c r="J28" i="20"/>
  <c r="L28" i="20"/>
  <c r="M28" i="20"/>
  <c r="N28" i="20"/>
  <c r="O28" i="20"/>
  <c r="R28" i="20"/>
  <c r="S28" i="20" s="1"/>
  <c r="T28" i="20"/>
  <c r="U28" i="20"/>
  <c r="V28" i="20"/>
  <c r="W28" i="20"/>
  <c r="Z28" i="20"/>
  <c r="AA28" i="20"/>
  <c r="AB28" i="20"/>
  <c r="AC28" i="20"/>
  <c r="AF28" i="20"/>
  <c r="AG28" i="20"/>
  <c r="AH28" i="20"/>
  <c r="AI28" i="20"/>
  <c r="AJ28" i="20"/>
  <c r="AK28" i="20"/>
  <c r="AL28" i="20"/>
  <c r="AM28" i="20"/>
  <c r="A29" i="20"/>
  <c r="B29" i="20"/>
  <c r="C29" i="20"/>
  <c r="E29" i="20"/>
  <c r="F29" i="20"/>
  <c r="G29" i="20"/>
  <c r="H29" i="20"/>
  <c r="I29" i="20" s="1"/>
  <c r="J29" i="20"/>
  <c r="K29" i="20"/>
  <c r="L29" i="20"/>
  <c r="M29" i="20"/>
  <c r="N29" i="20"/>
  <c r="O29" i="20"/>
  <c r="P29" i="20"/>
  <c r="Q29" i="20"/>
  <c r="R29" i="20"/>
  <c r="S29" i="20" s="1"/>
  <c r="T29" i="20"/>
  <c r="U29" i="20"/>
  <c r="V29" i="20"/>
  <c r="W29" i="20"/>
  <c r="X29" i="20"/>
  <c r="Z29" i="20"/>
  <c r="AA29" i="20"/>
  <c r="AB29" i="20"/>
  <c r="AC29" i="20"/>
  <c r="AI29" i="20"/>
  <c r="AJ29" i="20"/>
  <c r="AK29" i="20"/>
  <c r="AL29" i="20"/>
  <c r="AM29" i="20"/>
  <c r="A30" i="20"/>
  <c r="B30" i="20"/>
  <c r="C30" i="20"/>
  <c r="E30" i="20"/>
  <c r="F30" i="20"/>
  <c r="G30" i="20"/>
  <c r="H30" i="20"/>
  <c r="I30" i="20" s="1"/>
  <c r="J30" i="20"/>
  <c r="L30" i="20"/>
  <c r="M30" i="20"/>
  <c r="N30" i="20"/>
  <c r="O30" i="20"/>
  <c r="R30" i="20"/>
  <c r="S30" i="20" s="1"/>
  <c r="T30" i="20"/>
  <c r="U30" i="20"/>
  <c r="V30" i="20"/>
  <c r="W30" i="20"/>
  <c r="Z30" i="20"/>
  <c r="AA30" i="20"/>
  <c r="AB30" i="20"/>
  <c r="AC30" i="20"/>
  <c r="AF30" i="20"/>
  <c r="AG30" i="20"/>
  <c r="AH30" i="20"/>
  <c r="AI30" i="20"/>
  <c r="AJ30" i="20"/>
  <c r="AK30" i="20"/>
  <c r="AL30" i="20"/>
  <c r="AM30" i="20"/>
  <c r="A31" i="20"/>
  <c r="B31" i="20"/>
  <c r="C31" i="20"/>
  <c r="E31" i="20"/>
  <c r="F31" i="20"/>
  <c r="G31" i="20"/>
  <c r="H31" i="20"/>
  <c r="I31" i="20" s="1"/>
  <c r="J31" i="20"/>
  <c r="K31" i="20"/>
  <c r="L31" i="20"/>
  <c r="M31" i="20"/>
  <c r="N31" i="20"/>
  <c r="O31" i="20"/>
  <c r="P31" i="20"/>
  <c r="Q31" i="20"/>
  <c r="R31" i="20"/>
  <c r="S31" i="20" s="1"/>
  <c r="T31" i="20"/>
  <c r="U31" i="20"/>
  <c r="V31" i="20"/>
  <c r="W31" i="20"/>
  <c r="X31" i="20"/>
  <c r="Z31" i="20"/>
  <c r="AA31" i="20"/>
  <c r="AB31" i="20"/>
  <c r="AC31" i="20"/>
  <c r="AI31" i="20"/>
  <c r="AJ31" i="20"/>
  <c r="AK31" i="20"/>
  <c r="AL31" i="20"/>
  <c r="AM31" i="20"/>
  <c r="A32" i="20"/>
  <c r="B32" i="20"/>
  <c r="C32" i="20"/>
  <c r="E32" i="20"/>
  <c r="F32" i="20"/>
  <c r="G32" i="20"/>
  <c r="H32" i="20"/>
  <c r="I32" i="20" s="1"/>
  <c r="J32" i="20"/>
  <c r="L32" i="20"/>
  <c r="M32" i="20"/>
  <c r="N32" i="20"/>
  <c r="O32" i="20"/>
  <c r="R32" i="20"/>
  <c r="S32" i="20" s="1"/>
  <c r="T32" i="20"/>
  <c r="U32" i="20"/>
  <c r="V32" i="20"/>
  <c r="W32" i="20"/>
  <c r="Z32" i="20"/>
  <c r="AA32" i="20"/>
  <c r="AB32" i="20"/>
  <c r="AC32" i="20"/>
  <c r="AF32" i="20"/>
  <c r="AG32" i="20"/>
  <c r="AH32" i="20"/>
  <c r="AI32" i="20"/>
  <c r="AJ32" i="20"/>
  <c r="AK32" i="20"/>
  <c r="AL32" i="20"/>
  <c r="AM32" i="20"/>
  <c r="A33" i="20"/>
  <c r="B33" i="20"/>
  <c r="C33" i="20"/>
  <c r="E33" i="20"/>
  <c r="F33" i="20"/>
  <c r="G33" i="20"/>
  <c r="H33" i="20"/>
  <c r="I33" i="20" s="1"/>
  <c r="J33" i="20"/>
  <c r="K33" i="20"/>
  <c r="L33" i="20"/>
  <c r="M33" i="20"/>
  <c r="N33" i="20"/>
  <c r="O33" i="20"/>
  <c r="P33" i="20"/>
  <c r="Q33" i="20"/>
  <c r="R33" i="20"/>
  <c r="S33" i="20" s="1"/>
  <c r="T33" i="20"/>
  <c r="U33" i="20"/>
  <c r="V33" i="20"/>
  <c r="W33" i="20"/>
  <c r="X33" i="20"/>
  <c r="Z33" i="20"/>
  <c r="AA33" i="20"/>
  <c r="AB33" i="20"/>
  <c r="AC33" i="20"/>
  <c r="AI33" i="20"/>
  <c r="AJ33" i="20"/>
  <c r="AK33" i="20"/>
  <c r="AL33" i="20"/>
  <c r="AM33" i="20"/>
  <c r="A34" i="20"/>
  <c r="B34" i="20"/>
  <c r="C34" i="20"/>
  <c r="E34" i="20"/>
  <c r="F34" i="20"/>
  <c r="G34" i="20"/>
  <c r="H34" i="20"/>
  <c r="I34" i="20" s="1"/>
  <c r="J34" i="20"/>
  <c r="K34" i="20"/>
  <c r="L34" i="20"/>
  <c r="O34" i="20"/>
  <c r="R34" i="20"/>
  <c r="S34" i="20" s="1"/>
  <c r="T34" i="20"/>
  <c r="U34" i="20"/>
  <c r="V34" i="20"/>
  <c r="W34" i="20"/>
  <c r="AA34" i="20"/>
  <c r="AB34" i="20"/>
  <c r="AC34" i="20"/>
  <c r="AF34" i="20"/>
  <c r="AG34" i="20"/>
  <c r="AH34" i="20"/>
  <c r="AI34" i="20"/>
  <c r="AJ34" i="20"/>
  <c r="AK34" i="20"/>
  <c r="AL34" i="20"/>
  <c r="AM34" i="20"/>
  <c r="A35" i="20"/>
  <c r="B35" i="20"/>
  <c r="C35" i="20"/>
  <c r="E35" i="20"/>
  <c r="F35" i="20"/>
  <c r="G35" i="20"/>
  <c r="H35" i="20"/>
  <c r="I35" i="20" s="1"/>
  <c r="J35" i="20"/>
  <c r="K35" i="20"/>
  <c r="L35" i="20"/>
  <c r="O35" i="20"/>
  <c r="R35" i="20"/>
  <c r="S35" i="20" s="1"/>
  <c r="T35" i="20"/>
  <c r="U35" i="20"/>
  <c r="V35" i="20"/>
  <c r="W35" i="20"/>
  <c r="X35" i="20"/>
  <c r="Z35" i="20"/>
  <c r="AA35" i="20"/>
  <c r="AB35" i="20"/>
  <c r="AC35" i="20"/>
  <c r="AF35" i="20"/>
  <c r="AG35" i="20"/>
  <c r="AH35" i="20"/>
  <c r="AI35" i="20"/>
  <c r="AJ35" i="20"/>
  <c r="AK35" i="20"/>
  <c r="AL35" i="20"/>
  <c r="AM35" i="20"/>
  <c r="A36" i="20"/>
  <c r="B36" i="20"/>
  <c r="C36" i="20"/>
  <c r="E36" i="20"/>
  <c r="F36" i="20"/>
  <c r="G36" i="20"/>
  <c r="J36" i="20"/>
  <c r="K36" i="20"/>
  <c r="L36" i="20"/>
  <c r="O36" i="20"/>
  <c r="R36" i="20"/>
  <c r="S36" i="20" s="1"/>
  <c r="T36" i="20"/>
  <c r="U36" i="20"/>
  <c r="V36" i="20"/>
  <c r="W36" i="20"/>
  <c r="AA36" i="20"/>
  <c r="AB36" i="20"/>
  <c r="AC36" i="20"/>
  <c r="AF36" i="20"/>
  <c r="AG36" i="20"/>
  <c r="AH36" i="20"/>
  <c r="AI36" i="20"/>
  <c r="AJ36" i="20"/>
  <c r="AK36" i="20"/>
  <c r="AL36" i="20"/>
  <c r="AM36" i="20"/>
  <c r="A37" i="20"/>
  <c r="B37" i="20"/>
  <c r="C37" i="20"/>
  <c r="E37" i="20"/>
  <c r="F37" i="20"/>
  <c r="G37" i="20"/>
  <c r="J37" i="20"/>
  <c r="K37" i="20"/>
  <c r="L37" i="20"/>
  <c r="O37" i="20"/>
  <c r="R37" i="20"/>
  <c r="S37" i="20" s="1"/>
  <c r="T37" i="20"/>
  <c r="U37" i="20"/>
  <c r="V37" i="20"/>
  <c r="W37" i="20"/>
  <c r="X37" i="20"/>
  <c r="Z37" i="20"/>
  <c r="AA37" i="20"/>
  <c r="AB37" i="20"/>
  <c r="AC37" i="20"/>
  <c r="AF37" i="20"/>
  <c r="AG37" i="20"/>
  <c r="AH37" i="20"/>
  <c r="AI37" i="20"/>
  <c r="AJ37" i="20"/>
  <c r="AK37" i="20"/>
  <c r="AL37" i="20"/>
  <c r="AM37" i="20"/>
  <c r="A38" i="20"/>
  <c r="B38" i="20"/>
  <c r="C38" i="20"/>
  <c r="E38" i="20"/>
  <c r="F38" i="20"/>
  <c r="G38" i="20"/>
  <c r="J38" i="20"/>
  <c r="K38" i="20"/>
  <c r="L38" i="20"/>
  <c r="O38" i="20"/>
  <c r="R38" i="20"/>
  <c r="S38" i="20" s="1"/>
  <c r="T38" i="20"/>
  <c r="U38" i="20"/>
  <c r="V38" i="20"/>
  <c r="W38" i="20"/>
  <c r="AA38" i="20"/>
  <c r="AB38" i="20"/>
  <c r="AC38" i="20"/>
  <c r="AF38" i="20"/>
  <c r="AG38" i="20"/>
  <c r="AH38" i="20"/>
  <c r="AI38" i="20"/>
  <c r="AJ38" i="20"/>
  <c r="AK38" i="20"/>
  <c r="AL38" i="20"/>
  <c r="AM38" i="20"/>
  <c r="A39" i="20"/>
  <c r="B39" i="20"/>
  <c r="C39" i="20"/>
  <c r="E39" i="20"/>
  <c r="F39" i="20"/>
  <c r="G39" i="20"/>
  <c r="J39" i="20"/>
  <c r="K39" i="20"/>
  <c r="L39" i="20"/>
  <c r="O39" i="20"/>
  <c r="R39" i="20"/>
  <c r="S39" i="20" s="1"/>
  <c r="T39" i="20"/>
  <c r="U39" i="20"/>
  <c r="V39" i="20"/>
  <c r="W39" i="20"/>
  <c r="X39" i="20"/>
  <c r="Z39" i="20"/>
  <c r="AA39" i="20"/>
  <c r="AB39" i="20"/>
  <c r="AC39" i="20"/>
  <c r="AF39" i="20"/>
  <c r="AG39" i="20"/>
  <c r="AH39" i="20"/>
  <c r="AI39" i="20"/>
  <c r="AJ39" i="20"/>
  <c r="AK39" i="20"/>
  <c r="AL39" i="20"/>
  <c r="AM39" i="20"/>
  <c r="A40" i="20"/>
  <c r="B40" i="20"/>
  <c r="C40" i="20"/>
  <c r="E40" i="20"/>
  <c r="F40" i="20"/>
  <c r="G40" i="20"/>
  <c r="H40" i="20"/>
  <c r="I40" i="20" s="1"/>
  <c r="J40" i="20"/>
  <c r="K40" i="20"/>
  <c r="L40" i="20"/>
  <c r="M40" i="20"/>
  <c r="N40" i="20"/>
  <c r="O40" i="20"/>
  <c r="Q40" i="20"/>
  <c r="R40" i="20"/>
  <c r="S40" i="20" s="1"/>
  <c r="T40" i="20"/>
  <c r="U40" i="20"/>
  <c r="V40" i="20"/>
  <c r="W40" i="20"/>
  <c r="Z40" i="20"/>
  <c r="AA40" i="20"/>
  <c r="AB40" i="20"/>
  <c r="AM40" i="20"/>
  <c r="A41" i="20"/>
  <c r="B41" i="20"/>
  <c r="C41" i="20"/>
  <c r="E41" i="20"/>
  <c r="F41" i="20"/>
  <c r="G41" i="20"/>
  <c r="H41" i="20"/>
  <c r="I41" i="20" s="1"/>
  <c r="J41" i="20"/>
  <c r="K41" i="20"/>
  <c r="L41" i="20"/>
  <c r="M41" i="20"/>
  <c r="N41" i="20"/>
  <c r="O41" i="20"/>
  <c r="P41" i="20"/>
  <c r="Q41" i="20"/>
  <c r="R41" i="20"/>
  <c r="S41" i="20" s="1"/>
  <c r="T41" i="20"/>
  <c r="U41" i="20"/>
  <c r="V41" i="20"/>
  <c r="W41" i="20"/>
  <c r="X41" i="20"/>
  <c r="Z41" i="20"/>
  <c r="AA41" i="20"/>
  <c r="AB41" i="20"/>
  <c r="AM41" i="20"/>
  <c r="A42" i="20"/>
  <c r="B42" i="20"/>
  <c r="C42" i="20"/>
  <c r="E42" i="20"/>
  <c r="F42" i="20"/>
  <c r="G42" i="20"/>
  <c r="H42" i="20"/>
  <c r="I42" i="20" s="1"/>
  <c r="J42" i="20"/>
  <c r="K42" i="20"/>
  <c r="L42" i="20"/>
  <c r="M42" i="20"/>
  <c r="N42" i="20"/>
  <c r="O42" i="20"/>
  <c r="Q42" i="20"/>
  <c r="R42" i="20"/>
  <c r="S42" i="20" s="1"/>
  <c r="T42" i="20"/>
  <c r="U42" i="20"/>
  <c r="V42" i="20"/>
  <c r="W42" i="20"/>
  <c r="Z42" i="20"/>
  <c r="AA42" i="20"/>
  <c r="AB42" i="20"/>
  <c r="AM42" i="20"/>
  <c r="A43" i="20"/>
  <c r="B43" i="20"/>
  <c r="C43" i="20"/>
  <c r="E43" i="20"/>
  <c r="F43" i="20"/>
  <c r="G43" i="20"/>
  <c r="H43" i="20"/>
  <c r="I43" i="20" s="1"/>
  <c r="J43" i="20"/>
  <c r="K43" i="20"/>
  <c r="L43" i="20"/>
  <c r="M43" i="20"/>
  <c r="N43" i="20"/>
  <c r="O43" i="20"/>
  <c r="P43" i="20"/>
  <c r="Q43" i="20"/>
  <c r="R43" i="20"/>
  <c r="S43" i="20" s="1"/>
  <c r="T43" i="20"/>
  <c r="U43" i="20"/>
  <c r="V43" i="20"/>
  <c r="W43" i="20"/>
  <c r="X43" i="20"/>
  <c r="Z43" i="20"/>
  <c r="AA43" i="20"/>
  <c r="AB43" i="20"/>
  <c r="AM43" i="20"/>
  <c r="A44" i="20"/>
  <c r="B44" i="20"/>
  <c r="C44" i="20"/>
  <c r="E44" i="20"/>
  <c r="F44" i="20"/>
  <c r="G44" i="20"/>
  <c r="H44" i="20"/>
  <c r="I44" i="20" s="1"/>
  <c r="J44" i="20"/>
  <c r="K44" i="20"/>
  <c r="L44" i="20"/>
  <c r="M44" i="20"/>
  <c r="N44" i="20"/>
  <c r="O44" i="20"/>
  <c r="Q44" i="20"/>
  <c r="R44" i="20"/>
  <c r="S44" i="20" s="1"/>
  <c r="T44" i="20"/>
  <c r="U44" i="20"/>
  <c r="V44" i="20"/>
  <c r="W44" i="20"/>
  <c r="X44" i="20"/>
  <c r="Z44" i="20"/>
  <c r="AA44" i="20"/>
  <c r="AB44" i="20"/>
  <c r="AM44" i="20"/>
  <c r="A45" i="20"/>
  <c r="B45" i="20"/>
  <c r="C45" i="20"/>
  <c r="E45" i="20"/>
  <c r="F45" i="20"/>
  <c r="G45" i="20"/>
  <c r="H45" i="20"/>
  <c r="I45" i="20" s="1"/>
  <c r="J45" i="20"/>
  <c r="K45" i="20"/>
  <c r="L45" i="20"/>
  <c r="M45" i="20"/>
  <c r="N45" i="20"/>
  <c r="O45" i="20"/>
  <c r="P45" i="20"/>
  <c r="Q45" i="20"/>
  <c r="R45" i="20"/>
  <c r="S45" i="20" s="1"/>
  <c r="T45" i="20"/>
  <c r="U45" i="20"/>
  <c r="V45" i="20"/>
  <c r="W45" i="20"/>
  <c r="X45" i="20"/>
  <c r="Z45" i="20"/>
  <c r="AA45" i="20"/>
  <c r="AB45" i="20"/>
  <c r="AM45" i="20"/>
  <c r="R44" i="18"/>
  <c r="R42" i="18"/>
  <c r="R40" i="18"/>
  <c r="S39" i="18"/>
  <c r="R39" i="18"/>
  <c r="P39" i="18"/>
  <c r="O39" i="18"/>
  <c r="AB38" i="18"/>
  <c r="Z38" i="18" s="1"/>
  <c r="S38" i="18"/>
  <c r="R38" i="18"/>
  <c r="P38" i="18"/>
  <c r="O38" i="18"/>
  <c r="S37" i="18"/>
  <c r="R37" i="18"/>
  <c r="P37" i="18"/>
  <c r="AB36" i="18"/>
  <c r="Z36" i="18" s="1"/>
  <c r="S36" i="18"/>
  <c r="R36" i="18"/>
  <c r="P36" i="18"/>
  <c r="O36" i="18"/>
  <c r="S35" i="18"/>
  <c r="R35" i="18"/>
  <c r="P35" i="18"/>
  <c r="O35" i="18"/>
  <c r="AB34" i="18"/>
  <c r="Z34" i="18" s="1"/>
  <c r="S34" i="18"/>
  <c r="R34" i="18"/>
  <c r="P34" i="18"/>
  <c r="O34" i="18"/>
  <c r="R32" i="18"/>
  <c r="M32" i="18"/>
  <c r="R30" i="18"/>
  <c r="M30" i="18"/>
  <c r="R28" i="18"/>
  <c r="M28" i="18"/>
  <c r="R26" i="18"/>
  <c r="M26" i="18"/>
  <c r="Z25" i="18"/>
  <c r="S25" i="18"/>
  <c r="R25" i="18"/>
  <c r="Z24" i="18"/>
  <c r="S24" i="18"/>
  <c r="R24" i="18"/>
  <c r="Z23" i="18"/>
  <c r="S23" i="18"/>
  <c r="R23" i="18"/>
  <c r="AM45" i="16"/>
  <c r="AJ45" i="16"/>
  <c r="AM44" i="16"/>
  <c r="AJ44" i="16"/>
  <c r="R44" i="16"/>
  <c r="AM43" i="16"/>
  <c r="AJ43" i="16"/>
  <c r="AM42" i="16"/>
  <c r="AJ42" i="16"/>
  <c r="Z42" i="16"/>
  <c r="R42" i="16"/>
  <c r="AM41" i="16"/>
  <c r="AJ41" i="16"/>
  <c r="AM40" i="16"/>
  <c r="AJ40" i="16"/>
  <c r="Z40" i="16"/>
  <c r="R40" i="16"/>
  <c r="S39" i="16"/>
  <c r="R39" i="16"/>
  <c r="P39" i="16"/>
  <c r="O39" i="16"/>
  <c r="AB38" i="16"/>
  <c r="Z38" i="16" s="1"/>
  <c r="S38" i="16"/>
  <c r="R38" i="16"/>
  <c r="P38" i="16"/>
  <c r="O38" i="16"/>
  <c r="S37" i="16"/>
  <c r="R37" i="16"/>
  <c r="P37" i="16"/>
  <c r="O37" i="16"/>
  <c r="AB36" i="16"/>
  <c r="Z36" i="16" s="1"/>
  <c r="S36" i="16"/>
  <c r="R36" i="16"/>
  <c r="P36" i="16"/>
  <c r="O36" i="16"/>
  <c r="S35" i="16"/>
  <c r="R35" i="16"/>
  <c r="P35" i="16"/>
  <c r="O35" i="16"/>
  <c r="AB34" i="16"/>
  <c r="Z34" i="16" s="1"/>
  <c r="S34" i="16"/>
  <c r="R34" i="16"/>
  <c r="P34" i="16"/>
  <c r="O34" i="16"/>
  <c r="S32" i="16"/>
  <c r="Q32" i="20" s="1"/>
  <c r="R32" i="16"/>
  <c r="M32" i="16"/>
  <c r="S30" i="16"/>
  <c r="Q30" i="20" s="1"/>
  <c r="R30" i="16"/>
  <c r="M30" i="16"/>
  <c r="S28" i="16"/>
  <c r="Q28" i="20" s="1"/>
  <c r="R28" i="16"/>
  <c r="M28" i="16"/>
  <c r="S26" i="16"/>
  <c r="Q26" i="20" s="1"/>
  <c r="R26" i="16"/>
  <c r="M26" i="16"/>
  <c r="Z25" i="16"/>
  <c r="S25" i="16"/>
  <c r="R25" i="16"/>
  <c r="Z24" i="16"/>
  <c r="S24" i="16"/>
  <c r="R24" i="16"/>
  <c r="Z23" i="16"/>
  <c r="S23" i="16"/>
  <c r="R23" i="16"/>
  <c r="AQ9" i="28"/>
  <c r="AP9" i="28"/>
  <c r="AQ7" i="28"/>
  <c r="AP7" i="28"/>
  <c r="AQ6" i="28"/>
  <c r="AP6" i="28"/>
  <c r="AQ5" i="28"/>
  <c r="AP5" i="28"/>
  <c r="AQ4" i="28"/>
  <c r="AP4" i="28"/>
  <c r="G3" i="20"/>
  <c r="AB4" i="20"/>
  <c r="AB5" i="20"/>
  <c r="AB6" i="20"/>
  <c r="AB7" i="20"/>
  <c r="AB8" i="20"/>
  <c r="AB9" i="20"/>
  <c r="AB10" i="20"/>
  <c r="AB11" i="20"/>
  <c r="AB12" i="20"/>
  <c r="AB13" i="20"/>
  <c r="AB14" i="20"/>
  <c r="AB15" i="20"/>
  <c r="AB16" i="20"/>
  <c r="AB17" i="20"/>
  <c r="AB18" i="20"/>
  <c r="AB19" i="20"/>
  <c r="AB20" i="20"/>
  <c r="AB3" i="20"/>
  <c r="K3" i="20"/>
  <c r="L3" i="20"/>
  <c r="N3" i="20"/>
  <c r="O3" i="20"/>
  <c r="Q3" i="20"/>
  <c r="R3" i="20"/>
  <c r="S3" i="20" s="1"/>
  <c r="T3" i="20"/>
  <c r="U3" i="20"/>
  <c r="V3" i="20"/>
  <c r="W3" i="20"/>
  <c r="Z3" i="20"/>
  <c r="AA3" i="20"/>
  <c r="AC3" i="20"/>
  <c r="AF3" i="20"/>
  <c r="AG3" i="20"/>
  <c r="AH3" i="20"/>
  <c r="AI3" i="20"/>
  <c r="AJ3" i="20"/>
  <c r="AK3" i="20"/>
  <c r="K4" i="20"/>
  <c r="L4" i="20"/>
  <c r="N4" i="20"/>
  <c r="O4" i="20"/>
  <c r="Q4" i="20"/>
  <c r="R4" i="20"/>
  <c r="S4" i="20" s="1"/>
  <c r="T4" i="20"/>
  <c r="U4" i="20"/>
  <c r="V4" i="20"/>
  <c r="W4" i="20"/>
  <c r="Z4" i="20"/>
  <c r="AA4" i="20"/>
  <c r="AC4" i="20"/>
  <c r="AF4" i="20"/>
  <c r="AG4" i="20"/>
  <c r="AH4" i="20"/>
  <c r="AI4" i="20"/>
  <c r="AJ4" i="20"/>
  <c r="AK4" i="20"/>
  <c r="L5" i="20"/>
  <c r="M5" i="20"/>
  <c r="R5" i="20"/>
  <c r="S5" i="20" s="1"/>
  <c r="T5" i="20"/>
  <c r="U5" i="20"/>
  <c r="V5" i="20"/>
  <c r="W5" i="20"/>
  <c r="Z5" i="20"/>
  <c r="AA5" i="20"/>
  <c r="AC5" i="20"/>
  <c r="AF5" i="20"/>
  <c r="AG5" i="20"/>
  <c r="AH5" i="20"/>
  <c r="AI5" i="20"/>
  <c r="AJ5" i="20"/>
  <c r="AK5" i="20"/>
  <c r="K6" i="20"/>
  <c r="L6" i="20"/>
  <c r="M6" i="20"/>
  <c r="N6" i="20"/>
  <c r="O6" i="20"/>
  <c r="P6" i="20"/>
  <c r="Q6" i="20"/>
  <c r="R6" i="20"/>
  <c r="S6" i="20" s="1"/>
  <c r="T6" i="20"/>
  <c r="U6" i="20"/>
  <c r="V6" i="20"/>
  <c r="W6" i="20"/>
  <c r="X6" i="20"/>
  <c r="Z6" i="20"/>
  <c r="AA6" i="20"/>
  <c r="AC6" i="20"/>
  <c r="AF6" i="20"/>
  <c r="AG6" i="20"/>
  <c r="AH6" i="20"/>
  <c r="AI6" i="20"/>
  <c r="AJ6" i="20"/>
  <c r="AK6" i="20"/>
  <c r="L7" i="20"/>
  <c r="M7" i="20"/>
  <c r="R7" i="20"/>
  <c r="S7" i="20" s="1"/>
  <c r="T7" i="20"/>
  <c r="U7" i="20"/>
  <c r="V7" i="20"/>
  <c r="W7" i="20"/>
  <c r="Z7" i="20"/>
  <c r="AA7" i="20"/>
  <c r="AC7" i="20"/>
  <c r="AF7" i="20"/>
  <c r="AG7" i="20"/>
  <c r="AH7" i="20"/>
  <c r="AI7" i="20"/>
  <c r="AJ7" i="20"/>
  <c r="AK7" i="20"/>
  <c r="K8" i="20"/>
  <c r="L8" i="20"/>
  <c r="M8" i="20"/>
  <c r="N8" i="20"/>
  <c r="O8" i="20"/>
  <c r="P8" i="20"/>
  <c r="Q8" i="20"/>
  <c r="R8" i="20"/>
  <c r="S8" i="20" s="1"/>
  <c r="T8" i="20"/>
  <c r="U8" i="20"/>
  <c r="V8" i="20"/>
  <c r="W8" i="20"/>
  <c r="X8" i="20"/>
  <c r="Z8" i="20"/>
  <c r="AA8" i="20"/>
  <c r="AC8" i="20"/>
  <c r="AF8" i="20"/>
  <c r="AG8" i="20"/>
  <c r="AH8" i="20"/>
  <c r="AI8" i="20"/>
  <c r="AJ8" i="20"/>
  <c r="AK8" i="20"/>
  <c r="L9" i="20"/>
  <c r="M9" i="20"/>
  <c r="R9" i="20"/>
  <c r="S9" i="20" s="1"/>
  <c r="T9" i="20"/>
  <c r="U9" i="20"/>
  <c r="V9" i="20"/>
  <c r="W9" i="20"/>
  <c r="X9" i="20"/>
  <c r="Z9" i="20"/>
  <c r="AA9" i="20"/>
  <c r="AC9" i="20"/>
  <c r="AF9" i="20"/>
  <c r="AG9" i="20"/>
  <c r="AH9" i="20"/>
  <c r="AI9" i="20"/>
  <c r="AJ9" i="20"/>
  <c r="AK9" i="20"/>
  <c r="K10" i="20"/>
  <c r="L10" i="20"/>
  <c r="M10" i="20"/>
  <c r="N10" i="20"/>
  <c r="O10" i="20"/>
  <c r="P10" i="20"/>
  <c r="Q10" i="20"/>
  <c r="R10" i="20"/>
  <c r="S10" i="20" s="1"/>
  <c r="T10" i="20"/>
  <c r="U10" i="20"/>
  <c r="V10" i="20"/>
  <c r="W10" i="20"/>
  <c r="X10" i="20"/>
  <c r="Z10" i="20"/>
  <c r="AA10" i="20"/>
  <c r="AC10" i="20"/>
  <c r="AF10" i="20"/>
  <c r="AG10" i="20"/>
  <c r="AH10" i="20"/>
  <c r="AI10" i="20"/>
  <c r="AJ10" i="20"/>
  <c r="AK10" i="20"/>
  <c r="L11" i="20"/>
  <c r="M11" i="20"/>
  <c r="O11" i="20"/>
  <c r="R11" i="20"/>
  <c r="S11" i="20" s="1"/>
  <c r="T11" i="20"/>
  <c r="U11" i="20"/>
  <c r="V11" i="20"/>
  <c r="W11" i="20"/>
  <c r="Z11" i="20"/>
  <c r="AA11" i="20"/>
  <c r="AC11" i="20"/>
  <c r="AF11" i="20"/>
  <c r="AG11" i="20"/>
  <c r="AH11" i="20"/>
  <c r="AI11" i="20"/>
  <c r="AJ11" i="20"/>
  <c r="AK11" i="20"/>
  <c r="L12" i="20"/>
  <c r="M12" i="20"/>
  <c r="O12" i="20"/>
  <c r="R12" i="20"/>
  <c r="S12" i="20" s="1"/>
  <c r="T12" i="20"/>
  <c r="U12" i="20"/>
  <c r="V12" i="20"/>
  <c r="W12" i="20"/>
  <c r="Z12" i="20"/>
  <c r="AA12" i="20"/>
  <c r="AC12" i="20"/>
  <c r="AF12" i="20"/>
  <c r="AG12" i="20"/>
  <c r="AH12" i="20"/>
  <c r="AI12" i="20"/>
  <c r="AJ12" i="20"/>
  <c r="AK12" i="20"/>
  <c r="L13" i="20"/>
  <c r="M13" i="20"/>
  <c r="O13" i="20"/>
  <c r="R13" i="20"/>
  <c r="S13" i="20" s="1"/>
  <c r="T13" i="20"/>
  <c r="U13" i="20"/>
  <c r="V13" i="20"/>
  <c r="W13" i="20"/>
  <c r="X13" i="20"/>
  <c r="Z13" i="20"/>
  <c r="AA13" i="20"/>
  <c r="AC13" i="20"/>
  <c r="AF13" i="20"/>
  <c r="AG13" i="20"/>
  <c r="AH13" i="20"/>
  <c r="AI13" i="20"/>
  <c r="AJ13" i="20"/>
  <c r="AK13" i="20"/>
  <c r="M14" i="20"/>
  <c r="N14" i="20"/>
  <c r="R14" i="20"/>
  <c r="S14" i="20" s="1"/>
  <c r="T14" i="20"/>
  <c r="U14" i="20"/>
  <c r="V14" i="20"/>
  <c r="W14" i="20"/>
  <c r="X14" i="20"/>
  <c r="Z14" i="20"/>
  <c r="AA14" i="20"/>
  <c r="AC14" i="20"/>
  <c r="AF14" i="20"/>
  <c r="AG14" i="20"/>
  <c r="AH14" i="20"/>
  <c r="AI14" i="20"/>
  <c r="AJ14" i="20"/>
  <c r="AK14" i="20"/>
  <c r="K15" i="20"/>
  <c r="L15" i="20"/>
  <c r="M15" i="20"/>
  <c r="N15" i="20"/>
  <c r="O15" i="20"/>
  <c r="P15" i="20"/>
  <c r="Q15" i="20"/>
  <c r="R15" i="20"/>
  <c r="S15" i="20" s="1"/>
  <c r="T15" i="20"/>
  <c r="U15" i="20"/>
  <c r="V15" i="20"/>
  <c r="W15" i="20"/>
  <c r="X15" i="20"/>
  <c r="Z15" i="20"/>
  <c r="AA15" i="20"/>
  <c r="AC15" i="20"/>
  <c r="AF15" i="20"/>
  <c r="AG15" i="20"/>
  <c r="AH15" i="20"/>
  <c r="AI15" i="20"/>
  <c r="AJ15" i="20"/>
  <c r="AK15" i="20"/>
  <c r="L16" i="20"/>
  <c r="M16" i="20"/>
  <c r="N16" i="20"/>
  <c r="R16" i="20"/>
  <c r="S16" i="20" s="1"/>
  <c r="T16" i="20"/>
  <c r="U16" i="20"/>
  <c r="V16" i="20"/>
  <c r="W16" i="20"/>
  <c r="X16" i="20"/>
  <c r="Z16" i="20"/>
  <c r="AA16" i="20"/>
  <c r="AC16" i="20"/>
  <c r="AF16" i="20"/>
  <c r="AG16" i="20"/>
  <c r="AH16" i="20"/>
  <c r="AI16" i="20"/>
  <c r="AJ16" i="20"/>
  <c r="AK16" i="20"/>
  <c r="K17" i="20"/>
  <c r="L17" i="20"/>
  <c r="M17" i="20"/>
  <c r="N17" i="20"/>
  <c r="O17" i="20"/>
  <c r="P17" i="20"/>
  <c r="Q17" i="20"/>
  <c r="R17" i="20"/>
  <c r="S17" i="20" s="1"/>
  <c r="T17" i="20"/>
  <c r="U17" i="20"/>
  <c r="V17" i="20"/>
  <c r="W17" i="20"/>
  <c r="X17" i="20"/>
  <c r="Z17" i="20"/>
  <c r="AA17" i="20"/>
  <c r="AC17" i="20"/>
  <c r="AF17" i="20"/>
  <c r="AG17" i="20"/>
  <c r="AH17" i="20"/>
  <c r="AI17" i="20"/>
  <c r="AJ17" i="20"/>
  <c r="AK17" i="20"/>
  <c r="L18" i="20"/>
  <c r="M18" i="20"/>
  <c r="N18" i="20"/>
  <c r="R18" i="20"/>
  <c r="S18" i="20" s="1"/>
  <c r="T18" i="20"/>
  <c r="U18" i="20"/>
  <c r="V18" i="20"/>
  <c r="W18" i="20"/>
  <c r="X18" i="20"/>
  <c r="Z18" i="20"/>
  <c r="AA18" i="20"/>
  <c r="AC18" i="20"/>
  <c r="AF18" i="20"/>
  <c r="AG18" i="20"/>
  <c r="AH18" i="20"/>
  <c r="AI18" i="20"/>
  <c r="AJ18" i="20"/>
  <c r="AK18" i="20"/>
  <c r="K19" i="20"/>
  <c r="L19" i="20"/>
  <c r="M19" i="20"/>
  <c r="N19" i="20"/>
  <c r="O19" i="20"/>
  <c r="P19" i="20"/>
  <c r="Q19" i="20"/>
  <c r="R19" i="20"/>
  <c r="S19" i="20" s="1"/>
  <c r="T19" i="20"/>
  <c r="U19" i="20"/>
  <c r="V19" i="20"/>
  <c r="W19" i="20"/>
  <c r="X19" i="20"/>
  <c r="Z19" i="20"/>
  <c r="AA19" i="20"/>
  <c r="AC19" i="20"/>
  <c r="AF19" i="20"/>
  <c r="AG19" i="20"/>
  <c r="AH19" i="20"/>
  <c r="AI19" i="20"/>
  <c r="AJ19" i="20"/>
  <c r="AK19" i="20"/>
  <c r="K20" i="20"/>
  <c r="L20" i="20"/>
  <c r="M20" i="20"/>
  <c r="N20" i="20"/>
  <c r="R20" i="20"/>
  <c r="S20" i="20" s="1"/>
  <c r="T20" i="20"/>
  <c r="U20" i="20"/>
  <c r="V20" i="20"/>
  <c r="W20" i="20"/>
  <c r="Z20" i="20"/>
  <c r="AA20" i="20"/>
  <c r="AC20" i="20"/>
  <c r="AF20" i="20"/>
  <c r="AG20" i="20"/>
  <c r="AH20" i="20"/>
  <c r="AI20" i="20"/>
  <c r="AJ20" i="20"/>
  <c r="AK20" i="20"/>
  <c r="J20" i="20"/>
  <c r="J19" i="20"/>
  <c r="J18" i="20"/>
  <c r="J17" i="20"/>
  <c r="J16" i="20"/>
  <c r="J15" i="20"/>
  <c r="J14" i="20"/>
  <c r="J13" i="20"/>
  <c r="J12" i="20"/>
  <c r="J11" i="20"/>
  <c r="J10" i="20"/>
  <c r="J9" i="20"/>
  <c r="J8" i="20"/>
  <c r="J7" i="20"/>
  <c r="J6" i="20"/>
  <c r="J5" i="20"/>
  <c r="J4" i="20"/>
  <c r="J3" i="20"/>
  <c r="H4" i="20"/>
  <c r="I4" i="20" s="1"/>
  <c r="H5" i="20"/>
  <c r="I5" i="20" s="1"/>
  <c r="H6" i="20"/>
  <c r="I6" i="20" s="1"/>
  <c r="H7" i="20"/>
  <c r="I7" i="20" s="1"/>
  <c r="H8" i="20"/>
  <c r="I8" i="20" s="1"/>
  <c r="H9" i="20"/>
  <c r="I9" i="20" s="1"/>
  <c r="H10" i="20"/>
  <c r="I10" i="20" s="1"/>
  <c r="H11" i="20"/>
  <c r="I11" i="20" s="1"/>
  <c r="H12" i="20"/>
  <c r="I12" i="20" s="1"/>
  <c r="H13" i="20"/>
  <c r="I13" i="20" s="1"/>
  <c r="H14" i="20"/>
  <c r="I14" i="20" s="1"/>
  <c r="H15" i="20"/>
  <c r="I15" i="20" s="1"/>
  <c r="H16" i="20"/>
  <c r="I16" i="20" s="1"/>
  <c r="H17" i="20"/>
  <c r="I17" i="20" s="1"/>
  <c r="H18" i="20"/>
  <c r="I18" i="20" s="1"/>
  <c r="H19" i="20"/>
  <c r="I19" i="20" s="1"/>
  <c r="H20" i="20"/>
  <c r="I20" i="20" s="1"/>
  <c r="H3" i="20"/>
  <c r="I3" i="20" s="1"/>
  <c r="B4" i="20"/>
  <c r="B5" i="20"/>
  <c r="B6" i="20"/>
  <c r="B7" i="20"/>
  <c r="B8" i="20"/>
  <c r="B9" i="20"/>
  <c r="B10" i="20"/>
  <c r="B11" i="20"/>
  <c r="B12" i="20"/>
  <c r="B13" i="20"/>
  <c r="B14" i="20"/>
  <c r="B15" i="20"/>
  <c r="B16" i="20"/>
  <c r="B17" i="20"/>
  <c r="B18" i="20"/>
  <c r="B19" i="20"/>
  <c r="B20" i="20"/>
  <c r="B3" i="20"/>
  <c r="E3" i="20"/>
  <c r="F3" i="20"/>
  <c r="E4" i="20"/>
  <c r="F4" i="20"/>
  <c r="G4" i="20"/>
  <c r="E5" i="20"/>
  <c r="F5" i="20"/>
  <c r="G5" i="20"/>
  <c r="E6" i="20"/>
  <c r="F6" i="20"/>
  <c r="G6" i="20"/>
  <c r="E7" i="20"/>
  <c r="F7" i="20"/>
  <c r="G7" i="20"/>
  <c r="E8" i="20"/>
  <c r="F8" i="20"/>
  <c r="G8" i="20"/>
  <c r="E9" i="20"/>
  <c r="F9" i="20"/>
  <c r="G9" i="20"/>
  <c r="E10" i="20"/>
  <c r="F10" i="20"/>
  <c r="G10" i="20"/>
  <c r="E11" i="20"/>
  <c r="F11" i="20"/>
  <c r="G11" i="20"/>
  <c r="E12" i="20"/>
  <c r="F12" i="20"/>
  <c r="G12" i="20"/>
  <c r="E13" i="20"/>
  <c r="F13" i="20"/>
  <c r="G13" i="20"/>
  <c r="E14" i="20"/>
  <c r="F14" i="20"/>
  <c r="G14" i="20"/>
  <c r="E15" i="20"/>
  <c r="F15" i="20"/>
  <c r="G15" i="20"/>
  <c r="E16" i="20"/>
  <c r="F16" i="20"/>
  <c r="G16" i="20"/>
  <c r="E17" i="20"/>
  <c r="F17" i="20"/>
  <c r="G17" i="20"/>
  <c r="E18" i="20"/>
  <c r="F18" i="20"/>
  <c r="G18" i="20"/>
  <c r="E19" i="20"/>
  <c r="F19" i="20"/>
  <c r="G19" i="20"/>
  <c r="E20" i="20"/>
  <c r="F20" i="20"/>
  <c r="G20" i="20"/>
  <c r="C20" i="20"/>
  <c r="C19" i="20"/>
  <c r="C18" i="20"/>
  <c r="C17" i="20"/>
  <c r="C16" i="20"/>
  <c r="C15" i="20"/>
  <c r="C14" i="20"/>
  <c r="C13" i="20"/>
  <c r="C12" i="20"/>
  <c r="C11" i="20"/>
  <c r="C10" i="20"/>
  <c r="C9" i="20"/>
  <c r="C8" i="20"/>
  <c r="C7" i="20"/>
  <c r="C6" i="20"/>
  <c r="C5" i="20"/>
  <c r="C4" i="20"/>
  <c r="C3" i="20"/>
  <c r="A4" i="20"/>
  <c r="A5" i="20"/>
  <c r="A6" i="20"/>
  <c r="A7" i="20"/>
  <c r="A8" i="20"/>
  <c r="A9" i="20"/>
  <c r="A10" i="20"/>
  <c r="A11" i="20"/>
  <c r="A12" i="20"/>
  <c r="A13" i="20"/>
  <c r="A14" i="20"/>
  <c r="A15" i="20"/>
  <c r="A16" i="20"/>
  <c r="A17" i="20"/>
  <c r="A18" i="20"/>
  <c r="A19" i="20"/>
  <c r="A20" i="20"/>
  <c r="A3" i="20"/>
  <c r="Z11" i="18"/>
  <c r="Q22" i="18"/>
  <c r="Q21" i="18"/>
  <c r="Q20" i="18"/>
  <c r="P13" i="18"/>
  <c r="P12" i="18"/>
  <c r="P11" i="18"/>
  <c r="Q22" i="16"/>
  <c r="Q21" i="16"/>
  <c r="Q20" i="16"/>
  <c r="AL3" i="20"/>
  <c r="AM3" i="20"/>
  <c r="AL4" i="20"/>
  <c r="AM4" i="20"/>
  <c r="AL5" i="20"/>
  <c r="AM5" i="20"/>
  <c r="AL6" i="20"/>
  <c r="AM6" i="20"/>
  <c r="AL7" i="20"/>
  <c r="AM7" i="20"/>
  <c r="AL8" i="20"/>
  <c r="AM8" i="20"/>
  <c r="AL9" i="20"/>
  <c r="AM9" i="20"/>
  <c r="AL10" i="20"/>
  <c r="AM10" i="20"/>
  <c r="AL11" i="20"/>
  <c r="AM11" i="20"/>
  <c r="AL12" i="20"/>
  <c r="AM12" i="20"/>
  <c r="AL13" i="20"/>
  <c r="AM13" i="20"/>
  <c r="AL14" i="20"/>
  <c r="AM14" i="20"/>
  <c r="AL15" i="20"/>
  <c r="AM15" i="20"/>
  <c r="AL16" i="20"/>
  <c r="AM16" i="20"/>
  <c r="AL17" i="20"/>
  <c r="AM17" i="20"/>
  <c r="AL18" i="20"/>
  <c r="AM18" i="20"/>
  <c r="AL19" i="20"/>
  <c r="AM19" i="20"/>
  <c r="AL20" i="20"/>
  <c r="AM20" i="20"/>
  <c r="Z22" i="18"/>
  <c r="S22" i="18"/>
  <c r="R22" i="18"/>
  <c r="Z21" i="18"/>
  <c r="S21" i="18"/>
  <c r="R21" i="18"/>
  <c r="Z20" i="18"/>
  <c r="S20" i="18"/>
  <c r="R20" i="18"/>
  <c r="S18" i="18"/>
  <c r="R18" i="18"/>
  <c r="Q18" i="18"/>
  <c r="S16" i="18"/>
  <c r="R16" i="18"/>
  <c r="P16" i="20" s="1"/>
  <c r="Q16" i="18"/>
  <c r="S14" i="18"/>
  <c r="R14" i="18"/>
  <c r="Q14" i="18"/>
  <c r="S13" i="18"/>
  <c r="R13" i="18"/>
  <c r="M13" i="18"/>
  <c r="Z12" i="18"/>
  <c r="S12" i="18"/>
  <c r="R12" i="18"/>
  <c r="M12" i="18"/>
  <c r="S11" i="18"/>
  <c r="R11" i="18"/>
  <c r="M11" i="18"/>
  <c r="S9" i="18"/>
  <c r="R9" i="18"/>
  <c r="Q9" i="18"/>
  <c r="P9" i="18"/>
  <c r="M9" i="18"/>
  <c r="Z7" i="18"/>
  <c r="S7" i="18"/>
  <c r="R7" i="18"/>
  <c r="Q7" i="18"/>
  <c r="P7" i="18"/>
  <c r="M7" i="18"/>
  <c r="Z5" i="18"/>
  <c r="S5" i="18"/>
  <c r="R5" i="18"/>
  <c r="Q5" i="18"/>
  <c r="P5" i="18"/>
  <c r="M5" i="18"/>
  <c r="Z4" i="18"/>
  <c r="R4" i="18"/>
  <c r="O4" i="18"/>
  <c r="Z3" i="18"/>
  <c r="R3" i="18"/>
  <c r="O3" i="18"/>
  <c r="Z22" i="16"/>
  <c r="Z21" i="16"/>
  <c r="Z20" i="16"/>
  <c r="Z12" i="16"/>
  <c r="Z11" i="16"/>
  <c r="Z7" i="16"/>
  <c r="Z5" i="16"/>
  <c r="Z4" i="16"/>
  <c r="Z3" i="16"/>
  <c r="O4" i="16"/>
  <c r="M18" i="16"/>
  <c r="K18" i="20" s="1"/>
  <c r="M16" i="16"/>
  <c r="K16" i="20" s="1"/>
  <c r="M14" i="16"/>
  <c r="K14" i="20" s="1"/>
  <c r="N14" i="16"/>
  <c r="L14" i="20" s="1"/>
  <c r="O3" i="16"/>
  <c r="Q18" i="16"/>
  <c r="Q16" i="16"/>
  <c r="Q14" i="16"/>
  <c r="S18" i="16"/>
  <c r="S16" i="16"/>
  <c r="S14" i="16"/>
  <c r="R18" i="16"/>
  <c r="R14" i="16"/>
  <c r="S22" i="16"/>
  <c r="R22" i="16"/>
  <c r="S21" i="16"/>
  <c r="R21" i="16"/>
  <c r="S20" i="16"/>
  <c r="R20" i="16"/>
  <c r="M7" i="16"/>
  <c r="R12" i="16"/>
  <c r="Q7" i="16"/>
  <c r="M9" i="16"/>
  <c r="M5" i="16"/>
  <c r="P5" i="16"/>
  <c r="R4" i="16"/>
  <c r="R3" i="16"/>
  <c r="M12" i="16"/>
  <c r="M11" i="16"/>
  <c r="M13" i="16"/>
  <c r="R13" i="16"/>
  <c r="R11" i="16"/>
  <c r="P13" i="16"/>
  <c r="P12" i="16"/>
  <c r="P11" i="16"/>
  <c r="S13" i="16"/>
  <c r="S12" i="16"/>
  <c r="S11" i="16"/>
  <c r="P9" i="16"/>
  <c r="P7" i="16"/>
  <c r="S7" i="16"/>
  <c r="R7" i="16"/>
  <c r="S5" i="16"/>
  <c r="R5" i="16"/>
  <c r="Q5" i="16"/>
  <c r="S9" i="16"/>
  <c r="R9" i="16"/>
  <c r="Q9" i="16"/>
  <c r="AR47" i="28" l="1"/>
  <c r="AR6" i="28"/>
  <c r="AR33" i="28"/>
  <c r="AR4" i="28"/>
  <c r="AR5" i="28"/>
  <c r="P44" i="20"/>
  <c r="X40" i="20"/>
  <c r="M37" i="20"/>
  <c r="Q71" i="20"/>
  <c r="P37" i="20"/>
  <c r="P56" i="20"/>
  <c r="X20" i="20"/>
  <c r="O16" i="20"/>
  <c r="K11" i="20"/>
  <c r="P21" i="20"/>
  <c r="P3" i="20"/>
  <c r="O22" i="20"/>
  <c r="Q34" i="20"/>
  <c r="K9" i="20"/>
  <c r="X23" i="20"/>
  <c r="P26" i="20"/>
  <c r="O7" i="20"/>
  <c r="O94" i="20"/>
  <c r="P94" i="20"/>
  <c r="AR7" i="28"/>
  <c r="AQ10" i="28"/>
  <c r="X50" i="20"/>
  <c r="AK54" i="20"/>
  <c r="Q81" i="20"/>
  <c r="P92" i="20"/>
  <c r="Q96" i="20"/>
  <c r="P9" i="20"/>
  <c r="P71" i="20"/>
  <c r="Q94" i="20"/>
  <c r="P91" i="20"/>
  <c r="P93" i="20"/>
  <c r="K5" i="20"/>
  <c r="M3" i="20"/>
  <c r="M96" i="20"/>
  <c r="P66" i="20"/>
  <c r="P76" i="20"/>
  <c r="O96" i="20"/>
  <c r="P58" i="20"/>
  <c r="Q66" i="20"/>
  <c r="Q76" i="20"/>
  <c r="M94" i="20"/>
  <c r="P96" i="20"/>
  <c r="O5" i="20"/>
  <c r="Q37" i="20"/>
  <c r="M39" i="20"/>
  <c r="X103" i="20"/>
  <c r="X105" i="20"/>
  <c r="M36" i="20"/>
  <c r="AK53" i="20"/>
  <c r="X21" i="20"/>
  <c r="Q52" i="20"/>
  <c r="X52" i="20"/>
  <c r="K32" i="20"/>
  <c r="Q13" i="20"/>
  <c r="P14" i="20"/>
  <c r="N5" i="20"/>
  <c r="P20" i="20"/>
  <c r="Q14" i="20"/>
  <c r="P11" i="20"/>
  <c r="Q20" i="20"/>
  <c r="X12" i="20"/>
  <c r="P34" i="20"/>
  <c r="N37" i="20"/>
  <c r="K13" i="20"/>
  <c r="Q23" i="20"/>
  <c r="K26" i="20"/>
  <c r="P24" i="20"/>
  <c r="Q24" i="20"/>
  <c r="P28" i="20"/>
  <c r="M34" i="20"/>
  <c r="X42" i="20"/>
  <c r="Q50" i="20"/>
  <c r="Q54" i="20"/>
  <c r="P57" i="20"/>
  <c r="N34" i="20"/>
  <c r="Q35" i="20"/>
  <c r="P62" i="20"/>
  <c r="O58" i="20"/>
  <c r="M58" i="20"/>
  <c r="X24" i="20"/>
  <c r="P38" i="20"/>
  <c r="X56" i="20"/>
  <c r="X46" i="20"/>
  <c r="K30" i="20"/>
  <c r="P23" i="20"/>
  <c r="X25" i="20"/>
  <c r="X11" i="20"/>
  <c r="Q11" i="20"/>
  <c r="Q21" i="20"/>
  <c r="N36" i="20"/>
  <c r="P13" i="20"/>
  <c r="P5" i="20"/>
  <c r="X3" i="20"/>
  <c r="N39" i="20"/>
  <c r="O21" i="20"/>
  <c r="Q16" i="20"/>
  <c r="O18" i="20"/>
  <c r="P32" i="20"/>
  <c r="N9" i="20"/>
  <c r="P39" i="20"/>
  <c r="AK52" i="20"/>
  <c r="P4" i="20"/>
  <c r="N13" i="20"/>
  <c r="AK50" i="20"/>
  <c r="AK55" i="20"/>
  <c r="Q38" i="20"/>
  <c r="P40" i="20"/>
  <c r="Q5" i="20"/>
  <c r="K28" i="20"/>
  <c r="K12" i="20"/>
  <c r="O9" i="20"/>
  <c r="N7" i="20"/>
  <c r="M35" i="20"/>
  <c r="Q39" i="20"/>
  <c r="P30" i="20"/>
  <c r="X38" i="20"/>
  <c r="Q25" i="20"/>
  <c r="O14" i="20"/>
  <c r="P22" i="20"/>
  <c r="P36" i="20"/>
  <c r="Q12" i="20"/>
  <c r="P12" i="20"/>
  <c r="X4" i="20"/>
  <c r="Q36" i="20"/>
  <c r="Q18" i="20"/>
  <c r="X22" i="20"/>
  <c r="K7" i="20"/>
  <c r="P7" i="20"/>
  <c r="X5" i="20"/>
  <c r="N35" i="20"/>
  <c r="X36" i="20"/>
  <c r="M38" i="20"/>
  <c r="P25" i="20"/>
  <c r="Q9" i="20"/>
  <c r="M4" i="20"/>
  <c r="Q22" i="20"/>
  <c r="N11" i="20"/>
  <c r="Q7" i="20"/>
  <c r="N12" i="20"/>
  <c r="P18" i="20"/>
  <c r="X7" i="20"/>
  <c r="O20" i="20"/>
  <c r="P35" i="20"/>
  <c r="Z36" i="20"/>
  <c r="N38" i="20"/>
  <c r="P42" i="20"/>
  <c r="AR50" i="28"/>
  <c r="X34" i="20"/>
  <c r="Z38" i="20"/>
  <c r="Z34" i="20"/>
  <c r="AP31" i="28"/>
  <c r="AR26" i="28"/>
  <c r="AR30" i="28"/>
  <c r="AQ31" i="28"/>
  <c r="AR31" i="28" s="1"/>
  <c r="AR28" i="28"/>
  <c r="AR27" i="28"/>
  <c r="AR25" i="28"/>
  <c r="AP10" i="28"/>
  <c r="AR10" i="28" s="1"/>
  <c r="AR9"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tc={6A3E6349-88F5-2446-A89B-C73625FC7B0A}</author>
    <author>tc={C5C631C7-026D-3F4E-B0C4-B090BF2323EE}</author>
    <author>tc={03A313D3-3105-B54D-B163-6E78D765E932}</author>
    <author>tc={450F0153-0036-294B-A1BA-A59794FB7DDD}</author>
    <author>tc={F5F37210-1F5C-C94F-89B0-862E141B17E1}</author>
    <author>tc={15367638-EFAC-0C41-B55C-5B4FA7B2AA11}</author>
    <author>tc={2826D8F8-8C46-8E40-A385-B99C9D0B935A}</author>
    <author>tc={5F59C648-AD66-D143-97E3-D07BBF4AA490}</author>
    <author>tc={276439B1-2C39-5F42-8BA2-E635AC9D8596}</author>
    <author>tc={B9E69DB7-82CB-9449-B6FA-3A8C63FA9C64}</author>
    <author>tc={9D170BF5-35AC-C44C-B49F-0E611B2F2558}</author>
    <author>tc={824C0FE7-EFC0-EA46-AE54-E4D7B32EEAA5}</author>
    <author>tc={EE120BF1-D8ED-4B44-BBB1-C3826D087EC8}</author>
    <author>tc={F2F510CC-3C04-5042-9FDC-AB132CA93F06}</author>
    <author>tc={9B49A14A-86A7-844F-B190-67A6FBD98089}</author>
    <author>tc={59D08123-DB9B-E54B-83D4-5DD256E67B1C}</author>
    <author>tc={0C67F604-5E6C-0547-88E8-FCDF095251CC}</author>
    <author>tc={4608B7E3-AFDC-A248-B817-BEB29833D130}</author>
    <author>tc={79841158-8AF9-F047-AD85-D356167F9CA1}</author>
    <author>tc={49B3072B-6D1D-4849-B4C6-B5F5FD45EBD0}</author>
    <author>tc={B685148D-65F6-1E47-B52B-41C00D4DCB29}</author>
    <author>tc={3FFA45E4-625C-8A49-AF9B-6E28F771F213}</author>
    <author>tc={C7282ED4-865D-564A-97BF-F8C8ACDF7F83}</author>
    <author>tc={1810750F-36C5-FB42-A27D-F2EC1B7DA355}</author>
    <author>tc={D860718F-7CBC-5F43-9708-6FBF3A261082}</author>
    <author>tc={4DFF3693-B654-EC4C-82CB-D96AC4AEC2C4}</author>
    <author>tc={C4EB45CD-FB6C-9144-917C-34BDF8464832}</author>
    <author>tc={CD51F4D8-6B87-3C49-A9FE-C84A4E857509}</author>
    <author>tc={990EB2FB-ED37-0641-B093-146D302DF083}</author>
    <author>tc={6D4B48E8-103D-C440-8BF9-84C326873A41}</author>
    <author>tc={D7CABF29-3BD9-2544-AB0B-94471F1B97F9}</author>
    <author>tc={13992C6F-0769-7A46-B6CC-0AFC91CC7B2E}</author>
    <author>tc={D48FBCD8-75AF-584E-A1E3-7F661D011C83}</author>
    <author>tc={B1C13DBE-16D9-8A42-9666-77A8C8E82ABB}</author>
    <author>tc={A4B5F789-3CC5-7B4F-A498-9454BE9E0E80}</author>
    <author>tc={2E7ABCE6-E944-1E41-A853-9D1B97896967}</author>
    <author>tc={92A12523-AB50-E242-9105-ED031B56FEAC}</author>
    <author>tc={CF71FFBB-FDA7-CF47-93D0-E649F6A09AC7}</author>
    <author>tc={4652B5EB-2CD6-DB4A-B902-5614304079B3}</author>
    <author>tc={A1166E22-D7FC-6049-A160-C47EAE67FA87}</author>
    <author>tc={82680F84-744E-534E-A51D-8F98CAB47B1D}</author>
    <author>tc={1DA98282-8EC2-5146-AB81-1F7C6AD0FB99}</author>
    <author>tc={198198DF-EB7A-4945-B22F-7B5265C94362}</author>
    <author>tc={5AA97D02-03D6-9E49-B019-3677474122C1}</author>
    <author>tc={7E5CBA7B-0495-4747-BF5F-8B20FF83AD16}</author>
    <author>tc={00CF5490-A834-AD4B-94BF-6684D804EE1D}</author>
    <author>tc={D7CA03C6-517B-AD4D-982F-F36682798AE0}</author>
    <author>tc={05BBBAA1-7587-2747-B620-7B4783E87718}</author>
    <author>tc={202FBA75-24D8-7645-B973-D0DB83AC892E}</author>
    <author>tc={E8B15734-41D5-BD48-A7CC-E32BB12250C0}</author>
    <author>tc={A115B99D-E82C-094C-BA13-E8E9E35B1E8E}</author>
    <author>tc={534CFD3C-4643-AF44-8FC7-B9B9C2CCFCE0}</author>
    <author>tc={5B4C0806-0643-2A4A-A89F-AA81B51A9FF7}</author>
    <author>tc={38BEEDCE-77C4-284B-AD67-1E6B6FA6A630}</author>
    <author>tc={BBBA6710-DF45-6746-B179-604A8F531EC0}</author>
    <author>tc={F81FAE21-5578-9C48-9001-765545D408E0}</author>
    <author>tc={EA5F1501-B0E2-B04D-9704-18ED522BE6D8}</author>
    <author>tc={33A42075-0B36-4C43-BCD2-4ABA7BCD5D6C}</author>
    <author>tc={7D8EA0DC-34F4-4E4D-88D8-8B36DBB40346}</author>
    <author>tc={F93E4D63-A1C7-6F4D-BA16-181289B02F60}</author>
    <author>tc={A87BC0C7-7B53-FE4F-B3F2-9466C58AD464}</author>
    <author>tc={A0092A61-0F9F-CE49-84C7-2001C282FDCB}</author>
    <author>tc={77E51F62-2DB2-F440-BC7E-65B28B3BF2F3}</author>
    <author>tc={A10397F7-A041-6C46-A536-770444A87F9B}</author>
    <author>tc={2D4A6ACA-49BF-9E4E-8EF8-75AEB65E5BF0}</author>
    <author>tc={B1984A5C-EC3D-E846-8EA2-A17511E0FFAA}</author>
    <author>tc={D930923F-85CD-3044-9939-AE8091EDE647}</author>
    <author>tc={9763A9D5-BC4E-9D4F-A06D-C72EFF1E44A5}</author>
    <author>tc={9183F6DA-B592-D44D-8750-D2B2568E935B}</author>
    <author>tc={45285DC9-175A-7C48-A65D-60D1D2F892F7}</author>
    <author>tc={F3A69D19-153F-3F44-8236-EF042EEA4142}</author>
    <author>tc={A2E19FE0-633B-DB4B-A32E-09ED98F217D5}</author>
    <author>tc={1FC13EAC-CD92-4242-905A-9E4E93660197}</author>
    <author>tc={CD0377A6-6D8C-8448-BC95-37A58B26DAF4}</author>
    <author>tc={9B9B74F2-39A6-7844-A3BD-5F80DB483ADE}</author>
    <author>tc={899CA7CF-6158-5242-89A7-0E11969E06D7}</author>
    <author>tc={743A5264-4B4D-F14C-BD3B-2562403166DA}</author>
    <author>tc={5AD6D61D-DCA9-6E4E-B777-AF0E32ECE623}</author>
  </authors>
  <commentList>
    <comment ref="V18" authorId="0" shapeId="0" xr:uid="{6A3E6349-88F5-2446-A89B-C73625FC7B0A}">
      <text>
        <t xml:space="preserve">[Threaded comment]
Your version of Excel allows you to read this threaded comment; however, any edits to it will get removed if the file is opened in a newer version of Excel. Learn more: https://go.microsoft.com/fwlink/?linkid=870924
Comment:
    Read naturally is a published program that is scripted.
</t>
      </text>
    </comment>
    <comment ref="X23" authorId="1" shapeId="0" xr:uid="{C5C631C7-026D-3F4E-B0C4-B090BF2323EE}">
      <text>
        <t>[Threaded comment]
Your version of Excel allows you to read this threaded comment; however, any edits to it will get removed if the file is opened in a newer version of Excel. Learn more: https://go.microsoft.com/fwlink/?linkid=870924
Comment:
    Subjects assigned to the same experimental condition met in groups of five in a private room with a female instructor, who was a member of the project staff from outside the school. There were two small groups for each experimental condition (total of six groups). The order in which groups met with the instructor was rotated to eliminate potential effects due to meeting time.</t>
      </text>
    </comment>
    <comment ref="AC23" authorId="2" shapeId="0" xr:uid="{03A313D3-3105-B54D-B163-6E78D765E932}">
      <text>
        <t>[Threaded comment]
Your version of Excel allows you to read this threaded comment; however, any edits to it will get removed if the file is opened in a newer version of Excel. Learn more: https://go.microsoft.com/fwlink/?linkid=870924
Comment:
    Our periodic observations of the sessions confirmed they were implemented correctly and that subjects maintained interest.</t>
      </text>
    </comment>
    <comment ref="AN36" authorId="3" shapeId="0" xr:uid="{450F0153-0036-294B-A1BA-A59794FB7DDD}">
      <text>
        <t>[Threaded comment]
Your version of Excel allows you to read this threaded comment; however, any edits to it will get removed if the file is opened in a newer version of Excel. Learn more: https://go.microsoft.com/fwlink/?linkid=870924
Comment:
    Not the same sample participate in the follow up test.</t>
      </text>
    </comment>
    <comment ref="H40" authorId="4" shapeId="0" xr:uid="{F5F37210-1F5C-C94F-89B0-862E141B17E1}">
      <text>
        <t xml:space="preserve">[Threaded comment]
Your version of Excel allows you to read this threaded comment; however, any edits to it will get removed if the file is opened in a newer version of Excel. Learn more: https://go.microsoft.com/fwlink/?linkid=870924
Comment:
    Or NV
</t>
      </text>
    </comment>
    <comment ref="Z40" authorId="5" shapeId="0" xr:uid="{15367638-EFAC-0C41-B55C-5B4FA7B2AA11}">
      <text>
        <t xml:space="preserve">[Threaded comment]
Your version of Excel allows you to read this threaded comment; however, any edits to it will get removed if the file is opened in a newer version of Excel. Learn more: https://go.microsoft.com/fwlink/?linkid=870924
Comment:
    6-week teacher-delivered integrated-class -&gt; we can assume this is part of their daily school lesson, so I count 6*5=30 as the total number of  sessions. The Email group can add two 30-min email sessions as described in the text. </t>
      </text>
    </comment>
    <comment ref="AC40" authorId="6" shapeId="0" xr:uid="{2826D8F8-8C46-8E40-A385-B99C9D0B935A}">
      <text>
        <t xml:space="preserve">[Threaded comment]
Your version of Excel allows you to read this threaded comment; however, any edits to it will get removed if the file is opened in a newer version of Excel. Learn more: https://go.microsoft.com/fwlink/?linkid=870924
Comment:
    The email process is monitored. 
</t>
      </text>
    </comment>
    <comment ref="P46" authorId="7" shapeId="0" xr:uid="{5F59C648-AD66-D143-97E3-D07BBF4AA490}">
      <text>
        <t>[Threaded comment]
Your version of Excel allows you to read this threaded comment; however, any edits to it will get removed if the file is opened in a newer version of Excel. Learn more: https://go.microsoft.com/fwlink/?linkid=870924
Comment:
    Further, the girls were from same socio-economic status. The girls’ mothers are housewives and their fathers’ occupations are primarily governmental ones with salaries that range between 350 and 420 Jordanian Dinars.</t>
      </text>
    </comment>
    <comment ref="X46" authorId="8" shapeId="0" xr:uid="{276439B1-2C39-5F42-8BA2-E635AC9D8596}">
      <text>
        <t>[Threaded comment]
Your version of Excel allows you to read this threaded comment; however, any edits to it will get removed if the file is opened in a newer version of Excel. Learn more: https://go.microsoft.com/fwlink/?linkid=870924
Comment:
    The students in CORI classes (M = 4.180) outperformed the students in the control group (M = 3.655),</t>
      </text>
    </comment>
    <comment ref="Z46" authorId="9" shapeId="0" xr:uid="{B9E69DB7-82CB-9449-B6FA-3A8C63FA9C64}">
      <text>
        <t xml:space="preserve">[Threaded comment]
Your version of Excel allows you to read this threaded comment; however, any edits to it will get removed if the file is opened in a newer version of Excel. Learn more: https://go.microsoft.com/fwlink/?linkid=870924
Comment:
    The 50-minute daily reading intervention program, implemented in the beginning of the second semester 2014 (from February to the end of May), was the main reading program for the total of 16 weeks.
</t>
      </text>
    </comment>
    <comment ref="Z48" authorId="10" shapeId="0" xr:uid="{9D170BF5-35AC-C44C-B49F-0E611B2F2558}">
      <text>
        <t xml:space="preserve">[Threaded comment]
Your version of Excel allows you to read this threaded comment; however, any edits to it will get removed if the file is opened in a newer version of Excel. Learn more: https://go.microsoft.com/fwlink/?linkid=870924
Comment:
    Pretest =   Oct  -  Nov
Post-test = May - July
Duration:     7.5 months
</t>
      </text>
    </comment>
    <comment ref="P50" authorId="11" shapeId="0" xr:uid="{824C0FE7-EFC0-EA46-AE54-E4D7B32EEAA5}">
      <text>
        <t>[Threaded comment]
Your version of Excel allows you to read this threaded comment; however, any edits to it will get removed if the file is opened in a newer version of Excel. Learn more: https://go.microsoft.com/fwlink/?linkid=870924
Comment:
    In addition, the SI schools were relatively high in SES and entering achievement. Thus, two of the highest achievement classrooms in SI schools and two of the lowestachieving classrooms in CORI schools were dropped to equate the entering reading achievement levels. This permitted the equivalent groups, pre- and postdesign analyses to be performed. There were 315 students included in these analyses.</t>
      </text>
    </comment>
    <comment ref="W50" authorId="12" shapeId="0" xr:uid="{EE120BF1-D8ED-4B44-BBB1-C3826D087EC8}">
      <text>
        <t>[Threaded comment]
Your version of Excel allows you to read this threaded comment; however, any edits to it will get removed if the file is opened in a newer version of Excel. Learn more: https://go.microsoft.com/fwlink/?linkid=870924
Comment:
    The instructional models were not scripts and required extensive expertise that not all teachers acquired.</t>
      </text>
    </comment>
    <comment ref="AG51" authorId="13" shapeId="0" xr:uid="{F2F510CC-3C04-5042-9FDC-AB132CA93F06}">
      <text>
        <t xml:space="preserve">[Threaded comment]
Your version of Excel allows you to read this threaded comment; however, any edits to it will get removed if the file is opened in a newer version of Excel. Learn more: https://go.microsoft.com/fwlink/?linkid=870924
Comment:
    Across-time correlation of these responses for parallel forms was r (151) = 0.46, p &lt; .001.
</t>
      </text>
    </comment>
    <comment ref="G56" authorId="14" shapeId="0" xr:uid="{9B49A14A-86A7-844F-B190-67A6FBD98089}">
      <text>
        <t xml:space="preserve">[Threaded comment]
Your version of Excel allows you to read this threaded comment; however, any edits to it will get removed if the file is opened in a newer version of Excel. Learn more: https://go.microsoft.com/fwlink/?linkid=870924
Comment:
    Data analysis
A quasi-experimental pre-post design consisting of an IG and a CG in first grade was used.
</t>
      </text>
    </comment>
    <comment ref="M56" authorId="15" shapeId="0" xr:uid="{59D08123-DB9B-E54B-83D4-5DD256E67B1C}">
      <text>
        <t>[Threaded comment]
Your version of Excel allows you to read this threaded comment; however, any edits to it will get removed if the file is opened in a newer version of Excel. Learn more: https://go.microsoft.com/fwlink/?linkid=870924
Comment:
    7 years and 6 months
= 7 + 6/12 = 7.5</t>
      </text>
    </comment>
    <comment ref="Q56" authorId="16" shapeId="0" xr:uid="{0C67F604-5E6C-0547-88E8-FCDF095251CC}">
      <text>
        <t xml:space="preserve">[Threaded comment]
Your version of Excel allows you to read this threaded comment; however, any edits to it will get removed if the file is opened in a newer version of Excel. Learn more: https://go.microsoft.com/fwlink/?linkid=870924
Comment:
    58 native Hebrew-speaking children,
</t>
      </text>
    </comment>
    <comment ref="Z56" authorId="17" shapeId="0" xr:uid="{4608B7E3-AFDC-A248-B817-BEB29833D130}">
      <text>
        <t>[Threaded comment]
Your version of Excel allows you to read this threaded comment; however, any edits to it will get removed if the file is opened in a newer version of Excel. Learn more: https://go.microsoft.com/fwlink/?linkid=870924
Comment:
    A six-month intervention (6*4 week), 5 days a week, 2 sessions per day, 45 minute per session.</t>
      </text>
    </comment>
    <comment ref="AB56" authorId="18" shapeId="0" xr:uid="{79841158-8AF9-F047-AD85-D356167F9CA1}">
      <text>
        <t xml:space="preserve">[Threaded comment]
Your version of Excel allows you to read this threaded comment; however, any edits to it will get removed if the file is opened in a newer version of Excel. Learn more: https://go.microsoft.com/fwlink/?linkid=870924
Comment:
    two weekly lessons (90minutes)
</t>
      </text>
    </comment>
    <comment ref="G58" authorId="19" shapeId="0" xr:uid="{49B3072B-6D1D-4849-B4C6-B5F5FD45EBD0}">
      <text>
        <t xml:space="preserve">[Threaded comment]
Your version of Excel allows you to read this threaded comment; however, any edits to it will get removed if the file is opened in a newer version of Excel. Learn more: https://go.microsoft.com/fwlink/?linkid=870924
Comment:
    Although the authors stated “We used a non-equivalent groups pretest-posttest design. (p. 525)”, their pre-test data on RC and motivational measures are non-significant (p. 531, Table 3). Therefore, we consider the groups are matched.
</t>
      </text>
    </comment>
    <comment ref="S58" authorId="20" shapeId="0" xr:uid="{B685148D-65F6-1E47-B52B-41C00D4DCB29}">
      <text>
        <t xml:space="preserve">[Threaded comment]
Your version of Excel allows you to read this threaded comment; however, any edits to it will get removed if the file is opened in a newer version of Excel. Learn more: https://go.microsoft.com/fwlink/?linkid=870924
Comment:
    The vast majority of the participants were white native speakers of Norwegian, with only 14 participants (12 in the intervention group, 2 in the control group) having a first language other than Norwegian,
</t>
      </text>
    </comment>
    <comment ref="V58" authorId="21" shapeId="0" xr:uid="{3FFA45E4-625C-8A49-AF9B-6E28F771F213}">
      <text>
        <t xml:space="preserve">[Threaded comment]
Your version of Excel allows you to read this threaded comment; however, any edits to it will get removed if the file is opened in a newer version of Excel. Learn more: https://go.microsoft.com/fwlink/?linkid=870924
Comment:
    P55 The instructional content consisted of topics from the Norwegian national fifth-grade social studies curriculum. This content area was chosen because all teachers involved in the intervention taught social studies in their fifth-grade class- rooms. Moreover, social studies require extensive expository text comprehension. The specific topics of instruction were Nordic Stone Age, Bronze Age, and Iron Age, as well as Norwegian natural landscape and geography. The same topics were taught in the same order to the control group during the same period. Within ERCI, teachers attempted to use the following four instructional practices, which were derived from the principles of relevant background knowledge, reading comprehension strategies, reading-group organization, and reading motivation (see above).
</t>
      </text>
    </comment>
    <comment ref="AM59" authorId="22" shapeId="0" xr:uid="{C7282ED4-865D-564A-97BF-F8C8ACDF7F83}">
      <text>
        <t>[Threaded comment]
Your version of Excel allows you to read this threaded comment; however, any edits to it will get removed if the file is opened in a newer version of Excel. Learn more: https://go.microsoft.com/fwlink/?linkid=870924
Comment:
    p. 532. The third research question, concerning the effects of our intervention on reading comprehension … Eighty-nine students in the intervention group and 90 students in the control group had complete data sets and were available for this analysis.</t>
      </text>
    </comment>
    <comment ref="G66" authorId="23" shapeId="0" xr:uid="{1810750F-36C5-FB42-A27D-F2EC1B7DA355}">
      <text>
        <t>[Threaded comment]
Your version of Excel allows you to read this threaded comment; however, any edits to it will get removed if the file is opened in a newer version of Excel. Learn more: https://go.microsoft.com/fwlink/?linkid=870924
Comment:
    The groups were selected so that the conditions were dispersed between the teachers, with each teacher teaching two different conditions to control for teacher effects: teacher 1 taught a control condition and a textbook ISR condition, teacher 2 taught a control condition and a module ISR condition, and teacher 3 taught a textbook ISR condition and a module ISR condition.
Reply:
    and the school randomly assigned those students to the classes in this study.</t>
      </text>
    </comment>
    <comment ref="AK66" authorId="24" shapeId="0" xr:uid="{D860718F-7CBC-5F43-9708-6FBF3A261082}">
      <text>
        <t>[Threaded comment]
Your version of Excel allows you to read this threaded comment; however, any edits to it will get removed if the file is opened in a newer version of Excel. Learn more: https://go.microsoft.com/fwlink/?linkid=870924
Comment:
    Table 4 Reading comprehension with total reading ability as the covariate: control versus textbook ISR versus module ISR
Will contact author for raw data</t>
      </text>
    </comment>
    <comment ref="G85" authorId="25" shapeId="0" xr:uid="{4DFF3693-B654-EC4C-82CB-D96AC4AEC2C4}">
      <text>
        <t>[Threaded comment]
Your version of Excel allows you to read this threaded comment; however, any edits to it will get removed if the file is opened in a newer version of Excel. Learn more: https://go.microsoft.com/fwlink/?linkid=870924
Comment:
    As in Study 1, we used an equivalent groups pretest–posttest design (Pedhazur &amp; Schmelkin, 1991).</t>
      </text>
    </comment>
    <comment ref="O87" authorId="26" shapeId="0" xr:uid="{C4EB45CD-FB6C-9144-917C-34BDF8464832}">
      <text>
        <t>[Threaded comment]
Your version of Excel allows you to read this threaded comment; however, any edits to it will get removed if the file is opened in a newer version of Excel. Learn more: https://go.microsoft.com/fwlink/?linkid=870924
Comment:
    The table reported the percentage as 11%</t>
      </text>
    </comment>
    <comment ref="AQ91" authorId="27" shapeId="0" xr:uid="{CD51F4D8-6B87-3C49-A9FE-C84A4E857509}">
      <text>
        <t>[Threaded comment]
Your version of Excel allows you to read this threaded comment; however, any edits to it will get removed if the file is opened in a newer version of Excel. Learn more: https://go.microsoft.com/fwlink/?linkid=870924
Comment:
    from mid-March to mid-May, 2020, and follow-up measurements from October to November 2020.
7 mo = mid-March to mid-October</t>
      </text>
    </comment>
    <comment ref="G94" authorId="28" shapeId="0" xr:uid="{990EB2FB-ED37-0641-B093-146D302DF083}">
      <text>
        <t>[Threaded comment]
Your version of Excel allows you to read this threaded comment; however, any edits to it will get removed if the file is opened in a newer version of Excel. Learn more: https://go.microsoft.com/fwlink/?linkid=870924
Comment:
    Because students in the two experimental conditions received essentially similar treatments and because there were no differences in pre- and posttest outcomes by condition, we simplified our main analysis and presentation of the results by combining the two conditions (MS and MS-H).
Reply:
    Combine two intervention groups into 1 - can this still be considered as RCT?</t>
      </text>
    </comment>
    <comment ref="AE94" authorId="29" shapeId="0" xr:uid="{6D4B48E8-103D-C440-8BF9-84C326873A41}">
      <text>
        <t>[Threaded comment]
Your version of Excel allows you to read this threaded comment; however, any edits to it will get removed if the file is opened in a newer version of Excel. Learn more: https://go.microsoft.com/fwlink/?linkid=870924
Comment:
    Primary grade students are only tested for Reading Skills and ... No, MAP is not a standardized test. It is an adaptive test and is ... 
https://blog.etutorworld.com/map-testing-measure-of-academic-progress/</t>
      </text>
    </comment>
    <comment ref="P98" authorId="30" shapeId="0" xr:uid="{D7CABF29-3BD9-2544-AB0B-94471F1B97F9}">
      <text>
        <t>[Threaded comment]
Your version of Excel allows you to read this threaded comment; however, any edits to it will get removed if the file is opened in a newer version of Excel. Learn more: https://go.microsoft.com/fwlink/?linkid=870924
Comment:
    children mostly came from lower-class families,</t>
      </text>
    </comment>
    <comment ref="X98" authorId="31" shapeId="0" xr:uid="{13992C6F-0769-7A46-B6CC-0AFC91CC7B2E}">
      <text>
        <t>[Threaded comment]
Your version of Excel allows you to read this threaded comment; however, any edits to it will get removed if the file is opened in a newer version of Excel. Learn more: https://go.microsoft.com/fwlink/?linkid=870924
Comment:
    Condition 1 – Direct instruction integrated with the jigsaw approach. In lessons 1 and 2, the teacher taught the text following a whole-class approach. In lessons 3–5, students were assigned to six home groups comprising students of different ability, with five to six students in each group.</t>
      </text>
    </comment>
    <comment ref="AQ98" authorId="32" shapeId="0" xr:uid="{D48FBCD8-75AF-584E-A1E3-7F661D011C83}">
      <text>
        <t>[Threaded comment]
Your version of Excel allows you to read this threaded comment; however, any edits to it will get removed if the file is opened in a newer version of Excel. Learn more: https://go.microsoft.com/fwlink/?linkid=870924
Comment:
    Students in the jigsaw group also performed better on understanding the story than the control group in the re-test after 3 months.</t>
      </text>
    </comment>
    <comment ref="V101" authorId="33" shapeId="0" xr:uid="{B1C13DBE-16D9-8A42-9666-77A8C8E82ABB}">
      <text>
        <t>[Threaded comment]
Your version of Excel allows you to read this threaded comment; however, any edits to it will get removed if the file is opened in a newer version of Excel. Learn more: https://go.microsoft.com/fwlink/?linkid=870924
Comment:
    Reading Materials  Students selected books of their own choice from the list of books recommended for third-grade students by the school. In the treatment classroom, the less proficient readers of the pair selected books from the list.</t>
      </text>
    </comment>
    <comment ref="Q103" authorId="34" shapeId="0" xr:uid="{A4B5F789-3CC5-7B4F-A498-9454BE9E0E80}">
      <text>
        <t>[Threaded comment]
Your version of Excel allows you to read this threaded comment; however, any edits to it will get removed if the file is opened in a newer version of Excel. Learn more: https://go.microsoft.com/fwlink/?linkid=870924
Comment:
    Three models were run: one involving only ELs (n 1⁄4 76), one with only native English speakers (n 1⁄4 125), and one in which students were not separated by language status (n 1⁄4 203).</t>
      </text>
    </comment>
    <comment ref="AB103" authorId="35" shapeId="0" xr:uid="{2E7ABCE6-E944-1E41-A853-9D1B97896967}">
      <text>
        <t xml:space="preserve">[Threaded comment]
Your version of Excel allows you to read this threaded comment; however, any edits to it will get removed if the file is opened in a newer version of Excel. Learn more: https://go.microsoft.com/fwlink/?linkid=870924
Comment:
    The dosage info can be found in the limitation section! </t>
      </text>
    </comment>
    <comment ref="AN103" authorId="36" shapeId="0" xr:uid="{92A12523-AB50-E242-9105-ED031B56FEAC}">
      <text>
        <t>[Threaded comment]
Your version of Excel allows you to read this threaded comment; however, any edits to it will get removed if the file is opened in a newer version of Excel. Learn more: https://go.microsoft.com/fwlink/?linkid=870924
Comment:
    Waitlist design. The condition changed before the delayed posttest.</t>
      </text>
    </comment>
    <comment ref="G109" authorId="37" shapeId="0" xr:uid="{CF71FFBB-FDA7-CF47-93D0-E649F6A09AC7}">
      <text>
        <t xml:space="preserve">[Threaded comment]
Your version of Excel allows you to read this threaded comment; however, any edits to it will get removed if the file is opened in a newer version of Excel. Learn more: https://go.microsoft.com/fwlink/?linkid=870924
Comment:
    RCT - class level
</t>
      </text>
    </comment>
    <comment ref="AB109" authorId="38" shapeId="0" xr:uid="{4652B5EB-2CD6-DB4A-B902-5614304079B3}">
      <text>
        <t xml:space="preserve">[Threaded comment]
Your version of Excel allows you to read this threaded comment; however, any edits to it will get removed if the file is opened in a newer version of Excel. Learn more: https://go.microsoft.com/fwlink/?linkid=870924
Comment:
    The dosage info can be found in the limitation section! </t>
      </text>
    </comment>
    <comment ref="G143" authorId="39" shapeId="0" xr:uid="{A1166E22-D7FC-6049-A160-C47EAE67FA87}">
      <text>
        <t>[Threaded comment]
Your version of Excel allows you to read this threaded comment; however, any edits to it will get removed if the file is opened in a newer version of Excel. Learn more: https://go.microsoft.com/fwlink/?linkid=870924
Comment:
    This study incorporated multi-site cluster-randomized design.
In each school, researchers randomly assigned teachers to treatment or control conditions within each grade level.</t>
      </text>
    </comment>
    <comment ref="AF167" authorId="40" shapeId="0" xr:uid="{82680F84-744E-534E-A51D-8F98CAB47B1D}">
      <text>
        <t xml:space="preserve">[Threaded comment]
Your version of Excel allows you to read this threaded comment; however, any edits to it will get removed if the file is opened in a newer version of Excel. Learn more: https://go.microsoft.com/fwlink/?linkid=870924
Comment:
    Text comprehension. Text comprehension tasks were designed to be similar to reading activities, which were prominent in the traditional classrooms.
- over align with TI, not the intervention condition
</t>
      </text>
    </comment>
    <comment ref="AN167" authorId="41" shapeId="0" xr:uid="{1DA98282-8EC2-5146-AB81-1F7C6AD0FB99}">
      <text>
        <t>[Threaded comment]
Your version of Excel allows you to read this threaded comment; however, any edits to it will get removed if the file is opened in a newer version of Excel. Learn more: https://go.microsoft.com/fwlink/?linkid=870924
Comment:
    Waitlist design. The condition changed before the delayed posttest.</t>
      </text>
    </comment>
    <comment ref="AF168" authorId="42" shapeId="0" xr:uid="{198198DF-EB7A-4945-B22F-7B5265C94362}">
      <text>
        <t xml:space="preserve">[Threaded comment]
Your version of Excel allows you to read this threaded comment; however, any edits to it will get removed if the file is opened in a newer version of Excel. Learn more: https://go.microsoft.com/fwlink/?linkid=870924
Comment:
    Text comprehension. Text comprehension tasks were designed to be similar to reading activities, which were prominent in the traditional classrooms.
- over align with TI, not the intervention condition
</t>
      </text>
    </comment>
    <comment ref="AF169" authorId="43" shapeId="0" xr:uid="{5AA97D02-03D6-9E49-B019-3677474122C1}">
      <text>
        <t xml:space="preserve">[Threaded comment]
Your version of Excel allows you to read this threaded comment; however, any edits to it will get removed if the file is opened in a newer version of Excel. Learn more: https://go.microsoft.com/fwlink/?linkid=870924
Comment:
    Text comprehension. Text comprehension tasks were designed to be similar to reading activities, which were prominent in the traditional classrooms.
- over align with TI, not the intervention condition
</t>
      </text>
    </comment>
    <comment ref="AF177" authorId="44" shapeId="0" xr:uid="{7E5CBA7B-0495-4747-BF5F-8B20FF83AD16}">
      <text>
        <t xml:space="preserve">[Threaded comment]
Your version of Excel allows you to read this threaded comment; however, any edits to it will get removed if the file is opened in a newer version of Excel. Learn more: https://go.microsoft.com/fwlink/?linkid=870924
Comment:
    Text comprehension. Text comprehension tasks were designed to be similar to reading activities, which were prominent in the traditional classrooms.
- over align with TI, not the intervention condition
</t>
      </text>
    </comment>
    <comment ref="AF178" authorId="45" shapeId="0" xr:uid="{00CF5490-A834-AD4B-94BF-6684D804EE1D}">
      <text>
        <t xml:space="preserve">[Threaded comment]
Your version of Excel allows you to read this threaded comment; however, any edits to it will get removed if the file is opened in a newer version of Excel. Learn more: https://go.microsoft.com/fwlink/?linkid=870924
Comment:
    Text comprehension. Text comprehension tasks were designed to be similar to reading activities, which were prominent in the traditional classrooms.
- over align with TI, not the intervention condition
</t>
      </text>
    </comment>
    <comment ref="AF179" authorId="46" shapeId="0" xr:uid="{D7CA03C6-517B-AD4D-982F-F36682798AE0}">
      <text>
        <t xml:space="preserve">[Threaded comment]
Your version of Excel allows you to read this threaded comment; however, any edits to it will get removed if the file is opened in a newer version of Excel. Learn more: https://go.microsoft.com/fwlink/?linkid=870924
Comment:
    Text comprehension. Text comprehension tasks were designed to be similar to reading activities, which were prominent in the traditional classrooms.
- over align with TI, not the intervention condition
</t>
      </text>
    </comment>
    <comment ref="L187" authorId="47" shapeId="0" xr:uid="{05BBBAA1-7587-2747-B620-7B4783E87718}">
      <text>
        <t>[Threaded comment]
Your version of Excel allows you to read this threaded comment; however, any edits to it will get removed if the file is opened in a newer version of Excel. Learn more: https://go.microsoft.com/fwlink/?linkid=870924
Comment:
    Netherlands secondary grades (12-14 years of age)
Reply:
    We selected students in their first year of secondary education (12–14 years of age).</t>
      </text>
    </comment>
    <comment ref="AC189" authorId="48" shapeId="0" xr:uid="{202FBA75-24D8-7645-B973-D0DB83AC892E}">
      <text>
        <t>[Threaded comment]
Your version of Excel allows you to read this threaded comment; however, any edits to it will get removed if the file is opened in a newer version of Excel. Learn more: https://go.microsoft.com/fwlink/?linkid=870924
Comment:
    Occasional observations by the authors confirmed that it was properly implemented.</t>
      </text>
    </comment>
    <comment ref="Z196" authorId="49" shapeId="0" xr:uid="{E8B15734-41D5-BD48-A7CC-E32BB12250C0}">
      <text>
        <t>[Threaded comment]
Your version of Excel allows you to read this threaded comment; however, any edits to it will get removed if the file is opened in a newer version of Excel. Learn more: https://go.microsoft.com/fwlink/?linkid=870924
Comment:
    Over the course of the five-week program, students received a total of 40 hours of  instruction, delivered by head teachers who were supported by undergraduate assistant  teachers.</t>
      </text>
    </comment>
    <comment ref="AB196" authorId="50" shapeId="0" xr:uid="{A115B99D-E82C-094C-BA13-E8E9E35B1E8E}">
      <text>
        <t>[Threaded comment]
Your version of Excel allows you to read this threaded comment; however, any edits to it will get removed if the file is opened in a newer version of Excel. Learn more: https://go.microsoft.com/fwlink/?linkid=870924
Comment:
    Each group received one hour of daily instruction in both the RAVE-O and  Wilson Reading programs’ curricula proven to improve fluency and phonics skills  respectively</t>
      </text>
    </comment>
    <comment ref="B198" authorId="51" shapeId="0" xr:uid="{534CFD3C-4643-AF44-8FC7-B9B9C2CCFCE0}">
      <text>
        <t>[Threaded comment]
Your version of Excel allows you to read this threaded comment; however, any edits to it will get removed if the file is opened in a newer version of Excel. Learn more: https://go.microsoft.com/fwlink/?linkid=870924
Comment:
    CAI</t>
      </text>
    </comment>
    <comment ref="N200" authorId="52" shapeId="0" xr:uid="{5B4C0806-0643-2A4A-A89F-AA81B51A9FF7}">
      <text>
        <t>[Threaded comment]
Your version of Excel allows you to read this threaded comment; however, any edits to it will get removed if the file is opened in a newer version of Excel. Learn more: https://go.microsoft.com/fwlink/?linkid=870924
Comment:
    All students had active IEPs that included reading goals.</t>
      </text>
    </comment>
    <comment ref="AD202" authorId="53" shapeId="0" xr:uid="{38BEEDCE-77C4-284B-AD67-1E6B6FA6A630}">
      <text>
        <t>[Threaded comment]
Your version of Excel allows you to read this threaded comment; however, any edits to it will get removed if the file is opened in a newer version of Excel. Learn more: https://go.microsoft.com/fwlink/?linkid=870924
Comment:
    The MAP reading test comprises four areas, Word Meaning, Literal Comprehension, Interpretive Comprehension, and Evaluative Comprehension, which compose an overall MAP reading score.</t>
      </text>
    </comment>
    <comment ref="AD205" authorId="54" shapeId="0" xr:uid="{BBBA6710-DF45-6746-B179-604A8F531EC0}">
      <text>
        <t>[Threaded comment]
Your version of Excel allows you to read this threaded comment; however, any edits to it will get removed if the file is opened in a newer version of Excel. Learn more: https://go.microsoft.com/fwlink/?linkid=870924
Comment:
    The MAP reading test comprises four areas, Word Meaning, Literal Comprehension, Interpretive Comprehension, and Evaluative Comprehension, which compose an overall MAP reading score.</t>
      </text>
    </comment>
    <comment ref="P206" authorId="55" shapeId="0" xr:uid="{F81FAE21-5578-9C48-9001-765545D408E0}">
      <text>
        <t>[Threaded comment]
Your version of Excel allows you to read this threaded comment; however, any edits to it will get removed if the file is opened in a newer version of Excel. Learn more: https://go.microsoft.com/fwlink/?linkid=870924
Comment:
    children predominantly were lower-middle class.</t>
      </text>
    </comment>
    <comment ref="P210" authorId="56" shapeId="0" xr:uid="{EA5F1501-B0E2-B04D-9704-18ED522BE6D8}">
      <text>
        <t>[Threaded comment]
Your version of Excel allows you to read this threaded comment; however, any edits to it will get removed if the file is opened in a newer version of Excel. Learn more: https://go.microsoft.com/fwlink/?linkid=870924
Comment:
    childrenpredominantlywere lower middle class</t>
      </text>
    </comment>
    <comment ref="Z213" authorId="57" shapeId="0" xr:uid="{33A42075-0B36-4C43-BCD2-4ABA7BCD5D6C}">
      <text>
        <t>[Threaded comment]
Your version of Excel allows you to read this threaded comment; however, any edits to it will get removed if the file is opened in a newer version of Excel. Learn more: https://go.microsoft.com/fwlink/?linkid=870924
Comment:
    Not reported directly. Estimate to be the same as the PI group.
Reply:
    Reading is organized on a daily basis, integrated in other activities, without a fixed time schedule.</t>
      </text>
    </comment>
    <comment ref="P215" authorId="58" shapeId="0" xr:uid="{7D8EA0DC-34F4-4E4D-88D8-8B36DBB40346}">
      <text>
        <t>[Threaded comment]
Your version of Excel allows you to read this threaded comment; however, any edits to it will get removed if the file is opened in a newer version of Excel. Learn more: https://go.microsoft.com/fwlink/?linkid=870924
Comment:
    the median household income was CAN$100,000 to CAN$124,999.</t>
      </text>
    </comment>
    <comment ref="Q215" authorId="59" shapeId="0" xr:uid="{F93E4D63-A1C7-6F4D-BA16-181289B02F60}">
      <text>
        <t>[Threaded comment]
Your version of Excel allows you to read this threaded comment; however, any edits to it will get removed if the file is opened in a newer version of Excel. Learn more: https://go.microsoft.com/fwlink/?linkid=870924
Comment:
    the primary language spoken at home by the final sample of 25 students was either English or English and French</t>
      </text>
    </comment>
    <comment ref="A221" authorId="60" shapeId="0" xr:uid="{A87BC0C7-7B53-FE4F-B3F2-9466C58AD464}">
      <text>
        <t>[Threaded comment]
Your version of Excel allows you to read this threaded comment; however, any edits to it will get removed if the file is opened in a newer version of Excel. Learn more: https://go.microsoft.com/fwlink/?linkid=870924
Comment:
    Demographic info is on page 33-35. Table 2 has most of the info (pp.35).
Reply:
    Dosage = 20 RN + 10 Read Aloud</t>
      </text>
    </comment>
    <comment ref="G221" authorId="61" shapeId="0" xr:uid="{A0092A61-0F9F-CE49-84C7-2001C282FDCB}">
      <text>
        <t>[Threaded comment]
Your version of Excel allows you to read this threaded comment; however, any edits to it will get removed if the file is opened in a newer version of Excel. Learn more: https://go.microsoft.com/fwlink/?linkid=870924
Comment:
    students with  learning disabilities (LD) and other high incidence disabilities were stratified by class and  randomly assigned to one of three conditions:</t>
      </text>
    </comment>
    <comment ref="G233" authorId="62" shapeId="0" xr:uid="{77E51F62-2DB2-F440-BC7E-65B28B3BF2F3}">
      <text>
        <t>[Threaded comment]
Your version of Excel allows you to read this threaded comment; however, any edits to it will get removed if the file is opened in a newer version of Excel. Learn more: https://go.microsoft.com/fwlink/?linkid=870924
Comment:
    [INDIVIDUAL] Students from each class were randomly assigned to one of four instruction conditions.</t>
      </text>
    </comment>
    <comment ref="AF233" authorId="63" shapeId="0" xr:uid="{A10397F7-A041-6C46-A536-770444A87F9B}">
      <text>
        <t>[Threaded comment]
Your version of Excel allows you to read this threaded comment; however, any edits to it will get removed if the file is opened in a newer version of Excel. Learn more: https://go.microsoft.com/fwlink/?linkid=870924
Comment:
    For each test a passage similar to those used for the reading tasks in Phase 2 was employed</t>
      </text>
    </comment>
    <comment ref="AQ233" authorId="64" shapeId="0" xr:uid="{2D4A6ACA-49BF-9E4E-8EF8-75AEB65E5BF0}">
      <text>
        <t>[Threaded comment]
Your version of Excel allows you to read this threaded comment; however, any edits to it will get removed if the file is opened in a newer version of Excel. Learn more: https://go.microsoft.com/fwlink/?linkid=870924
Comment:
    four weeks after (maintenance test).</t>
      </text>
    </comment>
    <comment ref="G237" authorId="65" shapeId="0" xr:uid="{B1984A5C-EC3D-E846-8EA2-A17511E0FFAA}">
      <text>
        <t>[Threaded comment]
Your version of Excel allows you to read this threaded comment; however, any edits to it will get removed if the file is opened in a newer version of Excel. Learn more: https://go.microsoft.com/fwlink/?linkid=870924
Comment:
    [INDIVIDUAL] Students from each class were randomly assigned to one of four instruction conditions.</t>
      </text>
    </comment>
    <comment ref="A241" authorId="66" shapeId="0" xr:uid="{D930923F-85CD-3044-9939-AE8091EDE647}">
      <text>
        <t>[Threaded comment]
Your version of Excel allows you to read this threaded comment; however, any edits to it will get removed if the file is opened in a newer version of Excel. Learn more: https://go.microsoft.com/fwlink/?linkid=870924
Comment:
    Table 2 on page 98</t>
      </text>
    </comment>
    <comment ref="AA241" authorId="67" shapeId="0" xr:uid="{9763A9D5-BC4E-9D4F-A06D-C72EFF1E44A5}">
      <text>
        <t>[Threaded comment]
Your version of Excel allows you to read this threaded comment; however, any edits to it will get removed if the file is opened in a newer version of Excel. Learn more: https://go.microsoft.com/fwlink/?linkid=870924
Comment:
    The instruction was provided for forty minutes a day for  eight weeks to social studies classes.</t>
      </text>
    </comment>
    <comment ref="AJ241" authorId="68" shapeId="0" xr:uid="{9183F6DA-B592-D44D-8750-D2B2568E935B}">
      <text>
        <t xml:space="preserve">[Threaded comment]
Your version of Excel allows you to read this threaded comment; however, any edits to it will get removed if the file is opened in a newer version of Excel. Learn more: https://go.microsoft.com/fwlink/?linkid=870924
Comment:
    Cannot find the exact # of students in each group.
</t>
      </text>
    </comment>
    <comment ref="A245" authorId="69" shapeId="0" xr:uid="{45285DC9-175A-7C48-A65D-60D1D2F892F7}">
      <text>
        <t>[Threaded comment]
Your version of Excel allows you to read this threaded comment; however, any edits to it will get removed if the file is opened in a newer version of Excel. Learn more: https://go.microsoft.com/fwlink/?linkid=870924
Comment:
    Table 2 on page 98</t>
      </text>
    </comment>
    <comment ref="G249" authorId="70" shapeId="0" xr:uid="{F3A69D19-153F-3F44-8236-EF042EEA4142}">
      <text>
        <t>[Threaded comment]
Your version of Excel allows you to read this threaded comment; however, any edits to it will get removed if the file is opened in a newer version of Excel. Learn more: https://go.microsoft.com/fwlink/?linkid=870924
Comment:
    Sixty children with LD were randomly assigned to three groups of 20 students. Two groups received the experimental treatment: self-instructional training and self-instructional plus attributional training</t>
      </text>
    </comment>
    <comment ref="AQ249" authorId="71" shapeId="0" xr:uid="{A2E19FE0-633B-DB4B-A32E-09ED98F217D5}">
      <text>
        <t>[Threaded comment]
Your version of Excel allows you to read this threaded comment; however, any edits to it will get removed if the file is opened in a newer version of Excel. Learn more: https://go.microsoft.com/fwlink/?linkid=870924
Comment:
    2 months later</t>
      </text>
    </comment>
    <comment ref="G258" authorId="72" shapeId="0" xr:uid="{1FC13EAC-CD92-4242-905A-9E4E93660197}">
      <text>
        <t>[Threaded comment]
Your version of Excel allows you to read this threaded comment; however, any edits to it will get removed if the file is opened in a newer version of Excel. Learn more: https://go.microsoft.com/fwlink/?linkid=870924
Comment:
    Didn’t mention RANDOM</t>
      </text>
    </comment>
    <comment ref="AA260" authorId="73" shapeId="0" xr:uid="{CD0377A6-6D8C-8448-BC95-37A58B26DAF4}">
      <text>
        <t xml:space="preserve">[Threaded comment]
Your version of Excel allows you to read this threaded comment; however, any edits to it will get removed if the file is opened in a newer version of Excel. Learn more: https://go.microsoft.com/fwlink/?linkid=870924
Comment:
    See fig 2
</t>
      </text>
    </comment>
    <comment ref="AB260" authorId="74" shapeId="0" xr:uid="{9B9B74F2-39A6-7844-A3BD-5F80DB483ADE}">
      <text>
        <t>[Threaded comment]
Your version of Excel allows you to read this threaded comment; however, any edits to it will get removed if the file is opened in a newer version of Excel. Learn more: https://go.microsoft.com/fwlink/?linkid=870924
Comment:
    20 class period. In Germany, class periods are normally 45 minutes long.</t>
      </text>
    </comment>
    <comment ref="A303" authorId="75" shapeId="0" xr:uid="{899CA7CF-6158-5242-89A7-0E11969E06D7}">
      <text>
        <t>[Threaded comment]
Your version of Excel allows you to read this threaded comment; however, any edits to it will get removed if the file is opened in a newer version of Excel. Learn more: https://go.microsoft.com/fwlink/?linkid=870924
Comment:
    Demographic Data table is on page 26
Reply:
    Number of minutes - table 4</t>
      </text>
    </comment>
    <comment ref="AH303" authorId="76" shapeId="0" xr:uid="{743A5264-4B4D-F14C-BD3B-2562403166DA}">
      <text>
        <t xml:space="preserve">[Threaded comment]
Your version of Excel allows you to read this threaded comment; however, any edits to it will get removed if the file is opened in a newer version of Excel. Learn more: https://go.microsoft.com/fwlink/?linkid=870924
Comment:
    Not sig.
</t>
      </text>
    </comment>
    <comment ref="H305" authorId="77" shapeId="0" xr:uid="{5AD6D61D-DCA9-6E4E-B777-AF0E32ECE623}">
      <text>
        <t>[Threaded comment]
Your version of Excel allows you to read this threaded comment; however, any edits to it will get removed if the file is opened in a newer version of Excel. Learn more: https://go.microsoft.com/fwlink/?linkid=870924
Comment:
    Can be G only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tc={63D52874-6D89-684B-BD33-D3766C3A5C4C}</author>
    <author>tc={490CB2BE-BC1D-4BDC-9712-0453DC5255AE}</author>
    <author>tc={B7DFB100-FEB1-9947-BCF3-E28F783AA852}</author>
    <author>tc={47C5F538-CECD-0F4E-86DA-FFAA05228925}</author>
    <author>tc={F0907F58-9AD4-AE4B-93F3-88A69D039637}</author>
    <author>tc={86E875B0-2F42-814E-A1E6-B048B4A3F8D5}</author>
    <author>tc={D47E5083-379C-49E5-8C7B-71D8529CE4B0}</author>
    <author>tc={C745E283-A86B-DF4C-B835-FB6BA773DB50}</author>
    <author>tc={54099CBC-A351-504F-890D-6FC91B744B2D}</author>
    <author>tc={D0DF8830-CCF3-D54C-A8AF-2118B2BDB1A0}</author>
    <author>tc={765F3FF1-3DB7-C446-A6F0-DF673A36DD6C}</author>
    <author>tc={39CDCD51-8923-8A42-A757-F5752B602441}</author>
    <author>tc={FBC63844-DC91-FA4B-B6C4-8C6A3CCB3A81}</author>
    <author>tc={C6A62D0F-4878-D84D-A085-2B149BE1EC1E}</author>
    <author>tc={18428521-4CD6-324F-9973-1E1989DA5C46}</author>
    <author>tc={3571807A-2084-FF48-B11B-33B543417DEF}</author>
    <author>tc={DF8437D5-5C05-2843-B409-25A4304171FE}</author>
    <author>tc={343015DF-AEA9-2349-95A1-F9B28E459D35}</author>
    <author>tc={3E4FFAE6-71F1-3441-B3DB-7EB8CC063F76}</author>
    <author>tc={10F97D06-D13B-7948-BA3B-0A33B0797751}</author>
    <author>tc={597DB333-656E-CE45-879A-CE3B2C78C121}</author>
    <author>tc={DC16C6D3-2F53-9D45-B06D-D3F85963730F}</author>
    <author>tc={08F74B5A-AFE3-4547-A476-C9469C205A1A}</author>
    <author>tc={25D4FC43-B9A9-254F-88E7-F1C6CE6CAD2A}</author>
    <author>tc={11C765E1-B241-6F44-B8BD-700E2B325AD9}</author>
    <author>tc={15BF5B7D-8C11-DA4C-81D4-2BD23E5C607E}</author>
    <author>tc={6CB3C667-1068-6546-9248-888EC431FEF9}</author>
    <author>tc={5D7977EE-C14A-2C46-910F-B940843209C4}</author>
    <author>tc={42B8D4B0-34A1-2541-A77E-A02F4D5EE31A}</author>
    <author>tc={03E3099B-50E9-C24A-ADC4-03EA00C4316C}</author>
    <author>tc={2391AFC0-D853-D54B-AE99-4F83F0F42857}</author>
    <author>tc={9AD27FF7-18EC-9244-8476-697875312976}</author>
    <author>tc={C273A6D2-CBBE-2B45-8D4D-BA7538665339}</author>
    <author>tc={1A653062-21C1-A948-9D5E-37A2688090F6}</author>
  </authors>
  <commentList>
    <comment ref="P11" authorId="0" shapeId="0" xr:uid="{63D52874-6D89-684B-BD33-D3766C3A5C4C}">
      <text>
        <t>[Threaded comment]
Your version of Excel allows you to read this threaded comment; however, any edits to it will get removed if the file is opened in a newer version of Excel. Learn more: https://go.microsoft.com/fwlink/?linkid=870924
Comment:
    Just need to divide the number by 100. ;)</t>
      </text>
    </comment>
    <comment ref="AB11" authorId="1" shapeId="0" xr:uid="{490CB2BE-BC1D-4BDC-9712-0453DC5255AE}">
      <text>
        <t>[Threaded comment]
Your version of Excel allows you to read this threaded comment; however, any edits to it will get removed if the file is opened in a newer version of Excel. Learn more: https://go.microsoft.com/fwlink/?linkid=870924
Comment:
    Fixed - It makes sense to exclude math fluency practice time. What about writing activity? Maybe the time dedicated to activities involving 'literacy' and motivational training?</t>
      </text>
    </comment>
    <comment ref="X14" authorId="2" shapeId="0" xr:uid="{B7DFB100-FEB1-9947-BCF3-E28F783AA852}">
      <text>
        <t>[Threaded comment]
Your version of Excel allows you to read this threaded comment; however, any edits to it will get removed if the file is opened in a newer version of Excel. Learn more: https://go.microsoft.com/fwlink/?linkid=870924
Comment:
    “Each teacher continued to use previously established classroom organizational procedures.”
Reply:
    P. 21 "… randomly assigned to one of three conditions: RCS+AR, RCS, or RN. This resulted in 21 total instructional groups (7 RCS+AR, 7 RCS, and 7 RN) of not more than seven students."</t>
      </text>
    </comment>
    <comment ref="Y14" authorId="3" shapeId="0" xr:uid="{47C5F538-CECD-0F4E-86DA-FFAA05228925}">
      <text>
        <t>[Threaded comment]
Your version of Excel allows you to read this threaded comment; however, any edits to it will get removed if the file is opened in a newer version of Excel. Learn more: https://go.microsoft.com/fwlink/?linkid=870924
Comment:
    See table Table 1 - they major instructors are researchers in the RCS+AR condition (5 researchers and 2 SpEd teachers)</t>
      </text>
    </comment>
    <comment ref="Q20" authorId="4" shapeId="0" xr:uid="{F0907F58-9AD4-AE4B-93F3-88A69D039637}">
      <text>
        <t xml:space="preserve">[Threaded comment]
Your version of Excel allows you to read this threaded comment; however, any edits to it will get removed if the file is opened in a newer version of Excel. Learn more: https://go.microsoft.com/fwlink/?linkid=870924
Comment:
    “Twenty-one students (64%) received some instruction in English as a second language classes.”
</t>
      </text>
    </comment>
    <comment ref="Y20" authorId="5" shapeId="0" xr:uid="{86E875B0-2F42-814E-A1E6-B048B4A3F8D5}">
      <text>
        <t>[Threaded comment]
Your version of Excel allows you to read this threaded comment; however, any edits to it will get removed if the file is opened in a newer version of Excel. Learn more: https://go.microsoft.com/fwlink/?linkid=870924
Comment:
    “a female adult trainer from outside the school.”
Reply:
    that makes sense and now this code looks clear!</t>
      </text>
    </comment>
    <comment ref="AC20" authorId="6" shapeId="0" xr:uid="{D47E5083-379C-49E5-8C7B-71D8529CE4B0}">
      <text>
        <t>[Threaded comment]
Your version of Excel allows you to read this threaded comment; however, any edits to it will get removed if the file is opened in a newer version of Excel. Learn more: https://go.microsoft.com/fwlink/?linkid=870924
Comment:
    P. 5 "Periodic observations of the training procedure by the authors confirmed that it was properly implemented and that children maintained their interest."
I thought this part implied somewhat degree of implementation fidelity. I think we need to clarify whether "1 = reported" indicates exact numeric data reported or any indication of checking fidelity reported.</t>
      </text>
    </comment>
    <comment ref="AE23" authorId="7" shapeId="0" xr:uid="{C745E283-A86B-DF4C-B835-FB6BA773DB50}">
      <text>
        <t>[Threaded comment]
Your version of Excel allows you to read this threaded comment; however, any edits to it will get removed if the file is opened in a newer version of Excel. Learn more: https://go.microsoft.com/fwlink/?linkid=870924
Comment:
    The eight passages described and provided information about persons, animals, places, and events. Passages ranged in length from 4 to 25 sentences (A/= 14 sentences), and each passage was followed by one to four questions (e.g., "What is the first paragraph mostly about?", "What is the most important idea in this passage?", "What is the writer's feeling?", "What is a good title for this passage?") for a total of 20 questions. Passages and questions ranged in difficulty; four passages (nine questions) were appropriate for Grade 2 students of average reading ability (Book A), two passages (six questions) for Grade 3 students (Book B), and two passages (five questions) for Grade 4 students (Book C). Passages and questions corresponded in reading level to those on the skill test but were not identical. A sample self-efficacy passage and question are shown in Table 1.</t>
      </text>
    </comment>
    <comment ref="M26" authorId="8" shapeId="0" xr:uid="{54099CBC-A351-504F-890D-6FC91B744B2D}">
      <text>
        <t>[Threaded comment]
Your version of Excel allows you to read this threaded comment; however, any edits to it will get removed if the file is opened in a newer version of Excel. Learn more: https://go.microsoft.com/fwlink/?linkid=870924
Comment:
    P. 46 (Abstract) 75 upper elementary school students were assigned to four treatment groups.
I thought upper elementary in US is Grades 4, 5</t>
      </text>
    </comment>
    <comment ref="Y26" authorId="9" shapeId="0" xr:uid="{D0DF8830-CCF3-D54C-A8AF-2118B2BDB1A0}">
      <text>
        <t>[Threaded comment]
Your version of Excel allows you to read this threaded comment; however, any edits to it will get removed if the file is opened in a newer version of Excel. Learn more: https://go.microsoft.com/fwlink/?linkid=870924
Comment:
    Authors simply mentioned "instructor"</t>
      </text>
    </comment>
    <comment ref="T34" authorId="10" shapeId="0" xr:uid="{765F3FF1-3DB7-C446-A6F0-DF673A36DD6C}">
      <text>
        <t>[Threaded comment]
Your version of Excel allows you to read this threaded comment; however, any edits to it will get removed if the file is opened in a newer version of Excel. Learn more: https://go.microsoft.com/fwlink/?linkid=870924
Comment:
    P. 38-39 Learning Strategies Curriculum includes a number of strategies designed to help students derive information from texts, identify and remember important information, or develop writing or academic competence. The LCS including word identification, visual imagery, self-questioning, paraphrasing, sentence writing, vocabulary, and inferencing.
There was 'word identification' component, so I coded as "cm." I was not confident on this decision, so I would like to hear your thoughts!</t>
      </text>
    </comment>
    <comment ref="Z34" authorId="11" shapeId="0" xr:uid="{39CDCD51-8923-8A42-A757-F5752B602441}">
      <text>
        <t>[Threaded comment]
Your version of Excel allows you to read this threaded comment; however, any edits to it will get removed if the file is opened in a newer version of Excel. Learn more: https://go.microsoft.com/fwlink/?linkid=870924
Comment:
    I thought the intervention was implemented for three years. So I computed as 3years*5days per week*36weeks in academic year*session length. Let me know if I misunderstood!</t>
      </text>
    </comment>
    <comment ref="V35" authorId="12" shapeId="0" xr:uid="{FBC63844-DC91-FA4B-B6C4-8C6A3CCB3A81}">
      <text>
        <t>[Threaded comment]
Your version of Excel allows you to read this threaded comment; however, any edits to it will get removed if the file is opened in a newer version of Excel. Learn more: https://go.microsoft.com/fwlink/?linkid=870924
Comment:
    Researcher-developed school-wide professional development was implemented to BAU</t>
      </text>
    </comment>
    <comment ref="Z36" authorId="13" shapeId="0" xr:uid="{C6A62D0F-4878-D84D-A085-2B149BE1EC1E}">
      <text>
        <t>[Threaded comment]
Your version of Excel allows you to read this threaded comment; however, any edits to it will get removed if the file is opened in a newer version of Excel. Learn more: https://go.microsoft.com/fwlink/?linkid=870924
Comment:
    I thought the intervention was implemented for four years. So I computed as 4years*5days per week*36weeks in academic year*session length. Let me know if I misunderstood!</t>
      </text>
    </comment>
    <comment ref="P46" authorId="14" shapeId="0" xr:uid="{18428521-4CD6-324F-9973-1E1989DA5C46}">
      <text>
        <t>[Threaded comment]
Your version of Excel allows you to read this threaded comment; however, any edits to it will get removed if the file is opened in a newer version of Excel. Learn more: https://go.microsoft.com/fwlink/?linkid=870924
Comment:
    I compared average Jordan household salary in 2016 and authors' report. Average household salary in 2016 was around 931-992 JOD, and 350 to 420 JOD per month is substantially below the country average, so I assigned low SES to this study participants.</t>
      </text>
    </comment>
    <comment ref="Q46" authorId="15" shapeId="0" xr:uid="{3571807A-2084-FF48-B11B-33B543417DEF}">
      <text>
        <t>[Threaded comment]
Your version of Excel allows you to read this threaded comment; however, any edits to it will get removed if the file is opened in a newer version of Excel. Learn more: https://go.microsoft.com/fwlink/?linkid=870924
Comment:
    English as foreign language can be included?</t>
      </text>
    </comment>
    <comment ref="AC46" authorId="16" shapeId="0" xr:uid="{DF8437D5-5C05-2843-B409-25A4304171FE}">
      <text>
        <t>[Threaded comment]
Your version of Excel allows you to read this threaded comment; however, any edits to it will get removed if the file is opened in a newer version of Excel. Learn more: https://go.microsoft.com/fwlink/?linkid=870924
Comment:
    Although the authors mentioned that they made regular visits with teachers, visits were not occurred in classrooms and I do not think regular visit outside of the classrooms does not guarantee the fidelity ..</t>
      </text>
    </comment>
    <comment ref="V47" authorId="17" shapeId="0" xr:uid="{343015DF-AEA9-2349-95A1-F9B28E459D35}">
      <text>
        <t>[Threaded comment]
Your version of Excel allows you to read this threaded comment; however, any edits to it will get removed if the file is opened in a newer version of Excel. Learn more: https://go.microsoft.com/fwlink/?linkid=870924
Comment:
    Traditional teaching method</t>
      </text>
    </comment>
    <comment ref="G56" authorId="18" shapeId="0" xr:uid="{3E4FFAE6-71F1-3441-B3DB-7EB8CC063F76}">
      <text>
        <t>[Threaded comment]
Your version of Excel allows you to read this threaded comment; however, any edits to it will get removed if the file is opened in a newer version of Excel. Learn more: https://go.microsoft.com/fwlink/?linkid=870924
Comment:
    Would teacher random assignment be RCT?
(p.8) The two first grade teachers were assigned to either the IG or the CG by a coin toss.</t>
      </text>
    </comment>
    <comment ref="AF61" authorId="19" shapeId="0" xr:uid="{10F97D06-D13B-7948-BA3B-0A33B0797751}">
      <text>
        <t>[Threaded comment]
Your version of Excel allows you to read this threaded comment; however, any edits to it will get removed if the file is opened in a newer version of Excel. Learn more: https://go.microsoft.com/fwlink/?linkid=870924
Comment:
    P. 529 The text was selected from a fifth-grade social studies textbook not used by the participants and the topic of the passage was Norwegian fisheries. 
Should this be considered as 'not overaligned'?</t>
      </text>
    </comment>
    <comment ref="AF67" authorId="20" shapeId="0" xr:uid="{597DB333-656E-CE45-879A-CE3B2C78C121}">
      <text>
        <t>[Threaded comment]
Your version of Excel allows you to read this threaded comment; however, any edits to it will get removed if the file is opened in a newer version of Excel. Learn more: https://go.microsoft.com/fwlink/?linkid=870924
Comment:
    I thought that this four reading assignment measures were possibly overaligned to the intervention, because those passages were used as instructional material (see Table 9)</t>
      </text>
    </comment>
    <comment ref="V76" authorId="21" shapeId="0" xr:uid="{DC16C6D3-2F53-9D45-B06D-D3F85963730F}">
      <text>
        <t>[Threaded comment]
Your version of Excel allows you to read this threaded comment; however, any edits to it will get removed if the file is opened in a newer version of Excel. Learn more: https://go.microsoft.com/fwlink/?linkid=870924
Comment:
    P. 452 control group covered the same reading material each week as the two treatment groups … Each teacher used a variety of methods to cover the material with the control classes but did not have the classes engage in ISR (independent silent reading).</t>
      </text>
    </comment>
    <comment ref="X98" authorId="22" shapeId="0" xr:uid="{08F74B5A-AFE3-4547-A476-C9469C205A1A}">
      <text>
        <t>[Threaded comment]
Your version of Excel allows you to read this threaded comment; however, any edits to it will get removed if the file is opened in a newer version of Excel. Learn more: https://go.microsoft.com/fwlink/?linkid=870924
Comment:
    Lesson 1, 2 were taught in wholeclass and lesson 3, 4, 5 were taught in small group. I coded as small group based on the frequency.</t>
      </text>
    </comment>
    <comment ref="AF98" authorId="23" shapeId="0" xr:uid="{25D4FC43-B9A9-254F-88E7-F1C6CE6CAD2A}">
      <text>
        <t>[Threaded comment]
Your version of Excel allows you to read this threaded comment; however, any edits to it will get removed if the file is opened in a newer version of Excel. Learn more: https://go.microsoft.com/fwlink/?linkid=870924
Comment:
    P. 411. … the students were asked to complete a reading test developed to assess their higher-order reading comprehension of the story "they had studied in the programme."
Maybe over aligned?</t>
      </text>
    </comment>
    <comment ref="W101" authorId="24" shapeId="0" xr:uid="{11C765E1-B241-6F44-B8BD-700E2B325AD9}">
      <text>
        <t>[Threaded comment]
Your version of Excel allows you to read this threaded comment; however, any edits to it will get removed if the file is opened in a newer version of Excel. Learn more: https://go.microsoft.com/fwlink/?linkid=870924
Comment:
    P. 484 The teachers were given the handouts describing the specific steps for conducting PALS. - But not sure whether this handout was script for intervention.</t>
      </text>
    </comment>
    <comment ref="AF103" authorId="25" shapeId="0" xr:uid="{15BF5B7D-8C11-DA4C-81D4-2BD23E5C607E}">
      <text>
        <t>[Threaded comment]
Your version of Excel allows you to read this threaded comment; however, any edits to it will get removed if the file is opened in a newer version of Excel. Learn more: https://go.microsoft.com/fwlink/?linkid=870924
Comment:
    P.8 We chose passages that were not topically related to the intervention unit topics so that scores would not be confounded by content instruction.</t>
      </text>
    </comment>
    <comment ref="V104" authorId="26" shapeId="0" xr:uid="{6CB3C667-1068-6546-9248-888EC431FEF9}">
      <text>
        <t>[Threaded comment]
Your version of Excel allows you to read this threaded comment; however, any edits to it will get removed if the file is opened in a newer version of Excel. Learn more: https://go.microsoft.com/fwlink/?linkid=870924
Comment:
    students in Sequence A were taught with USHER units related to American Indians, European exploration, and two cultures meet (i.e., interactions between the American Indians and European Explorers), whereas students in Sequence B were taught with USHER units related to colonization, people in colonial America, and events leading to the American Revolution. During non-USHER intervention time, students were taught with the typical social studies curriculum covering the same social studies content as the USHER units.
I coded Sequence A pretest-posttest treatment and comparison groups design data, where students in treatment group were taught USHER while students in comparison group were taught typical social studies instruction.</t>
      </text>
    </comment>
    <comment ref="A167" authorId="27" shapeId="0" xr:uid="{5D7977EE-C14A-2C46-910F-B940843209C4}">
      <text>
        <t>[Threaded comment]
Your version of Excel allows you to read this threaded comment; however, any edits to it will get removed if the file is opened in a newer version of Excel. Learn more: https://go.microsoft.com/fwlink/?linkid=870924
Comment:
    Reading comprehension outcome: text comprehension = story comprehension + informational text comprehension; text comprehension seem to be summed score of two subtests.</t>
      </text>
    </comment>
    <comment ref="AF167" authorId="28" shapeId="0" xr:uid="{42B8D4B0-34A1-2541-A77E-A02F4D5EE31A}">
      <text>
        <t>[Threaded comment]
Your version of Excel allows you to read this threaded comment; however, any edits to it will get removed if the file is opened in a newer version of Excel. Learn more: https://go.microsoft.com/fwlink/?linkid=870924
Comment:
    Not sure. (p.267) Text comprehension tasks were designed to be similar to reading activities, which were prominent in the traditional classrooms.</t>
      </text>
    </comment>
    <comment ref="AF172" authorId="29" shapeId="0" xr:uid="{03E3099B-50E9-C24A-ADC4-03EA00C4316C}">
      <text>
        <t>[Threaded comment]
Your version of Excel allows you to read this threaded comment; however, any edits to it will get removed if the file is opened in a newer version of Excel. Learn more: https://go.microsoft.com/fwlink/?linkid=870924
Comment:
    Not sure. (p.267) Text comprehension tasks were designed to be similar to reading activities, which were prominent in the traditional classrooms.</t>
      </text>
    </comment>
    <comment ref="AF177" authorId="30" shapeId="0" xr:uid="{2391AFC0-D853-D54B-AE99-4F83F0F42857}">
      <text>
        <t>[Threaded comment]
Your version of Excel allows you to read this threaded comment; however, any edits to it will get removed if the file is opened in a newer version of Excel. Learn more: https://go.microsoft.com/fwlink/?linkid=870924
Comment:
    Not sure. (p.267) Text comprehension tasks were designed to be similar to reading activities, which were prominent in the traditional classrooms.</t>
      </text>
    </comment>
    <comment ref="AF182" authorId="31" shapeId="0" xr:uid="{9AD27FF7-18EC-9244-8476-697875312976}">
      <text>
        <t>[Threaded comment]
Your version of Excel allows you to read this threaded comment; however, any edits to it will get removed if the file is opened in a newer version of Excel. Learn more: https://go.microsoft.com/fwlink/?linkid=870924
Comment:
    Not sure. (p.267) Text comprehension tasks were designed to be similar to reading activities, which were prominent in the traditional classrooms.</t>
      </text>
    </comment>
    <comment ref="M187" authorId="32" shapeId="0" xr:uid="{C273A6D2-CBBE-2B45-8D4D-BA7538665339}">
      <text>
        <t>[Threaded comment]
Your version of Excel allows you to read this threaded comment; however, any edits to it will get removed if the file is opened in a newer version of Excel. Learn more: https://go.microsoft.com/fwlink/?linkid=870924
Comment:
    Netherlands secondary grades (12-14 years of age)</t>
      </text>
    </comment>
    <comment ref="M188" authorId="33" shapeId="0" xr:uid="{1A653062-21C1-A948-9D5E-37A2688090F6}">
      <text>
        <t xml:space="preserve">[Threaded comment]
Your version of Excel allows you to read this threaded comment; however, any edits to it will get removed if the file is opened in a newer version of Excel. Learn more: https://go.microsoft.com/fwlink/?linkid=870924
Comment:
    13;6
= 13 + 6/12 = 13.5
</t>
      </text>
    </comment>
  </commentList>
</comments>
</file>

<file path=xl/sharedStrings.xml><?xml version="1.0" encoding="utf-8"?>
<sst xmlns="http://schemas.openxmlformats.org/spreadsheetml/2006/main" count="11238" uniqueCount="948">
  <si>
    <t>1. Study Info</t>
  </si>
  <si>
    <t>2.1 ConditionID and Sample Information</t>
  </si>
  <si>
    <t>3. Reading Components in each Condition</t>
  </si>
  <si>
    <t>3.2 Intervention Features (Skip if BAU)</t>
  </si>
  <si>
    <t>4.1 Reading Comprehension Outcome</t>
  </si>
  <si>
    <t>4.2 Descriptive Statistics for PRETEST and POST-TEST</t>
  </si>
  <si>
    <t xml:space="preserve">4.3 Other ES for POST-TEST </t>
  </si>
  <si>
    <t>5.1 Number of follow up testing session</t>
  </si>
  <si>
    <t xml:space="preserve">Yixian's Notes </t>
  </si>
  <si>
    <t>Nayoung 's Notes</t>
  </si>
  <si>
    <t>Author Name</t>
  </si>
  <si>
    <t>Study ID</t>
  </si>
  <si>
    <t xml:space="preserve">Country
</t>
    <phoneticPr fontId="1" type="noConversion"/>
  </si>
  <si>
    <t>Context</t>
  </si>
  <si>
    <t xml:space="preserve">pubtype 
</t>
    <phoneticPr fontId="1" type="noConversion"/>
  </si>
  <si>
    <t xml:space="preserve">Design
</t>
    <phoneticPr fontId="1" type="noConversion"/>
  </si>
  <si>
    <t>Condition
ID</t>
  </si>
  <si>
    <t>Name of Condition</t>
  </si>
  <si>
    <t xml:space="preserve">Grade </t>
  </si>
  <si>
    <t>Average Age</t>
  </si>
  <si>
    <t>% of Struggling Readers</t>
  </si>
  <si>
    <t>% of 
Disability</t>
  </si>
  <si>
    <t>% of low SES/FRL</t>
  </si>
  <si>
    <t>% of 
EB/ESL</t>
  </si>
  <si>
    <t>% of 
boys</t>
  </si>
  <si>
    <t>% of 
non-white</t>
  </si>
  <si>
    <t>Reading Components or Conditions</t>
  </si>
  <si>
    <t>Description of Components /Conditions</t>
  </si>
  <si>
    <t>Source of Curriculum</t>
  </si>
  <si>
    <t xml:space="preserve">Scripted Lesson?
</t>
  </si>
  <si>
    <t xml:space="preserve">Group size
</t>
  </si>
  <si>
    <t>Major Implementer</t>
  </si>
  <si>
    <t>Total dosage (in minutes)</t>
  </si>
  <si>
    <t>Session Length (in minutes)</t>
  </si>
  <si>
    <t>fidelity / integrity</t>
  </si>
  <si>
    <t>measure names</t>
  </si>
  <si>
    <t xml:space="preserve">standardized? </t>
  </si>
  <si>
    <r>
      <t xml:space="preserve">Measure Reliability?
</t>
    </r>
    <r>
      <rPr>
        <b/>
        <sz val="8"/>
        <color theme="1"/>
        <rFont val="Calibri (Body)"/>
      </rPr>
      <t>If reported, enter a number value. If not, enter NA</t>
    </r>
  </si>
  <si>
    <r>
      <t xml:space="preserve">M_pretest
</t>
    </r>
    <r>
      <rPr>
        <b/>
        <sz val="8"/>
        <color theme="1"/>
        <rFont val="Calibri (Body)"/>
      </rPr>
      <t>(NA is accpetable)</t>
    </r>
  </si>
  <si>
    <r>
      <t xml:space="preserve">SD_pretest
</t>
    </r>
    <r>
      <rPr>
        <b/>
        <sz val="8"/>
        <color theme="1"/>
        <rFont val="Calibri (Body)"/>
      </rPr>
      <t>(NA is accpetable)</t>
    </r>
  </si>
  <si>
    <r>
      <t xml:space="preserve">N_pretest
</t>
    </r>
    <r>
      <rPr>
        <b/>
        <sz val="8"/>
        <color theme="1"/>
        <rFont val="Calibri (Body)"/>
      </rPr>
      <t>(NA is accpetable)</t>
    </r>
  </si>
  <si>
    <r>
      <t xml:space="preserve">M_posttest
</t>
    </r>
    <r>
      <rPr>
        <b/>
        <sz val="8"/>
        <color theme="1"/>
        <rFont val="Calibri (Body)"/>
      </rPr>
      <t>(NA is NOT accpetable)</t>
    </r>
  </si>
  <si>
    <r>
      <t xml:space="preserve">SD_posttest
</t>
    </r>
    <r>
      <rPr>
        <b/>
        <sz val="8"/>
        <color theme="1"/>
        <rFont val="Calibri (Body)"/>
      </rPr>
      <t>(NA is NOT accpetable)</t>
    </r>
  </si>
  <si>
    <r>
      <t xml:space="preserve">N_posttest
</t>
    </r>
    <r>
      <rPr>
        <b/>
        <sz val="8"/>
        <color theme="1"/>
        <rFont val="Calibri (Body)"/>
      </rPr>
      <t>(NA is NOT accpetable)</t>
    </r>
  </si>
  <si>
    <t>Report this only when descriptive stats is not available.</t>
  </si>
  <si>
    <t>Report when available.</t>
  </si>
  <si>
    <t>Orkin et al., 2017</t>
  </si>
  <si>
    <t>USA</t>
  </si>
  <si>
    <t>1=After school Program</t>
  </si>
  <si>
    <t>0 = peer reviewed paper</t>
  </si>
  <si>
    <t>0 = RCT</t>
  </si>
  <si>
    <t>Intervention group</t>
  </si>
  <si>
    <t>NA</t>
  </si>
  <si>
    <t xml:space="preserve">cm = combined coding + meaning </t>
  </si>
  <si>
    <t>Each group received daily instruction in both the RAVE-O and Wilson Reading Program curricula, proven to improve fluency and phonics skills, respectively… 
RAVE-O lessons also instruct children on semantic, syntactic, morphological, and text comprehension strategies</t>
  </si>
  <si>
    <t>1 = Published or Commercially available curriculum</t>
  </si>
  <si>
    <t>1 = Yes (Including CAI)</t>
  </si>
  <si>
    <t>1 = small group (3–7 students)</t>
  </si>
  <si>
    <t>1 = School Staff</t>
  </si>
  <si>
    <t>1 = Reported</t>
  </si>
  <si>
    <t>SRI PC = Standard Reading Inventory, Passage Comprehension;</t>
  </si>
  <si>
    <t>1 = YES - standardized</t>
  </si>
  <si>
    <t>summer program</t>
  </si>
  <si>
    <t>Control group</t>
  </si>
  <si>
    <t>The two program used, RAVE-O and Wilson Reading Program, are scripted program according to online informaiton.</t>
  </si>
  <si>
    <t>Toste et al., 2019</t>
  </si>
  <si>
    <t>0=School Environment</t>
  </si>
  <si>
    <t>MWR</t>
  </si>
  <si>
    <t>4, 5</t>
  </si>
  <si>
    <t>c = code-based</t>
  </si>
  <si>
    <t>MWR instruction. Lessons in both treatment conditions, MWR and MWR+MB, were taught with the same reading intervention curriculum. Each lesson consisted of seven instructional components: warm-up, affix bank, word play, beat the clock, write word, speedy read, and text reading. Due to space limitations, we provide brief descriptions of these components (for details, see Toste, Williams, &amp; Capin, 2017).
Text reading. The last lesson activity each day was text reading. For the first 20 lessons, students read sentences that were developed to have at least two multisyllabic words and spotlight words.</t>
  </si>
  <si>
    <t>0 = Researcher-developed curriculum</t>
  </si>
  <si>
    <t>0 = Research Staff</t>
  </si>
  <si>
    <t>WJIII PC</t>
  </si>
  <si>
    <t>Age - age is not directly reported. We use the age equivalents to estimate it.</t>
  </si>
  <si>
    <t>GMRT-RC</t>
  </si>
  <si>
    <t>MWR+MB</t>
  </si>
  <si>
    <t xml:space="preserve">4, 5 </t>
  </si>
  <si>
    <t>BAU</t>
  </si>
  <si>
    <t>Business-as-Usual Control Research staff met with the four ... 
Teachers reported that the majority of the time was spent on computer-based programming, guided reading, sustained silent reading, and preparation sessions for the State of Texas Assessments of Academic Readiness.</t>
  </si>
  <si>
    <t>2 = District/State curriculum</t>
  </si>
  <si>
    <t>Toste et al., 2017</t>
  </si>
  <si>
    <t>MWR only</t>
  </si>
  <si>
    <t>3, 4</t>
  </si>
  <si>
    <t>MWR instruction. Students in both treatment conditions, MWR only and MWR 1 MB, were exposed to the same reading instruction. Each lesson consisted of seven instructional components. First, each lesson began with “Warm-Up” (2 min- utes), wherein students practiced reading skills that were prerequisite to success with multisyllabic words. ...
The core of each lesson included time where students were exposed to meaning- ful linguistic units (i.e., morphemes) through repeated practice, blending and seg- menting word parts, and exposure to a large number of words. During “Word Play”</t>
  </si>
  <si>
    <t>WRAT4 - Sentence comprehension</t>
  </si>
  <si>
    <t>Age was calculated based on our coding rule</t>
  </si>
  <si>
    <t>MWR + MB</t>
  </si>
  <si>
    <t>Controlgroup. All students in the study received the same core reading instruction. …  The principal investigator met with the third- and fourth-grade teachers at both schools to obtain information about the instruction received by the students in the control group while students in the treatment conditions received reading intervention. In- struction during this time varied throughout the year, but teachers provided pri- marily small-group instruction that included practice such as guided reading, silent reading, and computer-based programming and preparation sessions for the State of Texas Assessments of Academic Readiness.</t>
  </si>
  <si>
    <t>Berkeley et al., 2011</t>
  </si>
  <si>
    <t>RCS + AR</t>
  </si>
  <si>
    <t>7, 8, 9</t>
  </si>
  <si>
    <t>m = meaning-based</t>
  </si>
  <si>
    <t>RCS materials. Six reading comprehension strategies were taught in the RCS lessons: (a) setting a purpose, (b) preview- ing, (c) activating background knowledge, (d) self-questioning, (e) summarizing, and (f) strategy monitoring (see Figure 1).</t>
  </si>
  <si>
    <t>Summary test</t>
  </si>
  <si>
    <t>0 = NO - Not standardized</t>
  </si>
  <si>
    <t>6-week follow-up</t>
  </si>
  <si>
    <t>% of SES was calculated based on our coding rule</t>
  </si>
  <si>
    <t>Passage test</t>
  </si>
  <si>
    <t>RCS</t>
  </si>
  <si>
    <t>RN</t>
  </si>
  <si>
    <t xml:space="preserve">Read Naturally materials. RN was the program currently adopted by the participating schools to help poor readers improve fluency and reading comprehension through explicit repeated reading practice. </t>
  </si>
  <si>
    <t>The program used, Read Naturally, is a published and scripted reading program.</t>
  </si>
  <si>
    <t>Schunk and Rice, 1989</t>
  </si>
  <si>
    <t xml:space="preserve">T - Process Goal </t>
  </si>
  <si>
    <t>The instructional material consisted of a training packet that included several reading passages, each of which was followed by one or more multiple-choice questions assessing comprehension of main ideas. The passages in the packet were drawn from different sources and were similar to those typically used by children's remedial teachers. The reading passages were ordered from least-to-most difficult;</t>
  </si>
  <si>
    <t>Comprehension Skill</t>
  </si>
  <si>
    <t>% of low SES: Author reported that " Although different socioeconomic backgrounds were represented, children predominantly were lower-middle class." We made an estimation of 85%.</t>
  </si>
  <si>
    <t>Implementer was a female adult trainer from outside of the school (p. 4)</t>
  </si>
  <si>
    <t xml:space="preserve">T - Product Goal </t>
  </si>
  <si>
    <t>C -general goal</t>
  </si>
  <si>
    <t>Each group received daily instruction in both the RAVE-O and Wilson Reading Program curricula, proven to improve fluency and phonics skills, respectively. Wilson Reading Program is a structured literacy program that provides explicit instruction in the phonetic components of language. RAVE-O program is a multicomponential reading program that addresses the multiple linguistic processes that contribute to fluent reading and comprehension. 
RAVE-O lessons also instruct children on semantic, syntactic, morphological, and text comprehension strategies</t>
  </si>
  <si>
    <t>MWR instruction. Lessons in both treatment conditions, MWR and MWR+MB, were taught with the same reading intervention curriculum. Each lesson consisted of seven instructional components: warm-up, affix bank, word play, beat the clock, write word, speedy read, and text reading. Due to space limitations, we provide brief descriptions of these components (for details, see Toste, Williams, &amp; Capin, 2017).</t>
  </si>
  <si>
    <t>Students in both treatment conditions were exposed to the same reading instruction. Each lession consisted of seven instructional components: warm-up, affix bank, word play, beat the clock, write word, speedy read, and text reading.</t>
  </si>
  <si>
    <t>WART4 SC</t>
  </si>
  <si>
    <t xml:space="preserve">The principal investigator met with the third- and fourth-grade teachers at both schools to obtain information about the instruction received by the students in the control group while students in the treatment conditions received reading intervention. Instruction during this time varied throughout the year, but teachers provided primarily small-group instruction that included practice such as guided reading, silent reading, and computer-based programming and preparation sessions for the State of Texas Assessments of Academic Readiness. </t>
  </si>
  <si>
    <t>RCS+AR</t>
  </si>
  <si>
    <t>students in both RCS and RCS+AR conditions received 20 minutes of instruction in how and when to use the reading comprehension strategies. Lessons included explicit instruction on six reading comprehension strategies.</t>
  </si>
  <si>
    <t>Summarization</t>
  </si>
  <si>
    <t>Passage-specific content</t>
  </si>
  <si>
    <t>students in both RCS and RCS+AR conditions received 20 minutes of instruction in how and when to use the reading comprehension strategies. Lessons included explicit instruction on six reading comprehension strategies. For 10 minutes at the end of the lesson, studnets in both RCS and RN conditions listened to the teacher read aloud short stories selected by students from high-interest short story collections to promote reading for pleasure.</t>
  </si>
  <si>
    <t>The RN program required students to: (a) make predictions about the story, (b) practice reading the story using a repeated reading technique, (c) answer implicit and explicit comprehension questions about specific factual content in the story, and (d) graph their fluency progress. For 10 minutes at the end of the lesson, studnets in both RCS and RN conditions listened to the teacher read aloud short stories selected by students from high-interest short story collections to promote reading for pleasure.</t>
  </si>
  <si>
    <t>Process Goal</t>
  </si>
  <si>
    <t>The instructional material consisted of a training packet that included several reading passages, each of which was followed by one or more multiple-choice questions assessing comprehension of main ideas. In the training room was a poster board on which was printed a five-step reading comprehension strategy. This strategy, which was developed in previous research (Schunk &amp; Rice, 1986), was as follows:
What do I have to do? (1 ) Read the questions. (2) Read the passage to find out what it is mostly about. (3) Think about what the details have in common. (4) Think about what would make a good title. (5) Reread the story if I don't know the answer to a question.</t>
  </si>
  <si>
    <t>comprehension skill</t>
  </si>
  <si>
    <t>Product Goal</t>
  </si>
  <si>
    <t>Control</t>
  </si>
  <si>
    <t xml:space="preserve">Notes </t>
  </si>
  <si>
    <t xml:space="preserve">Testing Reliability (1-5): </t>
  </si>
  <si>
    <t>Coloumn</t>
  </si>
  <si>
    <t>Total Aggreed</t>
  </si>
  <si>
    <t>Total Items</t>
  </si>
  <si>
    <t>Reliability Rate</t>
  </si>
  <si>
    <t>Section 1 (Study Info):</t>
  </si>
  <si>
    <t>A3:F22</t>
  </si>
  <si>
    <t>Section 2 (Sample Info):</t>
  </si>
  <si>
    <t>G3:P22</t>
  </si>
  <si>
    <t/>
  </si>
  <si>
    <t>Section 3 (Intervention Info):</t>
  </si>
  <si>
    <t>Q3:Y22</t>
  </si>
  <si>
    <t>Section 4 (Outcomes):</t>
  </si>
  <si>
    <t>Z3:AJ22</t>
  </si>
  <si>
    <t>Total</t>
  </si>
  <si>
    <t>A3:AJ22</t>
  </si>
  <si>
    <t>Double checked</t>
  </si>
  <si>
    <t>Schunk and Rice, 1991</t>
  </si>
  <si>
    <t>5</t>
  </si>
  <si>
    <t>The instructional material consisted of a packet that included several reading passages, each of which was followed by one or more multiple-choice questions assessing comprehension of main ideas. The passages were drawn from different sources and were similar to those typically used by subjects' remedial teachers.
In the training room the five-step comprehension strategy was printed on a poster board. This strategy was as follows (Schunk &amp; Rice, 1989):
What do I have to do?
(1) Read the questions.
(2) Read the passage to find out what it is mostly about.
(3) Think about what the details have in common.
(4) Think about what would make a good title.
(5) Reread the story if I don't know the answer to a question.</t>
  </si>
  <si>
    <t xml:space="preserve">0 = Not reported </t>
  </si>
  <si>
    <t>Process Goal + Feedback</t>
  </si>
  <si>
    <t>Borkowski et al., 1988</t>
  </si>
  <si>
    <t>RS + Complex Attribution</t>
  </si>
  <si>
    <t xml:space="preserve">Reading strategy Training - Training procedures were adapted from the Main Ideas and Details, Topic Sentences, and Summarization sections of the Chicago Mastery Learning Reading Curriculum, Levels H-L (Jones, Monsaas, &amp; Katims, 1979). Mate- rials for the pretraining assessment ofall children and training sessions for the Reading Strategies Control group consisted of prose paragraphs that the children were asked to summarize. </t>
  </si>
  <si>
    <t>0 = No / Not reported</t>
  </si>
  <si>
    <t>NA (5 sessions)</t>
  </si>
  <si>
    <t>Post 1-Paragraph Summarization</t>
  </si>
  <si>
    <t>Post 2-Paragraph Summarization</t>
  </si>
  <si>
    <t>RS+Attribution</t>
  </si>
  <si>
    <t>Attribution C (Control)</t>
  </si>
  <si>
    <t>RS Control</t>
  </si>
  <si>
    <t>Paragraphs summarized - Mate- rials for the pretraining assessment ofall children and training sessions for the Reading Strategies Control group consisted of prose paragraphs that the children were asked to summarize. The pretraining and posttraining tasks included five paragraphs each.</t>
  </si>
  <si>
    <t>Cantrell et al., 2014</t>
  </si>
  <si>
    <t>Int.  n = 462</t>
  </si>
  <si>
    <t>0 = classroom/ large group</t>
  </si>
  <si>
    <t>GRADE Reading Comprehension</t>
  </si>
  <si>
    <t>Con.  n = 389</t>
  </si>
  <si>
    <t>Cantrell et al., 2016</t>
  </si>
  <si>
    <t>1091-1</t>
  </si>
  <si>
    <t>Grade 6 Int. 605</t>
  </si>
  <si>
    <t>* GRADE = Group Reading and Diagnostic Evaluation</t>
  </si>
  <si>
    <t>1092-1</t>
  </si>
  <si>
    <t>Grade 6 Con. 530</t>
  </si>
  <si>
    <t>1091-2</t>
  </si>
  <si>
    <t>Grade 9 Int. 593</t>
  </si>
  <si>
    <t>1092-2</t>
  </si>
  <si>
    <t>Grade 9 Con. 535</t>
  </si>
  <si>
    <t>Ng et al., 2013</t>
  </si>
  <si>
    <t>Australia</t>
  </si>
  <si>
    <t>TLS-e-mail （motivation)</t>
  </si>
  <si>
    <t>Students learned to identify toplevel structure in texts, to understand the signal words and other cues indicating the various forms of such structure, and to discuss examples of these in commonly encountered text materials. Six lessons covered four main structures found in texts (Bartlett, 1978, 2010), specifically listing, comparison, problem-solution, and cause-effect. These lessons were taught to the experimental groups (see Table 1).</t>
  </si>
  <si>
    <t>NAPLAN Reading  test (National Assessment Program of Literacy and Numeracy)</t>
  </si>
  <si>
    <t>Reading  comprehension  test</t>
  </si>
  <si>
    <t>TLS-only</t>
  </si>
  <si>
    <t>Students in the control group had their normal 60-minute lessons from the school curriculum and studied identical reading materials used in the experimental groups, without the opportunities of learning top-level structuring and completing related learning activities.</t>
  </si>
  <si>
    <t>All subjects worked on instructional materials covering comprehension of main ideas.
Product goal subjects were told by the instructor at the start of each session, "While you're working, it helps to keep in mind what you're trying to do. You'll be trying to answer questions about what you've read." In this and the other conditions, the instructor asked subjects if the goal sounded reasonable; this was done to promote subjects' goal commitment. Goals do not enhance performance if individuals do not make a commitment to attempt to attain them (Locke et al., 1981). No subject in any condition expressed displeasure with the goal.</t>
  </si>
  <si>
    <t xml:space="preserve">All subjects worked on instructional materials covering comprehension of main ideas.
To process goal subjects, the instructor emphasized learning the steps in the strategy by remarking at the start of each session, "While you're working, it helps to keep in mind what you're trying to do. You'll be trying to learn how to use the steps to answer questions about what you've read." </t>
  </si>
  <si>
    <t>Process Goal+Feedback</t>
  </si>
  <si>
    <t>All subjects worked on instructional materials covering comprehension of main ideas.
Subjects in the process goal plus progress feedback condition received the process goal at the start of each session. In addition, each subject was given progress feedback 3-4 times each session.</t>
  </si>
  <si>
    <t>RS+CA</t>
  </si>
  <si>
    <t>Prose summarization training consisted of instructions on the use of three reading strategies adapted from the Chicago Mastery Learning Reading Curriculum (Levels H, J, and K). Sections used were Main Ideas and Details, Topic Sentence, and Summarization. Students were informed at the beginning of each session that the effortful use of reading strategies would help them to understand and remember what they read. They then heard a short review on the importance of attributing success and failure to controllable factors and its importance to success on academic tasks. Previously covered information was then reviewed until the child understood the topic under discussion. 
Session 4 began with a review, followed by a demonstration of the difference between a category topic and examples of the category. The structure of paragraphs in terms of main ideas and details was then described. After the student practiced the exercise, a second example paragraph was shown, and the instructor intentionally made a mistake by not using the strategy (e.g., picking an erroneous topic sentence at random instead of one that tells what the other sentences are about). The discussion of possible reasons for failure followed; the cartoon character was again used as a guide to explain that the mistake was made because of a controllable factor: not using the appropriate reading strategy. The importance of not attributing failure to uncontrollable factors was again stressed. The instructor then combined the positive self-attribution "I need to try and use the strategy" with the actual use of the strategy to successfully perform the previously failed item, modeling the strategy aloud. Next, the relation between the effortful use of the reading strategy and correctly picking the topic sentence was reiterated. The formula "strategy use equals success" was emphasized. During the remainder of the session, the instructor and the students took turns with short paragraphs; the instructor alternated errors and correct answers. On each occasion, the association among effort, strategy use, and good performance was emphasized.
In Session 5, a topic and a topic sentence were identified in situations in which it was not contained in the paragraph. The relevance of topics and topic sentences to summarizing less explicit paragraphs was discussed. When students made mistakes, instances were used to emphasize the importance of strategy use. Descriptive paragraphs were defined, and the use of comprehension strategics relative to understanding such paragraphs was explained. The student and the instructor again took turns using the strategy with example paragraphs.
In Session 6, a three-step strategy for summarization of explanatory paragraphs was introduced, beginning with the definition of a summary. Instructions in creating titles for paragraphs, locating the main idea, and finding a rationale for the idea were the instructed strategies. A review of all training sessions followed, reinforcing positive selfattributions and the effortful use of strategies.ck 3-4 times each session.</t>
  </si>
  <si>
    <t>summarization post1</t>
  </si>
  <si>
    <t>summarization post2</t>
  </si>
  <si>
    <t>RS+A</t>
  </si>
  <si>
    <t>Students in the Reading Strategies Plus Attribution condition received the paired-associate and clustering-rehearsal tasks in Sessions 2 and 3, without strategy or attributional instructions. They were asked to remember which pictures went together, as well as to organize the categorizable items before recall. As described earlier, Sessions 4-6 (reading strategies and attributional training) for the Reading Strategies Plus Attribution condition were identical to that of the Reading Strategies Plus Complex Attribution condition. Thus only Phase 1 (Sessions 2 and 3) differentiated the Reading Strategies Plus Complex Attribution and Reading Strategies Plus Attribution conditions. Essentially, this training sensitized students in the more complex condition to the importance of attributional beliefs before the learning of the reading strategies embedded in an appropriate attributional context.</t>
  </si>
  <si>
    <t>Attribution Cont</t>
  </si>
  <si>
    <t>Students in the Attribution Control condition received strategy training identical to the procedures used in the Reading Strategies Plus Complex Attribution condition in Sessions 2-6, except that no attribution training was included. Mistakes were purposely made by the instructor, and students were allowed an opportunity to correct their answers. The importance of understanding the controllable causes of performance, however, was not emphasized.</t>
  </si>
  <si>
    <t>Reading Cont</t>
  </si>
  <si>
    <t>During Phase 1, students in the Reading Strategies Control condition learned the same tasks used in the other condition, but without explicit training. Phase 2 consisted of the opportunity to read and summarize paragraphs, with no direct teaching of reading strategies or effort-related attributions. However, the importance of "making an effort" and "trying hard" were emphasized in order to create a positive motivational set.</t>
  </si>
  <si>
    <t>Intervention</t>
  </si>
  <si>
    <t>During the classes, teachers used eight instructional stages to teach the Learning Strategies Curriculum strategies. Teachers were free to select the strategies they taught based on their assessment of students’ needs. In the first year, teachers focused on the following strategies from the Learning Strategies Curriculum: word identification, self-questioning, visual imagery, vocabulary, paraphrasing, and sentence writing. In years 2 and 3, teachers had three additional strategies in their repertoire from which to draw: fundamentals of paraphrasing and summarizing and inferencing. In these years, teachers also incorporated possible selves, which involves Learning Strategies Curriculum activities for building students’ motivation. These strategies were selected for focus because, as a group, they represented each strand of the model (Acquisition, Storage, and Expression) and provided students with tools for word recognition, comprehension, vocabulary, and writing.</t>
  </si>
  <si>
    <t>GRADE</t>
  </si>
  <si>
    <t>This investigation was implemented in 12 middle schools across a rural state. This initiative was comprised of two primary components: (a) a school-wide model that involved professional development for all content teachers in content area literacy and (b) a targeted intervention (Learning Strategies Curriculum). All students were provided the whole-school model, but only a randomly selected group of struggling readers received the Learning Strategies Curriculum. Although it was expected that students in both the treatment and control groups would benefit similarly from the whole-school model, the randomized-controlled research design enabled us to ascertain the effectiveness of the targeted intervention over and above the whole-school model.</t>
  </si>
  <si>
    <t>Interv Grade6</t>
  </si>
  <si>
    <t>p.8 The Learning Strategies Curriculum was developed to assist adolescents with LD in the general education classroom and is divided into three strands: (a) acquisition, (b) storage, and (c) expression. The acquisition strand was geared toward helping students gain information from text. This strand included strategies such as word identification, visual imagery, self-questioning, and paraphrasing. ... The storage stand included the following strategies: FIRST-letter Mnemonic, Paired-Associates, and the LINCS Vocabulary Learning Strategy. ... The expression strand included strategies for assisting students with writing and academic competence. It included the Sentence Writing Strategy, the InSPECT strategy, the Theme Writing Strategy, the Assignment Completion Strategy, and the Test-Taking Strategy.</t>
  </si>
  <si>
    <t>Cont Grade6</t>
  </si>
  <si>
    <t>Students who were selected for the control group received a regular elective as part of their sixth- or ninth-grade program. A wide range of electives was taken, including band, chorus, civics, and physical education. In general, it was not expected that the electives included sufficient literacy content to influence the literacy achievement of students in the control group, as these courses did not include defined targeted reading skill components. Reading intervention teachers did not interact with or teach students in the control group, and intervention teachers did not share teaching or learning strategies with other teachers who may have influenced the performance of students in the control group.</t>
  </si>
  <si>
    <t>Interv Grade9</t>
  </si>
  <si>
    <t>Cont Grade9</t>
  </si>
  <si>
    <t>TLS+Email</t>
  </si>
  <si>
    <t>Students learned to identify toplevel structure in texts, to understand the signal words and other cues indicating the various forms of such structure, and to discuss examples of these in commonly encountered text materials. Three male older adults with a mean age of 54 years provided motivational support to students in the TLSe-mail group. Each of the older adults was responsible for 9 or 10 students in the TLS-e-mail group.</t>
  </si>
  <si>
    <t>reading comprehension test</t>
  </si>
  <si>
    <t>Sample size for each condition was not reported. Paired t-test result of TLS+Emal reading comprehension test: t(26) = -6.62, p &lt; .0001, r = .65.</t>
  </si>
  <si>
    <t>NAPLAN reading test</t>
  </si>
  <si>
    <t>Sample size for each condition was not reported. Paired t-test result of TLS+Emal NAPLAN: t(21) = -4.69, p &lt; .0001, r = .51.</t>
  </si>
  <si>
    <t>Students learned to identify toplevel structure in texts, to understand the signal words and other cues indicating the various forms of such structure, and to discuss examples of these in commonly encountered text materials.</t>
  </si>
  <si>
    <t>Sample size for each condition was not reported. Paired t-test result of TLS+Emal reading comprehension test: t(21) = -3.71, p &lt; .0001, r = .37.</t>
  </si>
  <si>
    <t>Sample size for each condition was not reported. Paired t-test result of TLS+Emal NAPLAN: t(22) = -5.94, p &lt; .0001, r = .61.</t>
  </si>
  <si>
    <t>Sample size for each condition and relevant statistics report for control condition were not reported</t>
  </si>
  <si>
    <t>A23:F45</t>
  </si>
  <si>
    <t>G23:P45</t>
  </si>
  <si>
    <t>Q23:Y45</t>
  </si>
  <si>
    <t>Z23:AJ45</t>
  </si>
  <si>
    <t>A3:AJ45</t>
  </si>
  <si>
    <t>A23:AJ45</t>
  </si>
  <si>
    <t>Total SO FAR</t>
  </si>
  <si>
    <t>The accurate sample size in each group is not reported. We use the total sample size (76) devided by 3 conditions to get the average sample size in each condition.</t>
  </si>
  <si>
    <t>P. 46 (Abstract) 75 upper elementary school students were assigned to four treatment groups.
I thought upper elementary in US is Grades 4, 5</t>
  </si>
  <si>
    <t>The grade level is reported as upper elementary. In the US, upper elementary is considered as grade 4 and 5.</t>
  </si>
  <si>
    <t xml:space="preserve"> -- </t>
  </si>
  <si>
    <t>1 = disseration</t>
  </si>
  <si>
    <t>2 = report/chapter/others</t>
  </si>
  <si>
    <t xml:space="preserve">0 = peer reviewed paper </t>
  </si>
  <si>
    <t xml:space="preserve"> 0 = RCT </t>
  </si>
  <si>
    <t xml:space="preserve">1 = QED with matched group </t>
  </si>
  <si>
    <t>AC (other area)</t>
  </si>
  <si>
    <t xml:space="preserve">c = code-based  </t>
  </si>
  <si>
    <t>3 = NA (for BAU/AC Condition)</t>
  </si>
  <si>
    <t>Alhabahba et al., 2016</t>
  </si>
  <si>
    <t>Jordan</t>
  </si>
  <si>
    <t xml:space="preserve">1 = QED with matched group  </t>
  </si>
  <si>
    <t>CORI</t>
  </si>
  <si>
    <t>CORI is also known as an instructional reading intervention program that combines science instruction, strategy instruction, a set of motivational practises developed to advance school students’ comprehension, motivation (i.e. intrinsic), and strategy learning and use (Guthrie, 2004).</t>
  </si>
  <si>
    <t>Post RC test</t>
  </si>
  <si>
    <t>Pretest SMD is not reported, but it is reported to be non-significant (the pre-RCT was not significantly related to post-RCT at (F = .062, df = 1,63, p = .804).)</t>
  </si>
  <si>
    <t>Regarding the context of the study, it is important to highlight what constitutes traditional reading method in Jordan, compared with other regions of the world. In most cases, schools in Jordan receive limited funding from the government and, therefore, conducting up-to-date professional development is unlikely to occur (Alhabahba et al., 2016). Thus, teachers are left by their own to figure out and choose teaching styles that they think suitable for their students. Thus, with the authoritarian power that exists in the context, teachers focus on rote learning and memorisation that do not support student-centred and task-based learning approaches.</t>
  </si>
  <si>
    <t>Netherlands</t>
  </si>
  <si>
    <t xml:space="preserve">PBL + ‘Who reads this’ </t>
  </si>
  <si>
    <t>Within the programme, numerous different possibilities were utilized to involve the children in the reading and writing of texts to the greatest extent possible and keep them highly involved. The most important motivational factors proved to be an exciting begin for each unit, choosing the problem oneself, working the problem out into a concrete product and the actual presentation of the product. The problem-oriented reading programme consists of a manual for the teacher and a workbook for the pupils. In the manual, relatively detailed descriptions of how the lessons can be implemented are provided. A large number of suggestions and tips are also provided with regard to the guidance of small groups of pupils. The workbooks contain texts, instructions, explanations and tasks.</t>
  </si>
  <si>
    <t xml:space="preserve">NA </t>
  </si>
  <si>
    <t>Reading Comprehension Test</t>
  </si>
  <si>
    <t>Control = ‘Who reads this’</t>
  </si>
  <si>
    <t>the pupils in the control group according to the usual reading comprehension programme ‘Who reads this’ (Wie dit leest) (Aarnoutse &amp; Van de Wouw, 1991). With the exception of the reading comprehension lessons, the pupils were otherwise taught in the usual manner according to the remaining sections of the standard programme (i.e., technical reading, information processing and reading promotion).</t>
  </si>
  <si>
    <t>Wigfield et al., 2008</t>
  </si>
  <si>
    <t>CORI (5t, 2school)</t>
  </si>
  <si>
    <t>Concept-Oriented Reading Instruction. As noted earlier, CORI is based on the engagement model of reading development (Guthrie &amp; Wigfield, 2000). The model suggests that effective instruction for comprehension includes support for motivational, cognitive, conceptual, and social processes within the classroom. Within CORI, students’ processes of engagement were explicitly supported through five practices: (a) using content goals in a conceptual theme for reading instruction, (b) affording choices and control to students, (c) providing hands-on activities, (d) using interesting texts for instruction, and (e) organizing collaboration for learning from text (see Guthrie, 2004). To implement the practice of using content goals in a conceptual theme during reading instruction, students were taught reading comprehension in the theme of ecology, following the science goals prescribed by the school district.</t>
  </si>
  <si>
    <t>Gates Comprehension Test (level 4)</t>
  </si>
  <si>
    <t>Equivalent: PRETEST is not provided, but the authors claimed "We used an equivalent group’s pretest–posttest design (Pedhazur &amp; Schmelkin, 1991)."</t>
  </si>
  <si>
    <t>Multiple text comprehension</t>
  </si>
  <si>
    <t xml:space="preserve">SI (7t, 2school) </t>
  </si>
  <si>
    <t>SI. The implementation was designed to be as similar as possible to existing practices of multiple strategy instruction that are consistent with research-based recommendations (National Reading Panel, 2000) and to the strategy instruction in CORI described previously.
(Strategy Instruction in CORI. Systematic, explicit instruction in reading comprehension was provided in CORI. This instruction was embedded in the six practices designed to support reading engagement. Explicit strategy instruction was provided for the following reading comprehension strategies: (a) activating background knowledge, (b) questioning, (c) searching for information, (d) summarizing, (e) organizing graphically, and (f) identifying story structure. Each of the six strategies was taught for 1 week in the order presented (a) through (f), and in the next 6 weeks, strategies were systematically integrated with each other.)</t>
  </si>
  <si>
    <t xml:space="preserve">Accurate sample size is not reported. We use the total sample size (315) to devide the number of condition (3) to get an average of 105 students in each condition. </t>
  </si>
  <si>
    <t>TI (3t, 1school)</t>
  </si>
  <si>
    <t>Traditional Instruction  TI consisted of three classrooms in a school selected by the district to be comparable to the CORI and SI schools. Teachers provided their normal reading and language arts instruction with basal materials, trade books, and vocabulary books. We collected pre- and posttest data, but did not provide professional development, or any materials to these classrooms.</t>
  </si>
  <si>
    <t>Israel</t>
  </si>
  <si>
    <t>IG (CORI adapted)</t>
  </si>
  <si>
    <t>The intervention program was built by the researchers in collaboration with the IG teacher based on three practices out of five from the CORI reading motivation program
(a) Five days a week, the IG teacher spent 10 minutes reading aloud a chapter from a book. (b) During two weekly lessons (90 minutes), students visited a learning center and were engaged with various written materials, board and card games related to letters and words, and participated in activities like solving riddles, completing poems and crossword puzzles. (c) During one weekly lesson (45 minutes), children invented games containing words they had already learned.</t>
  </si>
  <si>
    <t>Reading comprehension  Accuracy (from RAMA-the Israeli National Authority for Measurement and Evaluation (2015))</t>
  </si>
  <si>
    <t xml:space="preserve">Equivalent: Pretest equivalence is provided on phonological awareness and reading motivation. </t>
  </si>
  <si>
    <t>Control Group</t>
  </si>
  <si>
    <t>All children learned an equal number of reading and writing lessons, using the official phonetic reading program of the Ministry of Education in Israel. While the IG acquired reading using a variety of activities designed to enhance reading motivation, the CG acquired reading skills using booklets, workbooks and worksheets. The CG children were instructed to practice these basic skills using their workbooks, while the IG children used a variety of relevant reading materials, games and activities, and were given the opportunity to choose assignments and reading materials and encouraged to work in collaboration with fellow classmates.</t>
  </si>
  <si>
    <t xml:space="preserve">In the first phase, emphasis was placed on content in the conceptual theme for reading instruction, to offer female school students an involving and meaningful learning environment. This included learning about animals and their living conditions in their context. Second, the teachers provided hands-on activities to motivate female students’ situational interest, which included field observation of living animals and plants, and experiments on seed planting (refer to Appendix). The third phase included using information sources and interesting texts in relation to the conceptual theme (e.g., defined conceptual theme in relation to the topic taught by teachers). Fourth, the teachers provided some interesting texts and exercises to the students. The fifth phase included teaching a set of strategies that are considered effective in developing reading comprehension. Such strategies included activating background knowledge, self-questioning, looking up information, and forming graphically (refer to Guthrie &amp; Wigfield, 2000; Guthrie, 2004; Guthrie &amp; Taboada, 2004; Guthrie et al., 2007). It is noteworthy to mention that supplementary texts were provided and ranged from easy to difficult. These reading texts were selected based on some criteria, which included, amongst all, suitability of the texts to the cultural and learning values in relation to the context. The teacher participants and the director of supervision Department of Education in the context of the study were also consulted during the selection of the reading texts. </t>
  </si>
  <si>
    <t>Reading Comprehension Test (RCT)</t>
  </si>
  <si>
    <t>SES was estimated based on government-reported data</t>
  </si>
  <si>
    <t>in the control group the traditional teaching method was used.</t>
  </si>
  <si>
    <t>Aarnoutse &amp; Schellings, 2003</t>
  </si>
  <si>
    <t>The pupils in the experimental group were taught according to the experimental programme and the pupils in the control group according to the usual reading comprehension programme Who reads (Wie dit leest)</t>
  </si>
  <si>
    <t>As noted earlier, CORI is based on the engagement model of reading development (Guthrie &amp; Wigfield, 2000). The model suggests that effective instruction for comprehension includes support for motivational, cognitive, conceptual, and social processes within the classroom. Within CORI, students’ processes of engagement were explicitly supported through five practices: (a) using content goals in a conceptual theme for reading instruction, (b) affording choices and control to students, (c) providing hands-on activities, (d) using interesting texts for instruction, and (e) organizing collaboration for learning from text (see Guthrie, 2004). To implement the practice of using content goals in a conceptual theme during reading instruction, students were taught reading comprehension in the theme of ecology, following the science goals prescribed by the school district. Systematic, explicit instruction in reading comprehension was
provided in CORI. This instruction was embedded in the six practices designed to support reading engagement. Explicit strategy instruction was provided for the following reading comprehension strategies: (a) activating background knowledge, (b) questioning, (c) searching for information, (d) summarizing, (e) organizing graphically, and (f) identifying story structure. Each of the six strategies was taught for 1 week in the order presented (a) through (f), and in the next 6 weeks, strategies were systematically integrated with each other. The exception was story structure, which was taught in allweeks.</t>
  </si>
  <si>
    <t>GMRT (Gates-MacGinitie Comprehension Test)</t>
  </si>
  <si>
    <t>Sample size for each condition was not reported</t>
  </si>
  <si>
    <t>SI</t>
  </si>
  <si>
    <t>The second instructional framework used as a treatment condition in this study was SI. The implementation was designed to be as similar as possible to existing practices of multiple strategy instruction that are consistent with research-based recommendations (National Reading Panel, 2000) and to the strategy instruction in CORI described previously. Teachers used the materials within their schools consisting of basal programs and some trade books. SI teachers used information texts for science and social studies as approximately 30% of their reading materials. The SI teachers taught the same county-based life science objectives (with heavy emphasis on ecology) and included the same science observations and activities (e.g., aquariums) as the CORI teachers. No explicit support for student motivation was stipulated in the SI program, although teachers used a variety of practices to motivate their students to read. In particular, SI teachers provided support for students’ self-efficacy by enabling them to become confident in using strategies as tools to improve their reading. The sequence of strategies was the same in SI and CORI.</t>
  </si>
  <si>
    <t>TI</t>
  </si>
  <si>
    <t>TI consisted of three classrooms in a school selected by the district to be comparable to the CORI and SI schools. Teachers provided their normal reading and language arts instruction with basal materials, trade books, and vocabulary books. We collected pre- and posttest data, but did not provide professional development, or any materials to these classrooms.</t>
  </si>
  <si>
    <t>IG</t>
  </si>
  <si>
    <t>CORI: The intervention program was built by the researchers in collaboration with the IG teacher based on three practices out of five from the CORI reading motivation program, which is usually used with older children (third graders and up). Relevance, choice and collaboration were chosen because they are most be suitable to young children who are being exposed to formal reading instruction and can be easily implemented in the formal required curriculum for language arts in first grade. The additional two practices of CORI—success and thematic units—were not used in the current intervention program because they are more suitable for older children who are at a more advanced stage of reading and, therefore, can accurately evaluate their reading abilities and are able to structure the content of reading activities presented to them.</t>
  </si>
  <si>
    <t>RAMA Reading comprehension</t>
  </si>
  <si>
    <t>CG</t>
  </si>
  <si>
    <t>An additional classroom of children in the same school served as a control group (CG) and went through the year with the traditional official curriculum in Hebrew for reading instruction While the IG acquired reading using a variety of activities designed to enhance reading motivation, the CG acquired reading skills using booklets, workbooks and worksheets. The CG children were instructed to practice these basic skills using their workbooks, while the IG children used a variety of relevant reading materials, games and activities, and were given the opportunity to choose assignments and reading materials and encouraged to work in collaboration with fellow classmates.</t>
  </si>
  <si>
    <t>Nevo &amp; Vaknin-Nusbaum, 2020</t>
  </si>
  <si>
    <t>% of 
Minority</t>
  </si>
  <si>
    <t>NA (40 lessons; 7.5 month)</t>
  </si>
  <si>
    <t>A46:AJ57</t>
  </si>
  <si>
    <t>A3:AJ57</t>
  </si>
  <si>
    <t>% of 
second lang.</t>
  </si>
  <si>
    <t>Norway</t>
  </si>
  <si>
    <t>ERCI (103)</t>
  </si>
  <si>
    <t>The same topics were taught in the same order to the control group during the same period. Within ERCI, teachers attempted to use the following four instructional practices, which were derived from the principles of relevant background knowledge, reading comprehension strategies, reading-group organization, and reading motivation (see above).</t>
  </si>
  <si>
    <t>RC  (SRT) pretest ONLY - Sentence Reading Test</t>
  </si>
  <si>
    <t>RC  (maze)</t>
  </si>
  <si>
    <t>RC (NLCT)</t>
  </si>
  <si>
    <t>RC (RGT)</t>
  </si>
  <si>
    <t>BAU (113)</t>
  </si>
  <si>
    <t>NA - . No observations were made of control group teachers.</t>
  </si>
  <si>
    <t>RC  (SRT) pretest ONLY</t>
  </si>
  <si>
    <t>1textbook ISR (45)</t>
  </si>
  <si>
    <t>The students in the textbook ISR group read silently from the standard American literature textbook for approximately 1 h in a single sitting each week. They answered open-book adjunct questions as they read so that their reading could be verified. The questions were open-ended and consisted of a combination of knowledge-based and higher order questions. Open ended questions were considered necessary because if multiple choice questions were used, it would have allowed those students who did not want to read the option to guess instead. The questions required short answer responses that asked students to summarize, paraphrase, and make inferences. Researchers have found improved reading performance when measures of accountability were introduced alongside silent reading (Kelley and Clausen-Grace 2006; Trudel 2007), while others have noted the importance of having additional supports to ensure participants attend to the intervention (Thompson 1997).</t>
  </si>
  <si>
    <t>(Table 4) Gates-MacGinitie Reading Test</t>
  </si>
  <si>
    <t>(Table 6) Dr. Heidegger’s Experiment</t>
  </si>
  <si>
    <t>(Table 6) Narrative of Frederick Douglass</t>
  </si>
  <si>
    <t>(Table 6) A Rose for Emily</t>
  </si>
  <si>
    <t>(Table 6) The Jilting of Granny Weatherall</t>
  </si>
  <si>
    <t>2module ISR (30)</t>
  </si>
  <si>
    <t>The module ISR group read the same literary selections as the control group and the textbook ISR group but did most of their reading on computers rather than from the textbook. Like the textbook ISR group, the module ISR group read silently for approximately 1 h each week and answered the same open-book adjunct questions while they read. However, the module ISR group received additional intervention layers delivered via a computer module format designed specifically to assist with comprehension. Like the control and textbook ISR groups, the module ISR group read on fourteen different weeks, but nine of the assignments were completed with the use of the computer module, while five were text-based interventions identical to those administered to the textbook ISR group. Initially, ten computer module interventions had been scheduled, but one was cancelled due to a computer lab scheduling conflict. The computer reading modules were developed by the researchers and included a number of cognitive tools and scaffolding devices meant to improve comprehension. The modules were constructed on a PowerPoint template, and students read the material individually by clicking through the slideshows at their own pace. Orienting instructions have been found to be beneficial in helping adults attend to reading comprehension tasks (Thompson 1997) and were placed at the beginning of the slideshows to advise the readers of the usefulness and importance of the additional tools at their disposal.</t>
  </si>
  <si>
    <t>BAU (70)</t>
  </si>
  <si>
    <t>The control group covered the same reading material each week as the two treatment groups, and did so in a fashion that the teachers normally employed in previous years. Each teacher used a variety of methods to cover the material with the control classes but did not have the classes engage in ISR. The methods included student read-alouds, teacher readalouds, short readings paired with teacher-led discussions, and small group readings such as pair-share (two students) and reading circles (more than two students). The researchers’ hypothesis was that activities such as these may help students to learn the material, but that many students would learn via listening rather than reading, and fewer students would read consistently throughout the semester, leading to less uniform gains in reading comprehension than those students in the classes that took part in methodical ISR. The control classes functioned like traditional literature classes with instructional time often devoted towards historical context and the aesthetic qualities of the literature, but with less time devoted to having each individual student read for prolonged periods. Therefore, if reading amount outside of school was similar across students in all groups, which is likely considering the students were randomly assigned to the classes, each student in the control group would read less frequently and less overall than those in the treatment groups.</t>
  </si>
  <si>
    <t>CORI (4)</t>
  </si>
  <si>
    <t>% unclear</t>
  </si>
  <si>
    <t>To implement the practice of using content goals in reading instruction, students were taught reading comprehension in the conceptual theme of ecology in life science, following general science goals prescribed by the county (details about the science activities are presented below). Using content goals in a conceptual theme consists of reading instruction with a complex knowledge domain (ecology, solar system, colonial America, westward expansion) sustained for at least several weeks (Many, Fyfe, Lewis, &amp; Mitchell, 1996). Knowledge content goals provide motivation for students because they provide a purpose for using strategies, such as questioning.</t>
  </si>
  <si>
    <t>(T4) Multiple text comprehension</t>
  </si>
  <si>
    <t xml:space="preserve">age caculated based on grades </t>
  </si>
  <si>
    <t>(T4) Passage comprehension</t>
  </si>
  <si>
    <t>SI (6)</t>
  </si>
  <si>
    <t>For SI, teachers used the materials in their schools consisting of basal readers, trade books, magazines, and multimedia. They spent substantial time locating books suitable for teaching each of the six strategies in the SI program (Davis &amp; Tonks, 2004).
The SI teachers taught the same county-based life science objectives (with heavy emphasis on ecology) and included the same science observations and activities (e.g., aquariums) as the CORI teachers. SI teachers used information texts for science and social studies as approximately 30% of their reading materials. There was no explicit support for student motivation stipulated in the SI program, although teachers used a variety of practices to motivate their students to read. In particular, SI teachers usually provided support for students’ self-efficacy by enabling them to become confident in using strategies as tools to read better, which can facilitate reading self-efficacy (Bandura, 1997). The sequence of strategies was the same in SI and CORI.</t>
  </si>
  <si>
    <t>CORI (9)</t>
  </si>
  <si>
    <t>The CORI and SI instructional frameworks were the same in Study 2 as in Study 1. The reading comprehension strategies were identical, and the motivational practices were the same.</t>
  </si>
  <si>
    <t>Passage comprehension (Pre/post)</t>
  </si>
  <si>
    <t>Gates-MacGinitie Reading Comprehension Test</t>
  </si>
  <si>
    <t>SI (11)</t>
  </si>
  <si>
    <t>The CORI and SI instructional frameworks were the same in Study 2 as in Study 1. The reading comprehension strategies were identical, and the motivational practices were the same.
SI and TI teachers used reading materials available to them in their schools.</t>
  </si>
  <si>
    <t>TI (4)</t>
  </si>
  <si>
    <t>TI consisted of an extensive amount of text interaction with a variety of basal materials and trade books. Strategies such as predicting and activating background knowledge were taught implicitly as appropriate to the text. Struggling readers were given appropriately differentiated instruction and reading materials. 
SI and TI teachers used reading materials available to them in their schools.</t>
  </si>
  <si>
    <t>Finland</t>
  </si>
  <si>
    <t>RT Goal</t>
  </si>
  <si>
    <t>The RT Goal program consisted of eight preplanned and documented 1.5 h sessions held once a week, during which the play was rehearsed and finally performed for an audience of classmates. The groups followed the same lesson structure until the halfway point (see Table 2). The main difference between the RT Practice and RT Goal programs was the preparation process for the final performance, which started earlier and was more intensive for the RT Goal group. The RT Practice students practiced the play without the goal of performing it for an audience; instead, they had the opportunity to briefly introduce the characters to an audience. In this way, both groups had a chance to perform on stage.</t>
  </si>
  <si>
    <t>Computerized Reading Comprehension</t>
  </si>
  <si>
    <t>The study reported SE. We compute the standard deviation (SD) from it by simply multiplying it by the square root of the sample size.</t>
  </si>
  <si>
    <t>RT Practice</t>
  </si>
  <si>
    <t>Table 2 provides an overview of the program lesson structure. The program focused on practicing a single play script (1000 words/8 acts) entitled “Velhokisat” [Wizard Contest] written for the research project by drama teachers. The reading exercises in the program were designed around this script. Each session consisted of a greeting circle, reading exercises, and ending routines. A drama contract (Neelands, 1984) was introduced during the first session to ensure a safe learning environment for everyone. A drama contract explains the type of drama work to be completed and the basic principles of group work (e.g., everyone is allowed to participate in their own way, all participation is voluntary, and the self is separated from the acting role and thereby protected during role-play) (Heyward, 2010).</t>
  </si>
  <si>
    <t>Control Condition  The students in the Control group received school-based reading support, including possible special education lessons in reading. In addition, to improve the comparability between groups in the amount of oral reading, classes and special needs teachers were asked to provide these students with an additional 10-minute practice session in oral RF twice a week. To encourage this activity, the researchers provided the teachers with age-appropriate print reading materials.</t>
  </si>
  <si>
    <t>MORE</t>
  </si>
  <si>
    <t>See figure 1: 10 Day Lesson Sequence for 1 MORE Unit on Artic Animal Survival</t>
  </si>
  <si>
    <t>MAP RC</t>
  </si>
  <si>
    <t>*DIBLE (Combined - word reading fluency, oral reading fluency, and retell ability)</t>
  </si>
  <si>
    <t>Table 2  Informational and Narrative Books Used in Read-Alouds in MORE and TI Conditions</t>
  </si>
  <si>
    <t>Andreassen &amp; Braten, 2011</t>
  </si>
  <si>
    <t>Within ERCI, teachers attempted to use the following four instructional practices, which were derived from the principles of relevant background knowledge, reading comprehension strategies, reading-group organization, and reading motivation</t>
  </si>
  <si>
    <t>SRT - pretest ONLY</t>
  </si>
  <si>
    <t>maze - posttest ONLY</t>
  </si>
  <si>
    <t>NCLT - posttest ONLY</t>
  </si>
  <si>
    <t>RGT - posttest ONLY</t>
  </si>
  <si>
    <t>In the same period, the students in the control group were taught according to the same social studies curriculum using ordinary practices, that is, with no special emphasis on reading comprehension instruction.
No professional development was provided for the teachers of the control group. They were briefly informed about the project and their role as control group teachers before the intervention started. In addition, they were only contacted to make appointments in connection with the pre- and post-tests. After the post-test, a questionnaire concerning their reading lessons and social studies instruction was sent to them. To try to avoid compensatory rivalry in participants not receiving treatment (Shadish, Cook, &amp; Campbell, 2002), the control teachers were offered similar professional development the next school year.</t>
  </si>
  <si>
    <t>NA (for BAU/AC Condition)</t>
  </si>
  <si>
    <t>Cuevas et al., 2012</t>
  </si>
  <si>
    <t>textbook ISR</t>
  </si>
  <si>
    <t>10</t>
  </si>
  <si>
    <t xml:space="preserve">The students in the textbook ISR group read silently from the standard American literature textbook for approximately 1 h in a single sitting each week. They answered open-book adjunct questions as they read so that their reading could be verified. The questions were open-ended and consisted of a combination of knowledge-based and higher order questions. Open ended questions were considered necessary because if multiple choice questions were used, it would have allowed those students who did not want to read the option to guess instead. The questions required short answer responses that asked students to summarize, paraphrase, and make inferences. </t>
  </si>
  <si>
    <t>GMRT</t>
  </si>
  <si>
    <t>individual assignment1 - Dr. Heidegger's Experiment</t>
  </si>
  <si>
    <t>individual assignment2 - Narrative of Frederick Douglass</t>
  </si>
  <si>
    <t>individual assignment3 - A Rose for Emily</t>
  </si>
  <si>
    <t>individual assignment4 - The Jilting of Granny Weatherall</t>
  </si>
  <si>
    <t>module ISR</t>
  </si>
  <si>
    <t>The module ISR group read the same literary selections as the control group and the textbook ISR group but did most of their reading on computers rather than from the textbook. Like the textbook ISR group, the module ISR group read silently for approximately 1 h each week and answered the same open-book adjunct questions while they read. However, the module ISR group received additional intervention layers delivered via a computer module format designed specifically to assist with comprehension. Like the control and textbook ISR groups, the module ISR group read on fourteen different weeks, but nine of the assignments were completed with the use of the computer module, while five were text-based interventions identical to those administered to the textbook ISR group. Initially, ten computer module interventions had been scheduled, but one was cancelled due to a computer lab scheduling conflict. The computer reading modules were developed by the researchers and included a number of cognitive tools and scaffolding devices meant to improve comprehension. The modules were constructed on a PowerPoint template, and students read the material individually by clicking through the slideshows at their own pace. Orienting instructions have been found to be beneficial in helping adults attend to reading comprehension tasks (Thompson 1997) and were placed at the beginning of the slideshows to advise the readers of the usefulness and importance of the additional tools at their disposal. Advance organizers were provided to stimulate background knowledge, activate schema, and help generate predictions. Questions were presented that asked the students to paraphrase the information contained in the advance organizers in writing to encourage them to encode that information into memory. In order to trigger inferences and predictions, probe words from within the text that were central to its meaning flashed across the screen prior to certain chunks of text. A vocabulary function allowed students to scroll over words in the text to reveal their meaning as they were used within the context of the passage. Students answered adjunct questions that may have served to stimulate metacognition, because answering the questions would help make the students aware of their level of understanding of the text. The questions were embedded within the module on the screen so that students would not have to look away from the text to consider the questions. All these tools—the advance organizers, the probe words, the vocabulary function, the adjunct questions—combined to create a layer of cognitive strategies to assist the students with reading comprehension.</t>
  </si>
  <si>
    <t>The control group covered the same reading material each week as the two treatment groups, and did so in a fashion that the teachers normally employed in previous years. Each teacher used a variety of methods to cover the material with the control classes but did not have the classes engage in ISR. The methods included student read-alouds, teacher read alouds, short readings paired with teacher-led discussions, and small group readings such as pair-share (two students) and reading circles (more than two students). The researchers’ hypothesis was that activities such as these may help students to learn the material, but that many students would learn via listening rather than reading, and fewer students would read consistently throughout the semester, leading to less uniform gains in reading comprehension than those students in the classes that took part in methodical ISR. The control classes functioned like traditional literature classes with instructional time often devoted towards historical context and the aesthetic qualities of the literature, but with less time devoted to having each individual student read for prolonged periods. Therefore, if reading amount outside of school was similar across students in all groups, which is likely considering the students were randomly assigned to the classes, each student in the control group would read less frequently and less overall than those in the treatment groups.</t>
  </si>
  <si>
    <t>Guthrie et al., 2004 study1</t>
  </si>
  <si>
    <t>3</t>
  </si>
  <si>
    <t>Within CORI, students’ motivation and engagement were explicitly supported through five practices: (a) using content goals for reading instruction, (b) affording choices and control to students, (c) providing hands-on activities, (d) using interesting texts for instruction, and (e) organizing collaboration for learning from text. SI was intended to support students’ development of self efficacy for reading comprehension. 
CORI teachers participated in a 10-day workshop that included viewing examples of instruction, performing the reading strategies, discussing motivational practices, constructing reading–science integrations, identifying books appropriate for this instruction, and planning for the 12-week theme using a teacher’s guide supplied by the project. SI teachers participated in a 5-day workshop that included viewing examples of instruction, performing the reading strategies, discussing motivational practices, identifying books appropriate for this instruction, and planning 12 weeks of instruction using a teacher’s guide supplied by the project. During the SI workshop, teachers identified books and materials for SI. We provided guidance in how to align texts with specific strategies and how to use available narrative and information texts for instruction in each strategy.</t>
  </si>
  <si>
    <t>multiple text comprehension</t>
  </si>
  <si>
    <t>passage comprehension</t>
  </si>
  <si>
    <t>In CORI, explicit SI was provided for the following reading comprehension strategies: (a) activating background knowledge, (b) questioning, (c) searching for information, (d) summarizing, (e) organizing graphically, and (f) identifying story structure. Each strategy was taught for one week in the order presented previously (6 weeks), and in the next 6 weeks, strategies were systematically integrated with each other. This sequence enabled students to gain command of the individual strategies, as well as to fuse them in complex comprehension activities in the classroom. Throughout, the strategies were modeled by the teacher and scaffolded according to students’ needs, with guided practice provided. This frame is similar to the recommendations and practices for multiple SI, as described in the National Reading Panel (2000) report. Several investigators have detailed reading strategies including explicit teaching for background knowledge, questioning, summarizing, searching for information, organizing graphically, and learning story grammar from literary materials (Trabasso &amp; Bouchard, 2002). SI emphasized the attributes of competence in doing the strategy, awareness of when and how to use each strategy, and self-initiation of the strategy to assure sustained self-regulation of effective reading. 
For SI teachers, we discussed the motivational practice of supporting student self-efficacy in reading by enabling students to perceive their improvement in strategies and to set realistic goals for their strategy development. The SI workshop was shorter because teachers did not develop the science activities, other motivational practices, or science–reading integrations. The activities and time devoted to SI training were quite similar across the two workshops, as were the amounts of time teachers had to plan their lessons.</t>
  </si>
  <si>
    <t>Guthrie et al., 2004 study2</t>
  </si>
  <si>
    <t>The CORI and SI instructional frameworks were the same in Study 2 as in Study 1. The reading comprehension strategies were identical, and the motivational practices were the same. However, in Study 2, a plan for instructing struggling readers was implemented in CORI classrooms. 30 min daily, students identified by the teacher as substantially lower achieving than others in the class were given instruction focusing on fluency development and simplified SI consistent with the conceptual theme. In some classrooms, these students were pulled out by a special education teacher, and in other classrooms, the regular teacher provided instruction (Guthrie, 2004). Instruction for struggling readers was emphasized in SI classrooms in ways that were comparable to the approach used in CORI. In-classroom differentiated teaching and pullout for special education were provided for all such students as appropriate.</t>
  </si>
  <si>
    <t>GMRCT</t>
  </si>
  <si>
    <t>Study 2 included a comparison group consisting of TI, in which no intervention was included. TI consisted of an extensive amount of text interaction with a variety of basal materials and trade books. Strategies such as predicting and activating background knowledge were taught implicitly as appropriate to the text. Struggling readers were given appropriately differentiated instruction and reading materials.</t>
  </si>
  <si>
    <t>Hautala et al., 2023</t>
  </si>
  <si>
    <t>computerized reading comprehension</t>
  </si>
  <si>
    <t>SD was calculated using SE and n</t>
  </si>
  <si>
    <t xml:space="preserve"> </t>
  </si>
  <si>
    <t>The students in the Control group received school-based reading support, including possible special education lessons in reading. In addition, to improve the comparability between groups in the amount of oral reading, classes and special needs teachers were asked to provide these students with an additional 10-minute practice session in oral RF twice a week. To encourage this activity, the researchers provided the teachers with age-appropriate print reading materials.</t>
  </si>
  <si>
    <t>Kim et al., 2021</t>
  </si>
  <si>
    <t>MORE (MS+MS-H)</t>
  </si>
  <si>
    <t>1</t>
  </si>
  <si>
    <t>In Lessons 1 and 2, teachers introduced the first informational text with the target science words and instructed children how to organize the words into a concept map. The goal of the first two MORE lessons was for students to know who would win in a fight: a polar bear or a grizzly bear. The teacher conducted an interactive read-aloud of Who Would Win? Polar Bear Versus Grizzly Bear (Pallotta, 2015). Students were also explicitly taught the following key science concepts: survive, physical feature, behavior, and advantage. For each concept, the teacher made a connection to the interactive read-aloud and gave students a child-friendly definition. Students were asked to say the concept word with the teacher, trace the letters to spell the concept, and copy the definition in their MORE research notebook along with characteristics and/or examples associated with the concept. Finally, the teacher led students through a brief activity that asked them to actively work with the new concept. Concepts were organized in a large “class concept map” that was given a prominent position in the classroom. In Lessons 3 through 5, teachers used new informational texts connected to the theme of Arctic animal survival during interactive read-alouds, provided repeated exposures to target words, and introduced the argumentative writing activity. Thus, the chief goal of the remaining lessons was for students to leverage their emerging domain and topic knowledge in becoming Arctic animal experts. MORE teachers continued to build students’ topic knowledge on the Arctic—and specifically polar bears in the Arctic—through interactive read-alouds of books (Where do Polar Bears Live?; Thomson, 2009; Polar Bears and the Arctic; Osborne &amp; Byce, 2007). In each lesson, the teacher either introduced a new key concept to students or engaged them in an activity to keep them working with the concepts, for example, having groups decide where to place an image on the class concept map or having a group sort words and pictures on a concept map. In these lessons, the teacher also introduced an argumentative writing strategy called “A-TREE” (Graham &amp; Harris, 2005) and students used A-TREE to discuss and write an argumentative response to the open-ended question: “Could you survive in the Arctic?” In Lessons 6 through 10, teachers continued to implement the core MORE practices and also added collaborative research activities. Thus, the goal in Lessons 6–9 remained the same but teachers organized students into leveled research groups and, rather than the whole class researching polar bears, each group researched a different Arctic animal: lemming, snowy owl, Arctic fox, or narwhal. Students continued to work with the A-TREE strategy. This time, they used A-TREE to engage in a discussion and write an argumentative response to the open-ended question: Should people who live in the Arctic be allowed to hunt and kill seals? Students shared their expertise on the Artic animal they studied, and students in the MS-H classrooms also chose three books and homework activities to complete during spring vacation.</t>
  </si>
  <si>
    <t>RC - MAP</t>
  </si>
  <si>
    <t>RC (retell) - DIBELS</t>
  </si>
  <si>
    <t>Program differentiation in read-aloud texts presented in Table 2. Program differentiation in literacy tasks presented in Supplement C.</t>
  </si>
  <si>
    <t>Law, 2011</t>
  </si>
  <si>
    <t>Hong Kong</t>
  </si>
  <si>
    <t>Jigsaw group</t>
  </si>
  <si>
    <t>In lessons 1 and 2, the teacher taught the text following a whole-class approach. In lessons 3–5, students were assigned to six home groups comprising students of different ability, with five to six students in each group. Members from each home group formed six expert groups and each group was given one particular topic related to the text they had learned in the first and second lessons. Students were encouraged to explore and discuss the topic in each expert group. Then, they returned to their home groups to share what they had discussed in the expert groups. During group discussion, the teacher monitored whether the six groups had understood the topics and whether they could discuss the topic in depth, with the teacher offering suggestions if needed. After sharing their understanding in the home groups, students returned to the expert group and shared the comments and suggestions from their home groups. Then each expert group asked one member to present their ideas to the whole class. During their presentations, teachers raised questions and made comments based on the students’ presentations. Students were also encouraged to give responses to their classmates in front of the whole class. The object of asking a student from an expert group to present to the whole class was to provide opportunities for teachers to give feedback about what students had learned from the group discussions. Teachers also invited students to make comments on the topics discussed. The whole class interaction provided the students with an opportunity to learn from the teachers’ feedback and to show that they understood the topics in depth.</t>
  </si>
  <si>
    <t>reading comprehension</t>
  </si>
  <si>
    <t>Drama group</t>
  </si>
  <si>
    <t>Similar to condition 1, in lessons 1 and 2 the teacher taught the students to comprehend the text following a whole-class approach. In lessons 3–5, students were assigned to six heterogeneous groups with five to six students in each group. At the beginning of the third lesson, students were asked to play the roles of the main characters of the story. Each group told the story from the perspective of the role they were acting out for the whole class. The teacher asked questions of each group to help students understand the personal characteristics of the characters. Then, the teachers taught students how to perform a drama technique known as still-images. Each group of students was asked to discuss what the key scene of the story was, and to design a still-image to represent the key scene. When the group presented their still-image to the whole class, the teacher would ask what were the inner thoughts of the characters they had acted out. The teachers led the whole class to understand the story through challenging the characters’ thought.</t>
  </si>
  <si>
    <t>The teachers taught the students to understand the text following a whole-class approach. The teachers taught the text directly and for most of each lesson time, with students working individually, and with only a few small group activities such as discussion of some topics. Most small group activities lasted only several minutes.</t>
  </si>
  <si>
    <t>Lee, 2014</t>
  </si>
  <si>
    <t>Korea</t>
  </si>
  <si>
    <t>Treatment (peer-reading)</t>
  </si>
  <si>
    <t>The PALS program consists of three segments: Partner Reading with Retell, Paragraph Shrinking, and Predicting Relay. During the first activity, the more proficient reader reads aloud first for 2 min, and then the less proficient reader reads aloud the same text for 2 min. When each reader makes a mistake (i.e., saying the wrong word or leaving out a word) while reading aloud, the student serving in the tutor role asks the partner to reread the sentence. Finally, the less proficient reader retells what has happened in the text. The goal of the Partner Reading with Retell activity is to enhance students’ fluency and accuracy in their reading (Simmons, Fuchs, Fuchs, &amp; Hodge, 1994). Students receive 1 point for each correctly read sentence, and the less proficient reader earns 3 points for the retell. Thus, students should be active in and responsible for their learning (D. Fuchs et al., 2000). The second PALS activity is Paragraph Shrinking. The more proficient reader starts reading aloud one paragraph, with the less proficient reader asks the more proficient reader three questions, such as “What or who is the paragraph mainly about?” “What is the important thing about the what or who?” and “Please, tell me the main idea in 10 words or less.” After 4 min, the two partners switch roles. Then, the less proficient reader reads aloud a new paragraph and identifies the main idea of the paragraph. Students receive 1 point for correct responses to each question. The purpose of the Paragraph Shrinking is to provide students opportunities to monitor their comprehension in their attempts to reduce textual information (D. Fuchs et al., 2000). The last PALS activity, Prediction Relay, requires students to make predictions about what will happen next in the story. The more proficient reader makes a prediction about what will occur next; if the prediction is reasonable, he or she earns 1 point. Then, the strong reader reads the next half page, and confirms or disconfirms the previously stated prediction. Afterward, the students switch their roles and the less proficient reader predicts what will happen next on the following page of the text.</t>
  </si>
  <si>
    <t>2 = individual  (1–2 students)</t>
  </si>
  <si>
    <t>Standardized reading skill test</t>
  </si>
  <si>
    <t>Control (self-reading)</t>
  </si>
  <si>
    <t>self-reading condition - stuents selected books of their own choice from the list of books recommended for third-grade students by the school.</t>
  </si>
  <si>
    <t>Taboada Barber et al., 2018</t>
  </si>
  <si>
    <t>USHER (whole)</t>
  </si>
  <si>
    <t>6</t>
  </si>
  <si>
    <t>As part of the USHER implementation, we provided teachers with high-interest, informational trade books and lesson plans that included four cognitive reading strategies (activating background knowledge, identifying the main idea and supporting details, student text-based questioning, and organizing information graphically; National Reading Panel, 2000) and three motivation practices (supports for reading self-efficacy, student collaboration, and relevance) for specific units in their social studies curriculum. Each unit consisted of five to ten 45-min instructional periods. We selected trade books to represent a variety of reading levels while addressing standards-based knowledge and concepts in the social studies curriculum. Specifically, students in Sequence A were taught with USHER units related to American Indians, European exploration, and two cultures meet (i.e., interactions between the American Indians and European Explorers), whereas students in Sequence B were taught with USHER units related to colonization, people in colonial America, and events leading to the American Revolution. During non-USHER intervention time, students were taught with the typical social studies curriculum covering the same social studies content as the USHER units.</t>
  </si>
  <si>
    <t>history reading comprehension</t>
  </si>
  <si>
    <t>Sequence A pre-midtest = USHER; Sequence B pre-midtest = BAU</t>
  </si>
  <si>
    <t>BAU (whole)</t>
  </si>
  <si>
    <t>Teachers in Sequence A taught USHER the following 5 weeks while teachers in Sequence B taught typical social studies instruction; students in Sequence B were taught with USHER units related to colonization, people in colonial America, and events leading to the American Revolution. During non-USHER intervention time, students were taught with the typical social studies curriculum covering the same social studies content as the USHER units.</t>
  </si>
  <si>
    <t>3231-1</t>
  </si>
  <si>
    <t>USHER (EL)</t>
  </si>
  <si>
    <t>3232-1</t>
  </si>
  <si>
    <t>BAU (EL)</t>
  </si>
  <si>
    <t>3231-2</t>
  </si>
  <si>
    <t>USHER (nonEL)</t>
  </si>
  <si>
    <t>3232-2</t>
  </si>
  <si>
    <t>BAU (nonEL)</t>
  </si>
  <si>
    <t>China</t>
  </si>
  <si>
    <t>Int1 –  jigsaw approach</t>
  </si>
  <si>
    <t>each group was given one particular topic related to the text they had learned in the first and second lessons. Students were encouraged to explore and discuss the topic in each expert group. Then, they returned to their home groups to share what they had discussed in the expert groups. During group discussion, the teacher monitored whether the six groups had understood the topics and whether they could discuss the topic in depth, with the teacher offering suggestions if needed. After sharing their understanding in the home groups, students returned to the expert group and shared the comments and suggestions from their home groups. Then each expert group asked one member to present their ideas to the whole class. During their presentations, teachers raised questions and made comments based on the students’ presentations. Students were also encouraged to give responses to their classmates in front of the whole class. The object of asking a student from an expert group to present to the whole class was to provide opportunities for teachers to give feedback about what students had learned from the group discussions. Teachers also invited students to make comments on the topics discussed. The wholeclass interaction provided the students with an opportunity to learn from the teachers’ feedback and to show that they understood the topics in depth.</t>
  </si>
  <si>
    <t>Int2 – drama approach</t>
  </si>
  <si>
    <t>Similar to condition 1, in lessons 1 and 2 the teacher taught the students to comprehend the text following a whole-class approach. In lessons 3–5, students were assigned to six heterogeneous groups with five to six students in each group. At the beginning of the third lesson, students were asked to play the roles of the main characters of the story.</t>
  </si>
  <si>
    <t>Control group – Direct instruction with teacher-led whole-class practices.</t>
  </si>
  <si>
    <t>PALS - Peer reading group</t>
  </si>
  <si>
    <t>BAU - self-reading group</t>
  </si>
  <si>
    <t>Reading Materials  Students selected books of their own choice from the list of books recommended for third-grade students by the school. In the treatment classroom, the less proficient readers of the pair selected books from the list.</t>
  </si>
  <si>
    <t>USHER (Sequence A)</t>
  </si>
  <si>
    <t>four cognitive reading strategies (activating background knowledge, identifying the main idea and supporting details, student text-based questioning, and organizing information graphically; National Reading Panel, 2000) and</t>
  </si>
  <si>
    <t>whereas students in Sequence B were taught with USHER units related to colonization, people in colonial America, and events leading to the American Revolution. During non-USHER intervention time, students were taught with the typical social studies curriculum covering the same social studies content as the USHER units.</t>
  </si>
  <si>
    <t>USHER - EL</t>
  </si>
  <si>
    <t>BAU - EL</t>
  </si>
  <si>
    <t>USHER - Non EL</t>
  </si>
  <si>
    <t>BAU - Non EL</t>
  </si>
  <si>
    <t>CG n = 168</t>
  </si>
  <si>
    <t>7, 8</t>
  </si>
  <si>
    <t>They explicitly taught the repertoire of seven strategies as scheduled (Table 2). The intervention concentrated on helping struggling students to become purposeful and active readers. During the intervention, students practiced each strategy at least three times. Furthermore, they were taught to integrate multiple reading strategies in the classes for the last two units. The teaching materials comprised a student book and a teacher manual. In the student book, descriptive, narrative, and expository texts were compiled into nine units. In every unit, there were three texts of about 500 to 600 words each, accompanying instructions of reading strategy practice and comprehension exercises, tasks, and activities. More particularly, each unit, except for the last two comprehensive ones, focused on a specific reading strategy in the first text and integrated other strategies in the other two texts. The teacher manual included teaching plans for all units and guidelines on how to teach students proper use of reading strategies.</t>
  </si>
  <si>
    <t>EG n = 174</t>
  </si>
  <si>
    <t>The teaching process in the control condition typically went as follows: (1) Teachers proposed questions about a text, (2) they guided students in reading the whole text and finding the answers to the questions, (3) they asked students to read aloud several paragraphs of the text, (4) they taught the new words and set phrases, (5) they explained the text structure to students, and (6) students completed comprehension exercises (Jin, 2002; Xue, 2007).</t>
  </si>
  <si>
    <t>Reading comprehension scores (maximum scores: 36)</t>
  </si>
  <si>
    <t xml:space="preserve">The group size is mixed but more than half of the intevention sessions are conducted in small group settings. </t>
  </si>
  <si>
    <t>Standardized reading skill test.</t>
  </si>
  <si>
    <t>History reading comprehension</t>
  </si>
  <si>
    <t xml:space="preserve">For this pretest–posttest comparison group with a switching replications design (Shadish, Cook, &amp; Campbell, 2002) we only include the Sequence A data because student have the same baseline equavalance. </t>
  </si>
  <si>
    <t>parallel reading comprehension tests</t>
  </si>
  <si>
    <t># session</t>
  </si>
  <si>
    <t xml:space="preserve">Total dosage (in minutes)
</t>
  </si>
  <si>
    <t>Session length (in minutes)</t>
  </si>
  <si>
    <t>A58:AI108</t>
  </si>
  <si>
    <t>A3:AI108</t>
  </si>
  <si>
    <t>read aloud &amp; discussion -&gt; cm; RT = Readers’ theatre.</t>
  </si>
  <si>
    <t>a. Internal consistency (e.g. Cronbach’s alpha) ≥ .60,  
b. Temporal stability / test-retest reliability ≥ .40,  
c. Parallel forms / split-half reliability ≥
d. Inter-rater reliability (correlation) ≥ .50,    
e. Inter-rater agreement (kappa) ≥ .60,  
f. Inter-rater agreement (percent agreement) ≥ .80</t>
  </si>
  <si>
    <t>Testing 
Language</t>
  </si>
  <si>
    <t>Overaligned?</t>
  </si>
  <si>
    <t>English</t>
  </si>
  <si>
    <t>CORI,Grade 3,Pond</t>
  </si>
  <si>
    <t>mixed</t>
  </si>
  <si>
    <t>The second phase of the CORI framework consisted of searching and retrieving information related to the students' questions. Students were taught how to use the library, find books, locate information  within expository texts, and use a diversity of community resources. In addition, direct  strategy instruction was provided to help students integrate information across sources including texts, illustrations, references, and human experts. Along with informational texts, woven through the instruction were stories, folklore, novels, and poetry. Most of the teachers began the units with a narrative related to the theme that</t>
  </si>
  <si>
    <t>0 = Researcher-developed/adapted curriculum</t>
  </si>
  <si>
    <t>0 = Classroom/Large group</t>
  </si>
  <si>
    <t>Information Text - Pond/desert</t>
  </si>
  <si>
    <t>0 = Not Reported</t>
  </si>
  <si>
    <t>Narrative Text - Pond/desert</t>
  </si>
  <si>
    <t>Pretest ONLY. Standardized reading</t>
  </si>
  <si>
    <t>TI,Grade 3,Pond</t>
  </si>
  <si>
    <t>The teachers in the traditional classrooms followed their usual pattern of using the  teacher's guide and the sequence of content  and activities in the McGraw-Hill basal program for both grades 3 and 5. Students answered the end-of-unit questions and were provided materials that matched their reading levels. Science content in the third- and  fifth-grade basal reading classrooms was  directed to similar objectives as the CORI  classrooms. Topics of adaptation, life cycles,  weather and seasons, and solar systems  were taught, but Addison-Wesley textbooks and materials were used in all traditional classes. The traditional teachers in all of the schools were frequent visitors to the  CORI classrooms, adopting some texts and  teaching approaches used in the CORI classrooms. This sharing may have led to an underestimation of the distinctiveness of the CORI program and to a conservative quasi-experimental comparison</t>
  </si>
  <si>
    <t>1 = Published/Commercially available curriculum</t>
  </si>
  <si>
    <t>CORI,Grade 3,Volcano</t>
  </si>
  <si>
    <t>Information Text - Volcano/river</t>
  </si>
  <si>
    <t>Narrative Text - Volcano/river</t>
  </si>
  <si>
    <t>TI,Grade 3,Volcano</t>
  </si>
  <si>
    <t>CORI,Grade 5,Pond</t>
  </si>
  <si>
    <t>TI,Grade 5,Pond</t>
  </si>
  <si>
    <t>CORI,Grade 5,Volcano</t>
  </si>
  <si>
    <t>TI,Grade 5,Volcano</t>
  </si>
  <si>
    <t>CORI (Low)</t>
  </si>
  <si>
    <t>Fluency instruction. During both whole class and small group instruction, teachers guided low-achieving readers in reading fluently. Fluency in this case refers to reading with speed, accuracy, and expression. Teachers modeled fluent reading on a daily basis, from both expository and narrative text. Low-achieving readers were encouraged to read text “to make it sound interesting.”
Reading comprehension. Low- and high-achieving readers were taught to monitor their text comprehension by using fix-up strategies for words they did not know, to identify the main idea and supporting details in text, and to make inferences as they read.</t>
  </si>
  <si>
    <t>Gates-MacGinitie</t>
  </si>
  <si>
    <t>known to be high</t>
  </si>
  <si>
    <t>Inferencing (Gates)</t>
  </si>
  <si>
    <t>a (.41 to .55)</t>
  </si>
  <si>
    <t>TI (Low)</t>
  </si>
  <si>
    <t>Traditional instruction. Traditional instruction was provided in three classrooms in a school selected by the district to be comparable to the CORI and strategy instruction (SI) schools. Teachers provided their normal reading and language arts instruction with basal materials, trade books, and vocabulary books. We collected pretest and posttest data but did not provide professional development or any materials to these classrooms. The daily instruction was 90 minutes, consisting of work in a basal reader, supplemented with word recognition and fluency activities. The fluency work included group repeated reading and choral reading of vocabulary. Guided reading was provided for three groups of four to five students who were grouped by reading level. Lowachieving readers were given a guided reading lesson at this time by the classroom teacher 3 days per week and by the reading specialist 2 days per week. Writing instruction consisted of sentence completion in comprehension lessons and story writing in a writer’s workshop format. Approximately twice a week for 20 minutes, time was given for independent reading, consisting of self-selected stories or novels. Within this context, lowachieving readers participated in all activities.</t>
  </si>
  <si>
    <t>CORI (High)</t>
  </si>
  <si>
    <t>TI (High)</t>
  </si>
  <si>
    <t>SEM-R,   East, G7</t>
  </si>
  <si>
    <t>During a SEM-R reading class, students are exposed to a wide range of reading selections, and then they self-select challenging books in areas of interest. While students read independently, teachers conduct individualized conferences, during which they assess the challenge level of a student’s book, provide instruction in reading skills and strategies as appropriate for each student, and ask and discuss higher level questions. Prior studies of SEM-R at the elementary level and some exploratory earlier work at the middle school level demonstrated that participating students achieved at similar or higher levels on measures of reading achievement as compared with control group students (Reis, Eckert, McCoach, Jacobs, &amp; Coyne, 2008; Reis et al., 2005; Reis, McCoach, Little, Muller, &amp; Kaniskan, 2011).</t>
  </si>
  <si>
    <t>GMRT = Gates–MacGinitie Reading Tests</t>
  </si>
  <si>
    <t>Control, East, G7</t>
  </si>
  <si>
    <t>Control group teachers conducted regular reading instruction as designated by their districts, which included textbook instruction, group or class novel studies, and other whole or small-group approaches. Observations in control group classrooms demonstrated the district-designated instructional approaches noted above; some small group as well as large group instruction was observed, but no approaches centered on individual conferences were observed in control classes.</t>
  </si>
  <si>
    <t>SEM-R,   East, G8</t>
  </si>
  <si>
    <t>Control, East, G8</t>
  </si>
  <si>
    <t>SEM-R,   West, G6</t>
  </si>
  <si>
    <t>Control, West G6</t>
  </si>
  <si>
    <t>SEM-R,   West, G7</t>
  </si>
  <si>
    <t>Control, West G7</t>
  </si>
  <si>
    <t>SEM-R,   West, G8</t>
  </si>
  <si>
    <t>Control, West, G8</t>
  </si>
  <si>
    <t>SEM-R,   South, G6</t>
  </si>
  <si>
    <t>Control, South, G6</t>
  </si>
  <si>
    <t>SEM-R,   South, G7</t>
  </si>
  <si>
    <t>Control, South, G7</t>
  </si>
  <si>
    <t>SEM-R,   South, G8</t>
  </si>
  <si>
    <t>Control, South, G8</t>
  </si>
  <si>
    <t>SEM-R,   North, G6</t>
  </si>
  <si>
    <t>Control, North G6</t>
  </si>
  <si>
    <t>SEM-R,   North, G7</t>
  </si>
  <si>
    <t>Control, North G7</t>
  </si>
  <si>
    <t>SEM-R,   North, G8</t>
  </si>
  <si>
    <t>Control, North, G8</t>
  </si>
  <si>
    <t>Guthrie &amp; Klauda, 2014</t>
  </si>
  <si>
    <t>CORI (time 1-2)</t>
  </si>
  <si>
    <t>Daily instruction typically began with 15 minutes of whole- class instruction centered on the knowledge goals of the week and day. Teachers helped students unpack complex guiding questions and relate them to prior work. For each cognitive strategy, comprehension instruction began with whole- class modeling of cognitive strategies, initially lasting 20 minutes and gradually decreasing to no time by the end of the week. At the beginning of each class, motivational- engagement support was organized and explicitly announced. For example, during the emphasis on collaboration support, teachers communicated, “You will be working as partners today,” or “You will work with your team, and you should pay attention to working well with your classmates.” Approximately 15 minutes of guided reading was provided for struggling readers, on- grade readers, and advanced readers, in that order. When they were not in guided reading groups, students either performed text- based writing or independent reading. Students were placed into flexible groups by the teacher in consultation with the instructional resources teacher in each school.</t>
  </si>
  <si>
    <t>0 = classroom setting</t>
  </si>
  <si>
    <t>Informational text comprehension</t>
  </si>
  <si>
    <t>0 = NO - Not overaligned</t>
  </si>
  <si>
    <t>a (.70, .75, .73/.73, .76, .76/.74, .75, .79)</t>
  </si>
  <si>
    <t>TI (time 1-2)</t>
  </si>
  <si>
    <t>TI was provided by the same teachers to students in reading/language arts classes during the control period for each class. This was “instruction as usual” in the school. Teaching resembled the Directed Reading–Thinking Activity framework (Stauffer &amp; Harrell, 1975 ). Goals of this instruction for literary text comprehension included understanding character development, plot, symbolism, and themes. A well- known anthology of literature was used, which included informational texts such as description of historical settings for stories and characters. Typically, students discussed themes from previously read sections of text, read new sections, and interacted socially to represent them as accurately as possible. Teachers provided cognitive scaffolding for analysis of episodes and integration of salient texts. Students shared their opinions about characters’ actions and traits. Informational text comprehension was taught by scaffolding students in the cognitive skills of analyzing and summarizing letters, documents, and historical background to explicate literary texts.
Instructional goals for informational text reading included the following (see Appendix D):
• Apply comprehension skills by selecting, reading, and interpreting a variety of print and nonprint informational texts, including electronic media.
• Analyze important ideas and messages in informational text.
• Read critically to evaluate informational text.
• Read orally at an appropriate rate.
• Read grade-level text with both high accuracy and appropriate pacing, intonation, and expression.
• Develop and apply vocabulary through exposure to a variety of texts.
• Apply a conceptual understanding to new words.
• Understand, acquire, and use new vocabulary.
• Apply comprehension skills through exposure to a variety of print and nonprint texts, including</t>
  </si>
  <si>
    <t>Guthrie et al., 1998</t>
  </si>
  <si>
    <t>CORI (Grade3)</t>
  </si>
  <si>
    <t>In the framework for CORI, teachers first identified a conceptual theme for instructional units to be taught for 16-18 weeks in the fall and spring. The themes selected by third-grade teachers consisted of the adaptations and habitats of birds and insects. The third-grade units in the spring consisted of weather, seasons, and Earth formations. Fifth-grade units in the fall related to life cycles of plants and animals, and the spring units emphasized Earth science, including the solar system and geological cycles. At the beginning of each unit, students engaged in observational and hands-on science activities both outside and inside the classroom. Third and fifth graders participated in activities such as collecting and observing crickets, constructing spider webs, dissecting owl pellets, and building weather stations. Within each activity, students personalized their learning by composing their own questions as the basis for observing, reading, and writing. These questions generated opportunities for self-directed learning. Students chose their own subtopics, found particular books, selected peers for interest-based activities, and constructed their goals for communicating to others. To enable students to answer their questions, teachers helped them to use the library, find information books, locate information within expository texts, and use a diversity of community resources. Direct strategy instruction was provided to help students integrate across information sources including texts, illustrations, references, and human experts. In addition to informational texts, teachers introduced novels, folklore, and poetry related to the unit's conceptual theme. The last phase emphasized communicating to others. Having gained expertise in a particular topic, students were motivated to speak, write, discuss, and display their understanding to other students and adults. In both third- and fifth-grade classrooms, students made posters, wrote classroom books, and composed extended displays of their knowledge. One class made a videotape of its weather unit, providing a lesson on weather prediction and explanation for the rest of the school. A more thorough description of the CORI framework with an accompanying literature review is provided elsewhere (Guthrie &amp; Alao, 1997).</t>
  </si>
  <si>
    <t>text comprehension - total (April, EOY)</t>
  </si>
  <si>
    <t>This study did not report detailed dosage information but only 16–18 weeks. However, we obtained the session length (90 min/session) and frequency (5 days/week) from the meta-analysis conducted by the author himself.</t>
  </si>
  <si>
    <t>text comprehension - story (April, EOY)</t>
  </si>
  <si>
    <t>text comprehension - informational text (April, EOY)</t>
  </si>
  <si>
    <t>Past achievement (pretest ONLY, BOY)</t>
  </si>
  <si>
    <t>Literacy level (pretest ONLY, BOY)</t>
  </si>
  <si>
    <t>Traditional (Grade3)</t>
  </si>
  <si>
    <t>The teachers in the traditional classrooms followed their usual pattern of using the teachers' guide and the sequence of content and activities in the McGraw-Hill basal program for both Grades 3 and 5. Students answered the end of unit questions, and were provided materials that matched their reading levels. Science content in the third- and fifth-grade basal-reading classrooms was directed at similar objectives as the CORI classrooms. Topics of adaptation, life cycles, weather and seasons, and solar systems were taught. Addison-Wesley textbooks and materials were used in all traditional classes. In all the schools, traditional teachers were frequent visitors to the CORI classrooms, adopting some texts and teaching approaches used in the CORI classrooms. This sharing may have led to an underestimate of the distinctiveness of the CORI program and to a conservative estimate of the instructional effects.</t>
  </si>
  <si>
    <t>1 = YES - overaligned</t>
  </si>
  <si>
    <t>CORI (Grade5)</t>
  </si>
  <si>
    <t>“reading engagement processes” (Guthrie et al., 1998, p. 267) (pdf)</t>
  </si>
  <si>
    <t>Traditional (Grade 5)</t>
  </si>
  <si>
    <t>Tijims et al., 2018</t>
  </si>
  <si>
    <t>Dutch</t>
  </si>
  <si>
    <t>A small-group intervention (consisting of five to seven students per group) was conducted. Intervention sessions were provided weekly for 45 minutes per session during a 12 week period. The intervention was delivered by junior psychologists as trainers. The students received a total of 8 to 10 sessions. In the first session, students chose the book they preferred to read out of six books that the investigators had selected for them. All students within a group read the same book. Furthermore, the trainer set group norms with the students (e.g., respect each other’s opinions, don’t offend anyone, don’t be afraid to express your feelings), and explained the goal of the intervention, that is, to read a part of the book during the week and to talk about it during the sessions for the coming weeks. In addition, a notebook was introduced to the students to use during their reading at home, so they could write down their thoughts and feelings while reading. On the first page of this notebook, we added several general cues (e.g., ‘What would you have done in this situation?’) to help them to make notes and to stimulate active reading. During the subsequent sessions, the students discussed the texts and how they related to their lives. Additionally, parts of the text were sometimes (re)read during the sessions, especially when its meaning was unclear, or when a text section was the source of a specific discussion. At the end of each session, students determined how much should be read outside the session, so all students would be on the same page when they returned to the next session</t>
  </si>
  <si>
    <t>reading comprehension (Vlaamse
Test Begrijpend Lezen version grade 6)</t>
  </si>
  <si>
    <t>STD</t>
  </si>
  <si>
    <t>a (.78)</t>
  </si>
  <si>
    <t>Control (BAU)</t>
  </si>
  <si>
    <t>The control condition was a ‘business-as-usual’ condition, that is, the control group received usual Dutch language lessons in the time (i.e., once a week for 45 minutes) that the intervention group received their book club intervention.</t>
  </si>
  <si>
    <t>specific strategy value information</t>
  </si>
  <si>
    <t>The instructional material consisted of a training packet that included several reading passages, each of which was followed by one or more multiple-choice questions tapping comprehension of main ideas. The passages in the packet were drawn from different sources and were similar to those typically used by children's remedial teachers. The reading passages were ordered from least-to-most difficult; 40% of the material was appropriate for a second-grade class of average reading ability, 40% for a third-grade class, and 20% for a fourth-grade class. Children worked on this packet during each of the training sessions.</t>
  </si>
  <si>
    <t>comprehension skill test</t>
  </si>
  <si>
    <t>c (.87)</t>
  </si>
  <si>
    <t>general strategy value information</t>
  </si>
  <si>
    <t>specific plus general + strategy value information</t>
  </si>
  <si>
    <t>no strategy value information (instructional control)</t>
  </si>
  <si>
    <t>specific strategy value</t>
  </si>
  <si>
    <t>The same materials and procedure of Experiment I were employed with the following modifications.</t>
  </si>
  <si>
    <t>strategy effectiveness feedback</t>
  </si>
  <si>
    <t>strategy value plus effectiveness feedback (combined)</t>
  </si>
  <si>
    <t>CORI + RAVE-O + Wilson Reading Program</t>
  </si>
  <si>
    <t>Each group received one hour of daily instruction in both the RAVE-O and  Wilson Reading programs’ curricula proven to improve fluency and phonics skills  respectively</t>
  </si>
  <si>
    <t>Passage Comprehension (SRI)</t>
  </si>
  <si>
    <t>incentives + RAVE-O + Wilson Reading Program</t>
  </si>
  <si>
    <t>Vocabulators (CAI)</t>
  </si>
  <si>
    <t>The Vocabulators program was designed to teach the vocabulary of comprehension (e.g., main idea, inference, evidence) intensively and extensively and integrate these  Table 2. Main effects of vocabulators on proximal and distal transfer measures.  Pretest Posttest Adjusted  Measure N M SD N M SD p Hedges’ g  Proximal measures Decoding Decoding target vocabulary Typical practice 99 18.82 7.60 92 25.26 5.60 0.001 0.521 Vocabulators 100 20.19 6.40 94 27.00 4.87 Vocabulary Receptive target vocabulary Typical practice 98 7.63 3.04 91 9.55 3.56 &lt;0.001 0.510 Vocabulators 98 7.90 2.68 94 11.55 3.43 Expressive target vocabulary Typical practice 96 26.10 6.34 90 32.60 8.88 &lt;.001 0.783 Vocabulators 99 26.26 6.83 92 38.70 11.48 Vocabulary in context Sentence comprehension with target vocabulary Typical practice 99 3.63 2.05 91 4.02 1.73 0.191 0.144 Vocabulators 98 3.34 1.38 93 4.33 1.64 Understanding vocabulary in comprehension questions Typical practice 98 3.41 1.91 91 3.93 2.05 &lt;0.001 0.645 Vocabulators 98 3.04 1.70 93 5.35 2.54 Reading comprehension QRI narrative—MC Typical practice 98 3.58 1.45 92 4.36 1.32 0.433 0.152 Vocabulators 100 4.07 1.21 94 4.76 1.19 QRI informational—MC Typical practice 98 2.28 1.23 92 2.95 1.33 0.033 0.283 Vocabulators 99 2.48 1.03 94 3.39 1.31 Distal transfer measures GMRT vocabulary Typical practice 92 89.94 10.32 .725 .043 Vocabulators 92 91.55 9.24 QRI narrative—Retell Typical practice 97 16.12 8.96 90 20.27 9.73 0.277 0.190 Vocabulators 100 15.90 9.09 93 22.19 10.73 QRI informational—Retell Typical practice 96 9.35 5.35 91 12.23 6.55 0.207 0.188 Vocabulators 99 10.07 6.35 93 14.00 7.02 GMRT comprehension Typical practice 100 84.64 8.63 92 85.14 12.78 0.940 0.011 Vocabulators 100 86.56 7.88 92 86.13 10.74  Note. QRI: Question Reading Inventory; MC: multiple choice; GMRT: Gates MacGinitie Reading Test. vocabularies in comprehension application exercises. The first primary design and development activity involved a content analysis of vocabulary and critical comprehension strategies foundational to the (a) 3rd-Grade Common Core State Standards English Language Arts for Understanding Literature and Understanding Informational Text, (b) the Texas Essential Knowledge and Skills for Language Arts, (c) Smarter Balanced Assessment, and (d) the State of Texas Assessments of Academic Readiness (STAAR; National Governors Association Center for Best Practices, Council of Chief State School Officers, 2010; Texas Education Agency, 2015).</t>
  </si>
  <si>
    <t>Gates MacGinitie Reading Test, 4th ed., Comprehension Subtest.</t>
  </si>
  <si>
    <t>a (.90-.95, .94)</t>
  </si>
  <si>
    <t>Typical practice</t>
  </si>
  <si>
    <t>Fusion (year 1)</t>
  </si>
  <si>
    <t>our main components are bundled into the program: (a) Word Level Skills, (b) Comprehension, (c) Motivation, and (d) Assessment. Each component is described below.</t>
  </si>
  <si>
    <t>Sentence Comprehension (SC)</t>
  </si>
  <si>
    <t>a (.89-.99) c (.81-.94)</t>
  </si>
  <si>
    <t xml:space="preserve"> Passage Comprehension (PCO)</t>
  </si>
  <si>
    <t>* MAP composite</t>
  </si>
  <si>
    <t>marginal reliabilities (.90)</t>
  </si>
  <si>
    <t>Comparison - Corrective Reading(year1)</t>
  </si>
  <si>
    <t>3 teachers taught Corrective Reading, the district’s current reading program and comparison condition.</t>
  </si>
  <si>
    <t>Hebrew</t>
  </si>
  <si>
    <t>Danish</t>
  </si>
  <si>
    <t>Finnish</t>
  </si>
  <si>
    <t>Chinese</t>
  </si>
  <si>
    <t>Korean</t>
  </si>
  <si>
    <t>d (.93)</t>
  </si>
  <si>
    <t>c (.88)</t>
  </si>
  <si>
    <t>a (KR = .93)</t>
  </si>
  <si>
    <t>b (.91 to .93)</t>
  </si>
  <si>
    <t>b (.88 to .93), c (.81 to .93)</t>
  </si>
  <si>
    <t>d (.90)</t>
  </si>
  <si>
    <t>a (.85)</t>
  </si>
  <si>
    <t>b/c (.46)</t>
  </si>
  <si>
    <t>a (.95, .88)</t>
  </si>
  <si>
    <t>a (.92)</t>
  </si>
  <si>
    <t>a (.7)</t>
  </si>
  <si>
    <t>a (.75)</t>
  </si>
  <si>
    <t>c (.63), f (1.0, .81)</t>
  </si>
  <si>
    <t>a (.88, .87, .85), c (.6)</t>
  </si>
  <si>
    <t>a (.87)</t>
  </si>
  <si>
    <t>b (.89 to.96)</t>
  </si>
  <si>
    <t>b (.9)</t>
  </si>
  <si>
    <t>a (.74), f (.93, .76)</t>
  </si>
  <si>
    <t>a (.70, .69)</t>
  </si>
  <si>
    <t>a (.88, .88, .86)</t>
  </si>
  <si>
    <t>a (.83, .87), b (.89, .91)</t>
  </si>
  <si>
    <t>Wu et al., 2021</t>
  </si>
  <si>
    <t>The students in the experimental group participated in two periods of reading intervention classes (i.e., 80 min) every week. In each class for the first seven of nine units, teachers first explained and exemplified the use of one of the seven reading strategies and then guided the students to practice it by completing reading tasks in the student books which we had developed for this study. They explicitly taught the repertoire of seven strategies as scheduled (Table 2). The intervention concentrated on helping struggling students to become purposeful and active readers. During the intervention, students practiced each strategy at least three times. Furthermore, they were taught to integrate multiple reading strategies in the classes for the last two units.
The teaching materials comprised a student book and a teacher manual. In the student book, descriptive, narrative, and expository texts were compiled into nine units. In every unit, there were three texts of about 500 to 600 words each, accompanying instructions of reading strategy practice and comprehension exercises, tasks, and activities. More particularly, each unit, except for the last two comprehensive ones, focused on a specific reading strategy in the first text and integrated other strategies in the other two texts. The teacher manual included teaching plans for all units and guidelines on how to teach students proper use of reading strategies.</t>
  </si>
  <si>
    <t>a (.83, .87), b(.89, .91)</t>
  </si>
  <si>
    <t>In contrast to the experimental group, teachers taught struggling students in the control condition to read Chinese texts with traditional methods in regular classes during the same amount of time. They taught the same texts as those in the experimental condition, using reading activities different from those in the experimental condition. They instructed the students about new words, set phrases, and difficult sentences, analyzed the text structure and the writing style, and asked the students to answer questions. In particular, they concentrated on memorizing vocabulary and answering teacher’s questions. There was no reading strategy instruction in classrooms. To control the possible impact of teacher’s and student’s expectations on the intervention, we did not disclose whether they were in an experimental or a control class. Moreover, different classes were arranged in different buildings or at least two floors apart and teachers were placed in different offices to avoid teaching exchanges. The teaching process in the control condition typically went as follows: (1) Teachers proposed questions about a text, (2) they guided students in reading thewhole text and finding the answers to the questions, (3) they asked students to read aloud several paragraphs of the text, (4) they taught the new words and set phrases, (5) they explained the text structure to students, and (6) students completed comprehension exercises (Jin, 2002; Xue, 2007).</t>
  </si>
  <si>
    <t>Guthrie et al., 1999</t>
  </si>
  <si>
    <t>CORI (Grade3, Pond)</t>
  </si>
  <si>
    <t>The teaching framework for CORI included four phases: (1) observe and personalize, (2) search and retrieve, (3) comprehend and integrate, and (4) communicate to others. To implement this framework, teachers first identified a conceptual theme for instructional units to be taught for 16-18 weeks in the fall and spring. The themes selected by third-grade teachers were the adaptations and habitats of birds and insects for the fall. In the spring, the third-grade units were weather, seasons, and climate. Fifth-grade units in the fall were life cycles of plants and animals, and the spring units emphasized earth science, including the solar system and geological cycles.</t>
  </si>
  <si>
    <t>Information text comprehension</t>
  </si>
  <si>
    <t>NA (author reported correlation with standardized test)</t>
  </si>
  <si>
    <t>Narrative text comprehension</t>
  </si>
  <si>
    <t>Standardized reading test</t>
  </si>
  <si>
    <t>TI (Grade3, Pond)</t>
  </si>
  <si>
    <t>The teachers in the traditional classrooms followed their usual pattern of using the teacher's guide and the sequence of content and activities in the McGraw-Hill basal program for both grades 3 and 5. Students answered the end-of-unit questions and were provided materials that matched their reading levels. Science content in the third- and fifth-grade basal reading classrooms was directed to similar objectives as the CORI classrooms. Topics of adaptation, life cycles, weather and seasons, and solar systems were taught, but Addison-Wesley textbooks and materials were used in all traditional classes. The traditional teachers in all of the schools were frequent visitors to the CORI classrooms, adopting some texts and teaching approaches used in the CORI classrooms. This sharing may have led to an underestimation of the distinctiveness of the CORI program and to a conservative quasi-experimental comparison.</t>
  </si>
  <si>
    <t>CORI (Grade3, Volcano)</t>
  </si>
  <si>
    <t>TI (Grade3, Volcano)</t>
  </si>
  <si>
    <t>CORI (Grade5, Pond)</t>
  </si>
  <si>
    <t>TI (Grade5, Pond)</t>
  </si>
  <si>
    <t>CORI (Grade5, Volcano)</t>
  </si>
  <si>
    <t>TI (Grade5, Volcano)</t>
  </si>
  <si>
    <t>Guthrie et al., 2009</t>
  </si>
  <si>
    <t>In the CORI program for low-achieving readers, the students were taught daily in small groups of three to six students. Low-achieving reader lessons were written as a supplement to the existing CORI lessons that were designed for on-grade and above-grade students. The classroom teacher provided these lessons 3 days per week, and the reading specialist provided the lessons 2 days per week. Although the science concepts and reading strategies were identical to those taught to the whole class, teachers spent more time modeling strategies and focused on fewer concepts at one time. Low-achieving reader lessons included additional fluency practice, more time on word recognition strategies, and more explicit inferencing instruction. For low-achieving readers, teachers retained the principal CORI components of emphasis</t>
  </si>
  <si>
    <t>Gates-MacGinitie Reading Test-RC subtest</t>
  </si>
  <si>
    <t>NA (validity and reliability known to be high)</t>
  </si>
  <si>
    <t>Inferencing</t>
  </si>
  <si>
    <t>a (.41 to 55)</t>
  </si>
  <si>
    <t>Traditional instruction was provided in three classrooms in a school selected by the district to be comparable to the CORI and strategy instruction (SI) schools. Teachers provided their normal reading and language arts instruction with basal materials, trade books, and vocabulary books. We collected pretest and posttest data but did not provide professional development or any materials to these classrooms.
The daily instruction was 90 minutes, consisting of work in a basal reader, supplemented with word recognition and fluency activities. The fluency work included group repeated reading and choral reading of vocabulary. Guided reading was provided for three groups of four to five students who were grouped by reading level. Low-achieving readers were given a guided reading lesson at this time by the classroom teacher 3 days per week and by the reading specialist 2 days per week. Writing instruction consisted of sentence completion in comprehension lessons and story writing in a writer’s workshop format. Approximately twice a week for 20 minutes, time was given for independent reading, consisting of self-selected stories or novels. Within this context,</t>
  </si>
  <si>
    <t>For all students, the daily instructional sequence was 90 minutes, consisting of the following: (a) either science goals (hands-on science and conceptual content learning) or fluency activities (such as paired reading or a teacher read-aloud [20 minutes]); (b) guided reading (a 10-minute whole class lesson using a class set of books, followed by a 30-minute guided reading lesson to each of three small groups of four to six students who were grouped by reading level); low-achieving readers were given a guided reading lesson at this time; (c) writing, in which students created summaries, charts, graphic organizers, and narratives related to their texts; and (d) independent reading, consisting of stories, novels, and extended information book reading on the conceptual theme. Within this context, low-achieving readers participated in all activities.</t>
  </si>
  <si>
    <t>Little et al., 2014</t>
  </si>
  <si>
    <t>Treatment (East, G7)</t>
  </si>
  <si>
    <t>Treatment group teachers were expected to implement SEM-R on a daily basis for about 40 to 45 min per day or 3 hr per week in all of their classes, depending on their school’s scheduling. Expectations for implementation focused on regular use of the first two of SEM-R’s three phases. During Phase 1, which was to be conducted for about 10 to 15 min on each day of implementation, teachers exposed students as a large group to a variety of books, genres, and authors through short read-alouds (or “Book Hooks”) and brief discussions. This phase also included opportunities for teachers to model reading strategies and to conduct mini lessons around particular reading objectives and emphases. Phase 2, which in some schools began at only about 10 to 20 min per day, increased throughout implementation to a goal level of at least 25 to 30 min per day. During Phase 2, teachers had students read independently in their self-selected, challenging books. While students read, teachers conducted individualized 5- to 7-min conferences with students, meeting with each student approximately once every 1 to 2 weeks. Phase 3, which involved interest-based and more project-oriented activities, was implemented in some schools during the second half of the school year, but the primary focus of the intervention and observations for fidelity was on Phases 1 and 2.</t>
  </si>
  <si>
    <t>Gates-MacGinitie Reading Test</t>
  </si>
  <si>
    <t>Control (East, G7)</t>
  </si>
  <si>
    <t>Control group teachers conducted regular reading instruction as designated by their districts, which included textbook instruction, group or class novel studies, and other whole or small-group approaches.</t>
  </si>
  <si>
    <t>Treatment (East, G8)</t>
  </si>
  <si>
    <t>Control (East, G8)</t>
  </si>
  <si>
    <t>Treatment (West, G6)</t>
  </si>
  <si>
    <t>Control (West, G6)</t>
  </si>
  <si>
    <t>Treatment (West, G7)</t>
  </si>
  <si>
    <t>Control (West, G7)</t>
  </si>
  <si>
    <t>Treatment (West, G8)</t>
  </si>
  <si>
    <t>Control (West, G8)</t>
  </si>
  <si>
    <t>Treatment (South, G6)</t>
  </si>
  <si>
    <t>Control (South, G6)</t>
  </si>
  <si>
    <t>Treatment (South, G7)</t>
  </si>
  <si>
    <t>Control (South, G7)</t>
  </si>
  <si>
    <t>Treatment (South, G8)</t>
  </si>
  <si>
    <t>Control (South, G8)</t>
  </si>
  <si>
    <t>Treatment (North, G6)</t>
  </si>
  <si>
    <t>Control (North, G6)</t>
  </si>
  <si>
    <t>Treatment (North, G7)</t>
  </si>
  <si>
    <t>Control (North, G7)</t>
  </si>
  <si>
    <t>Treatment (North, G8)</t>
  </si>
  <si>
    <t>Control (North, G8)</t>
  </si>
  <si>
    <t>CORI first</t>
  </si>
  <si>
    <t>TI first</t>
  </si>
  <si>
    <t>text comprehension - total</t>
  </si>
  <si>
    <t>TI (Grade3)</t>
  </si>
  <si>
    <t>TI (Grade 5)</t>
  </si>
  <si>
    <t>text comprehension - story</t>
  </si>
  <si>
    <t>text comprehension - informational text</t>
  </si>
  <si>
    <t>Experimental</t>
  </si>
  <si>
    <t>3251-1</t>
  </si>
  <si>
    <t>3252-1</t>
  </si>
  <si>
    <t>3251-2</t>
  </si>
  <si>
    <t>3252-2</t>
  </si>
  <si>
    <t>3251-3</t>
  </si>
  <si>
    <t>3252-3</t>
  </si>
  <si>
    <t>3251-4</t>
  </si>
  <si>
    <t>3252-4</t>
  </si>
  <si>
    <t>3261-1</t>
  </si>
  <si>
    <t>3262-1</t>
  </si>
  <si>
    <t>3261-2</t>
  </si>
  <si>
    <t>3262-2</t>
  </si>
  <si>
    <t>3271-1</t>
  </si>
  <si>
    <t>3272-1</t>
  </si>
  <si>
    <t>3271-2</t>
  </si>
  <si>
    <t>3272-2</t>
  </si>
  <si>
    <t>3271-3</t>
  </si>
  <si>
    <t>3272-3</t>
  </si>
  <si>
    <t>3271-4</t>
  </si>
  <si>
    <t>3272-4</t>
  </si>
  <si>
    <t>3271-5</t>
  </si>
  <si>
    <t>3272-5</t>
  </si>
  <si>
    <t>3271-6</t>
  </si>
  <si>
    <t>3272-6</t>
  </si>
  <si>
    <t>3271-7</t>
  </si>
  <si>
    <t>3272-7</t>
  </si>
  <si>
    <t>3271-8</t>
  </si>
  <si>
    <t>3272-8</t>
  </si>
  <si>
    <t>3271-9</t>
  </si>
  <si>
    <t>3272-9</t>
  </si>
  <si>
    <t>3271-10</t>
  </si>
  <si>
    <t>3272-10</t>
  </si>
  <si>
    <t>3271-11</t>
  </si>
  <si>
    <t>3272-11</t>
  </si>
  <si>
    <t>(NA but) English</t>
  </si>
  <si>
    <t>Norwegian</t>
  </si>
  <si>
    <t>a (.93)</t>
  </si>
  <si>
    <t>b (.91 to .98)</t>
  </si>
  <si>
    <t>c (.81 to .93), b(.88 to .93)</t>
  </si>
  <si>
    <t>c (.81 to .93), b(.88 to. 93)</t>
  </si>
  <si>
    <t>c (.46)</t>
  </si>
  <si>
    <t>a (.95)</t>
  </si>
  <si>
    <t>a (.70)</t>
  </si>
  <si>
    <t>c (.63)</t>
  </si>
  <si>
    <t>a (.87, .85), c(.60)</t>
  </si>
  <si>
    <t>b (.89 to .96)</t>
  </si>
  <si>
    <t>a (.74), d (.93, .76)</t>
  </si>
  <si>
    <t>1(1)</t>
  </si>
  <si>
    <t>2(1)</t>
  </si>
  <si>
    <t>2(2)</t>
  </si>
  <si>
    <t>one academic year</t>
  </si>
  <si>
    <t>Schunk &amp; Rice., 1987, S1</t>
  </si>
  <si>
    <t>Schunk &amp; Rice., 1987, S2</t>
  </si>
  <si>
    <t>Orkin, 2013</t>
  </si>
  <si>
    <t>Fogarty et al., 2020</t>
  </si>
  <si>
    <t>Hock et al., 2017</t>
  </si>
  <si>
    <t>Specific</t>
  </si>
  <si>
    <t>Strategy value information was provided to children at the beginning and end of each training session, For children assigned to the specific strategy value condition, the trainer pointed to' the poster board at the start of each session and said, "Today we're going to use these steps to answer questions about main ideas." She then delivered strategy value info follows:
Using these, steps should help you whenever you have to answer questions about main ideas, because most children like you find that using these steps helps them whenever they have to answer questions about main ideas.
At the end of each training session, the trainer reemphasized the value of the strategy by remarking, "Remember that using these steps should help von whenever you have to answer questions about main ideas."</t>
  </si>
  <si>
    <t>General</t>
  </si>
  <si>
    <t>For general strategy value children, the trainer introduced the steps at the start of each session in the same fashion (i.e., "Today we're going . . "), after which she provided the following strategy value information:
Using steps like these should help you whenever you have to answer question, about passages you've read, because most children like you find that using steps like these helps them whenever they have to answer questions about passages they've read.
At the end of each training session, the trainer again stressed the general value of strategy use by remarking, "Remember that using steps like these should help you whenever you have to answer questions about passages you've read."</t>
  </si>
  <si>
    <t>Combined</t>
  </si>
  <si>
    <t>Students assigned to the specific plus general strategy value (combined) condition received both of the preceding sets of instructions. At the start and end of each training session, the trainer first provided; the specific value information, followed by the general value information.</t>
  </si>
  <si>
    <t>For the instructional control (no strategy value) subjects, the trainer pointed to the poster board at the start of each training session and verbalized only the introductory statement. Children then received the training program. This condition controlled for the effects of strategy training and practice.</t>
  </si>
  <si>
    <t>The specific strategy value condition was identical to that of Experiment 1. The trainer verbally delivered the information to children at the start and end of each session. During training, these children received performance feedback following their answers to the comprehension questions (e.g., "That's correct').</t>
  </si>
  <si>
    <t>Feedback</t>
  </si>
  <si>
    <t>Each child assigned to the strategy effectiveness feedback condition received strategy effectiveness feedback from the trainer 3-4 times during each training session. This feedback, which linked children's successes at answering comprehension questions with their proper application of the steps in the strategy, was verbally delivered by the trainer after the trainer provided performance feedback.</t>
  </si>
  <si>
    <t>Children assigned to the specific plus feedback (combined) condition received both of the preceding treatments. They were given the strategy value information at the start and end of each session and the strategy effectiveness feedback periodically during each training session.</t>
  </si>
  <si>
    <t>Intervention (Wilson Reading System or RAVE-O + motivation)</t>
  </si>
  <si>
    <t>The Wilson Reading System (Wilson, 1996) is a commercially available program that focuses on oral reading. The program utilizes step- by-step instruction that is explicit, systematic, and multi-sensory to train students in grapheme-phoneme (symbol-sound) correspondences, blending, and phonological awareness. Based on the approach of Orton-Gillingham, each 50-minute, scripted, Wilson lesson is comprised of several activities that lead the student through practice with individual sounds, syllables, words, and finally connected text (see Appendix E for a Sample Wilson Lesson).
RAVE-O is a multi-component reading program designed to address the linguistic and cognitive processes involved in fluent reading, and comprehension. These processes include Reading Automaticity through Vocabulary, Engagement, and Orthography (i.e., RAVE-O) (Wolf, 2011). RAVE-O is based on a connectivist, multi-componential view of the reading process which asserts that multiple linguistic aspects of words, specifically, phonology, orthography, semantics, syntax and morphology, otherwise referred to as POSSM, contribute to rapid recognition and comprehension during reading (Adams, 1990; Wolf, Miller, Donnelly, 2000).
The motivational strategies that were embedded into reading instruction with the intervention group were based on four principles found to be essential for developing autonomous forms of motivation and learning goals (i.e. autonomy, belonging, competence, and meaning).</t>
  </si>
  <si>
    <t>SRI Connected-text reading ability and comprehension</t>
  </si>
  <si>
    <t>NA - STD measure</t>
  </si>
  <si>
    <t>children in the control group would receive the curricula in their traditional forms
... teachers and I agreed upon complete fidelity to the programs as scripted 85% of the time, and to integrating creative games and instructional techniques the remaining 15% of the time as it replicated the pedagogical approach they use during the school year. Some examples of these activities included: playing Go Fish with word cards, using Readers’ Theater scripts to act out decodable texts, writing poems, and participating in a word-based scavenger hunt.</t>
  </si>
  <si>
    <t>Vocabulators</t>
  </si>
  <si>
    <t>The Vocabulators program was organized into four parts consisting of an average of 15 lessons each. The program started with a section called “Getting Ready” that taught 4 words to get the students prepared for the main four parts (text, paragraph, sentence, and passage). The instructional focus of each part of the main parts progressed over the course of the program, from answering literal comprehension questions to answering inferential questions in both narrative and informational text. Each part included an emphasis on locating evidence in text to support answers and conclusions, and key vocabulary related to the instructional focus were introduced in each part (i.e., 6–10 words per part). The program included two types of lessons—vocabulary lessons and application lessons. Two to three target vocabulary words were introduced in separate lessons, followed by two to three application lessons teaching students to apply the newly learned vocabulary by reading passages and answering comprehension questions using the target words.
The Vocabulators program incorporated multiple motivational components. First, students tracked their progress and their quiz grades in their student workbook folder. To prevent students from “clicking” through the activities, students earned a gold bar for every question they answered correctly the first time. Additionally, they received badges on their home page for intervention milestones and for completing quizzes with a high score. Instructional videos with a character named “Coach” were inserted throughout program to remind student to put forth effort. Finally, when students missed a question on two or more trials, corrective feedback was provided through a targeted instructional video.</t>
  </si>
  <si>
    <t>0 = Classroom/Large Group</t>
  </si>
  <si>
    <t>GMRT-4 Reading Comprehension</t>
  </si>
  <si>
    <t>a (.90-.95, .94 for current sample)</t>
  </si>
  <si>
    <t>Schools participating in the study used a range of different approaches for providing literacy and reading instruction including published core programs as well as guided reading and reader’s workshop frameworks. We asked teachers to maintain their typical instructional practices for students not participating in the Vocabulators intervention. Further, we asked teachers not to use any intervention content or materials during their typical instruction.
The most frequently observed (on average) activities in order of ranking for comparison students were independent learning activities focused on comprehension, spelling, reading, and handwriting practice.</t>
  </si>
  <si>
    <t>Intervention (Fusion Reading)</t>
  </si>
  <si>
    <t>A 2-year supplemental reading program, FR includes seven instructional units is designed to meet daily for one 50- or 60-min class period each instructional day (Hock et al., 2012). The course does not replace language arts or other core classes but is supplemental to core classes and is usually offered as an elective. The authors suggest that FR be taught in classes consisting of no more than 12 to 15 low achieving readers in sixth to eighth grade who typically score two or more grade levels below grade placement on a standardized or state reading assessment measure. Four main components are bundled into the program: (a) Word Level Skills, (b) Comprehension, (c) Motivation, and (d) Assessment.</t>
  </si>
  <si>
    <t>GRADE SC</t>
  </si>
  <si>
    <t>a (.89-.99), c (.81-94)</t>
  </si>
  <si>
    <t>GRADE PCO</t>
  </si>
  <si>
    <t>MAP</t>
  </si>
  <si>
    <t>a (low to mid .90s)</t>
  </si>
  <si>
    <t>Comparison (Corrective Reading)</t>
  </si>
  <si>
    <t>In this study, CR was taught in small groups of students (4–8) that met regularly in 50-min sessions five times a week throughout the school year. Lessons for Year 1 of the studies focused on four sequential levels that addressed students’ decoding skills. All teachers in the study who taught CR were experienced in teaching the program and had been provided PD in how to implement the program. Teachers were observed several times throughout the year by their special education department chairperson, who reported that the program was implemented as intended.</t>
  </si>
  <si>
    <t>A3:AK205</t>
  </si>
  <si>
    <t>A189:AK205</t>
  </si>
  <si>
    <t>Schunk et al., 1996</t>
  </si>
  <si>
    <t>Fading only</t>
  </si>
  <si>
    <t>The instructional packet consisted of several reading passages, each of which was followed by one or more multiple-choice questions tapping comprehension of main ideas. Passages were drawn from different sources and were similar to the test passages and to those typically used in children's remedial classes.</t>
  </si>
  <si>
    <t>Feedback only</t>
  </si>
  <si>
    <t>Fading + feedback</t>
  </si>
  <si>
    <t>No fading/feedback</t>
  </si>
  <si>
    <t>Schunk &amp; Rice., 1992</t>
  </si>
  <si>
    <t>0 = RCT (individual level)</t>
  </si>
  <si>
    <t>Strategy Instruction</t>
  </si>
  <si>
    <t>On a poster boardthe five-step reading comprehension strategy (Schunk &amp; Rice, 1987) was presented: What do I have to do? (1) Read the questions. (2) Read the passage to find out what it is mostly about. (3) Think about what the details have in common. (4) Think about what would make a good title. (5) Reread the story if I don't know the answer to a question.</t>
  </si>
  <si>
    <t>Strategy Feedback</t>
  </si>
  <si>
    <t xml:space="preserve">Control </t>
  </si>
  <si>
    <t>Today we're going to work together on reading. We'll read some passages and answer some questions. I've given you some papers that we'll be working on. The teacher worked through the firstpassage and accompanyingquestionsin the same fashion as in the preceding two conditions, except that the strategy was not displayed and the teacher never referredto the steps. Further,the teacher performed the same actions in the same order as in the preceding conditionsbut never referred to those actions as reflectinga strategy. Following the modeled demonstration, the teacher called on individual children to read passages and answer questions; children's actions never were linked with the strategy. This condition controlled for the effects of instructionincluded in the other conditions.</t>
  </si>
  <si>
    <t>van Rijk et al., 2017</t>
  </si>
  <si>
    <t>DE (Developmental Education) - CORI</t>
  </si>
  <si>
    <t>Reading is integrated in meaningful (thematic) content and activities in which historical, geographical and science perspectives are integrated</t>
  </si>
  <si>
    <t>PIRLS Read comprehension</t>
  </si>
  <si>
    <t>a (.68)</t>
  </si>
  <si>
    <t>PI (Programmatic Instruction)</t>
  </si>
  <si>
    <t>McBreen &amp; Savage, 2022</t>
  </si>
  <si>
    <t>Canada</t>
  </si>
  <si>
    <t>Cognitive + Motivational</t>
  </si>
  <si>
    <t>In both conditions, students received the same cognitive instructional components: differentiated reading instruction including direct, systematic instruction in synthetic and analogic phonics following the simplicity principle, game-based practice of phonics concepts, and shared book reading.</t>
  </si>
  <si>
    <t>GRADE Sentence Comprehension subtest</t>
  </si>
  <si>
    <t>a (.68); Criterion (.69-.90)</t>
  </si>
  <si>
    <t>Cognitive-Only</t>
  </si>
  <si>
    <t>Alhaidari, 2006</t>
  </si>
  <si>
    <t>Experimental (coopeative learning)</t>
  </si>
  <si>
    <t>The  sequence of each of these classes was as follows: a general discussion about the topic of  the new passage; students reading silently; teacher reading aloud to the class; students  reading aloud; and students engaging in cooperative learning activities in which they  defined new words, summarized a passage, wrote a reflection about the passage, and  answered textbook exercises. Students in the comparison groups were taught by  traditional methods (as described in Chapter One) and did all of their work individually.  At the end of this study the researcher administered the posttest measures.</t>
  </si>
  <si>
    <t>Reading Comprehension Tests</t>
  </si>
  <si>
    <t xml:space="preserve">0 = NO - Not standardized	</t>
  </si>
  <si>
    <t xml:space="preserve">0 = Not Reported	</t>
  </si>
  <si>
    <t>NR</t>
  </si>
  <si>
    <t>Comparison</t>
  </si>
  <si>
    <t>Students in the comparison groups were taught by  traditional methods (as described in Chapter One) and did all of their work individually.  At the end of this study the researcher administered the posttest measures.</t>
  </si>
  <si>
    <t>123*</t>
  </si>
  <si>
    <t>m_pre_int</t>
  </si>
  <si>
    <t>sd_pre_int</t>
  </si>
  <si>
    <t>n_pre_int</t>
  </si>
  <si>
    <t>m_post_int</t>
  </si>
  <si>
    <t>sd_post_int</t>
  </si>
  <si>
    <t>n_post_int</t>
  </si>
  <si>
    <t>Corr</t>
  </si>
  <si>
    <t>M_delayed</t>
  </si>
  <si>
    <t>SD_delayed</t>
  </si>
  <si>
    <t>N_delayed</t>
  </si>
  <si>
    <t>Month_of_Delay</t>
  </si>
  <si>
    <t>r_pre_post</t>
  </si>
  <si>
    <t>r_pre_delay</t>
  </si>
  <si>
    <t>Berkeley， 2007</t>
  </si>
  <si>
    <t>RCS + AR (7 groups)</t>
  </si>
  <si>
    <t>For each lesson, students were given a “Strategy Sheet,” a different short article  from Junior Scholastic followed by questions about the article, and a strategy worksheet  to help them monitor strategy use while reading. A description of each follows.... A hint for the previewing strategy was for students to look at  headings (titles) and subheadings, pictures of original artifacts, vocabulary definitions,  charts and graphs, maps, and timelines. See Appendix A for Strategy Sheet #1.</t>
  </si>
  <si>
    <t>Main Idea Test</t>
  </si>
  <si>
    <t>Passage Specific Test - Passage Production Subtest</t>
  </si>
  <si>
    <t>Passage Specific Test - Passage Identification Subtest</t>
  </si>
  <si>
    <t>Passage Specific Test - Total Score</t>
  </si>
  <si>
    <t>RC (7 groups)</t>
  </si>
  <si>
    <t>RN (7 groups)</t>
  </si>
  <si>
    <t>teachers in the RN condition were provided with a short  story collection for use during the read aloud portion of the lesson (see Appendix I).  Teachers of this condition were also allowed to use their discretion about the material  used for the read aloud by choosing different material read during the read aloud, or by  allowing students to listen to a book on tape.</t>
  </si>
  <si>
    <t>Chan， 1996</t>
  </si>
  <si>
    <t>SUAT - poor readers</t>
  </si>
  <si>
    <t>Phase Two: reading task. The reading tasks in Phase 2 involved reading expository passages of 350-500 words in length and answering short comprehension questions. The passages were written at the fifth and sixth grade readability level and only short answers were required to ensure that the task was not beyond the abilities of the poor readers even after instruction. At the end of each session students recorded their comprehension scores on an individual bar graph.</t>
  </si>
  <si>
    <t>SIAT - poor readers</t>
  </si>
  <si>
    <t>AT - poor readers</t>
  </si>
  <si>
    <t>ST - poor readers</t>
  </si>
  <si>
    <t>SUAT - ave. readers</t>
  </si>
  <si>
    <t>SIAT - ave. readers</t>
  </si>
  <si>
    <t>AT - ave. readers</t>
  </si>
  <si>
    <t>ST - ave. readers</t>
  </si>
  <si>
    <t>Burke, 1992</t>
  </si>
  <si>
    <t>Stra + Att, Teacher1</t>
  </si>
  <si>
    <t>Instructional Materials. Throughout the eight week training period, all of  the students used the same history book. United States History (Reich and  Biller, 1988). Each teacher instructed all four of the treatment groups. All of the  classes covered the same material-the American Revolution, the Constitution,  Washington's second term, the building of democracy, reform movements in  America, the life of Black Americans, and the beginning of the Civil War, during  the eight week period of the experiment.</t>
  </si>
  <si>
    <t>General Comprehension Scores</t>
  </si>
  <si>
    <t>Stra only, Teacher1</t>
  </si>
  <si>
    <t>Attri only, Teacher1</t>
  </si>
  <si>
    <t>Control, Teacher1</t>
  </si>
  <si>
    <t>Control Group. The students in the control groups were told that they  were part of an experiment involving eighth grade social studies classes. They  were given graph paper and folders. The students were told that they would be  keeping a record of their grades on their tests for an eight week period. They  were to record their grades on the graph paper, making a bar graph. The  teachers had transparencies of the graphs, so that they could use the overhead  projector to visually show the students how to record their grades and create a  bar graph. The teachers told the students that they wanted to see if the students  could improve their grades and knowledge in American History. The purupose  of the graph was to give the students a visual representation of their progress  and/or lack of progress.</t>
  </si>
  <si>
    <t>Stra + Att, Teacher2</t>
  </si>
  <si>
    <t>Stra only, Teacher2</t>
  </si>
  <si>
    <t>Attri only, Teacher2</t>
  </si>
  <si>
    <t>Control, Teacher2</t>
  </si>
  <si>
    <t>Miranda, 1997</t>
  </si>
  <si>
    <t>Spain</t>
  </si>
  <si>
    <t>Spanish</t>
  </si>
  <si>
    <t>LD.s-i (R only)</t>
  </si>
  <si>
    <t>5, 6</t>
  </si>
  <si>
    <t>Self-Instruction. The program was divided into two parts (see Table 1). For the first 13 sessions, children were taught the general self-instructional procedure and some specific reading comprehension strategies; for the final 7 sessions, students practiced all the strategies together.</t>
  </si>
  <si>
    <t>Comprehension - Main Idea</t>
  </si>
  <si>
    <t>Comprehension - Recall</t>
  </si>
  <si>
    <t>Comprehension - Colze</t>
  </si>
  <si>
    <t>LD.attr (R+ AT)</t>
  </si>
  <si>
    <t>Self-instruction plus attribution General self-instruction procedure, text structure, attribution training 1-2 Activate previous knowledge, attribution training 3-4 Preview of text, attribution training 5-6 Self-question, attribution training 7-8 Clarify, attribution training 9-10 Mapping ideas, attribution training 11-13 Practice of strategies, attribution training 14-20</t>
  </si>
  <si>
    <t>LD.co (Control)</t>
  </si>
  <si>
    <t>the control group did not receive any training.</t>
  </si>
  <si>
    <t>Mete, 2020</t>
  </si>
  <si>
    <t>Turky</t>
  </si>
  <si>
    <t>Turkish</t>
  </si>
  <si>
    <t>1 = QED with matched group</t>
  </si>
  <si>
    <t>experimental REM</t>
  </si>
  <si>
    <t>36 class hours of implementations focusing on the Reading Engagement Model were carried out and the reading comprehension strategies as Cooperative Discussion and Questioning Strategy, Note-taking Strategy, and Cloze Technique were taught.</t>
  </si>
  <si>
    <t>reading comprehension achievement test (RCAT)</t>
  </si>
  <si>
    <t>a (0.78)</t>
  </si>
  <si>
    <t>control</t>
  </si>
  <si>
    <t>In the control group, the activities in the coursebook were implemented as defined in the current curriculum.</t>
  </si>
  <si>
    <t>Souvignier &amp; Mokhlesgerami, 2006</t>
  </si>
  <si>
    <t>Germany</t>
  </si>
  <si>
    <t>German</t>
  </si>
  <si>
    <t>Strat + CSR + MSR</t>
  </si>
  <si>
    <t xml:space="preserve"> - Think about the headline (1) - Generate imaginations (1)  Elaborative reading strategies  - Clarify difficult words (2)  Lessons 6-10  - Check understanding (1)  Elaborative metacognitive strategies  Lesson 11 Reading game I (1) Practice  - Underline important information (1) - Summarize important information (2)  Organizational reading Lessons strategies  12-16 - Check remembering (2) Organizational metacognitive strategy</t>
  </si>
  <si>
    <t>Reading comprehension</t>
  </si>
  <si>
    <t>a (.33, .57, .60)</t>
  </si>
  <si>
    <t>Strat + CSR</t>
  </si>
  <si>
    <t>Strat</t>
  </si>
  <si>
    <t>Schünemann et al., 2013</t>
  </si>
  <si>
    <t>Students in the no-treatment comparison group received conventional German language instruction from their teachers. In these lessons, teachers not only provided training on reading comprehension but also continued with the curriculum-based German language instruction, including grammar instruction and writing as well as reading. As described above, this study compares the intervention conditions with a comparison group to gain information on the efficacy of the treatments in contrast to conventional teacher-led lessons. All schools were located in the same school district and used the same curriculum for German language. At the time of the intervention, all students (in all schools) were being taught about punctuation and were reading and interpreting fairy tales in their German language lessons. The number of German language lessons was identical in every school. Because the treatments were implemented in conventional lessons, there was no difference in the amount of German language instruction between the no-treatment comparison group and the intervention conditions.</t>
  </si>
  <si>
    <t>FLVT Reading comprehension</t>
  </si>
  <si>
    <t>a (.67 - .73)</t>
  </si>
  <si>
    <t>RT</t>
  </si>
  <si>
    <t>The RT and RT + SRL training programs were embedded in the same experimenter-developed, age-appropriate frame story. In this story, the pirate, Captain Carlo, and his intelligent book-loving parrot, Einstein, stranded on an island because of Carlo’s poor reading skills. He was unable to read and understand the directions to their actual destination and, therefore, they ended up on a deserted island.</t>
  </si>
  <si>
    <t>RT + SRL</t>
  </si>
  <si>
    <t>Spörer &amp; Schünemann, 2014</t>
  </si>
  <si>
    <t>The training began with an instructional section (lessons 1e3) in which the trainer modeled the use of the four reading strategies.</t>
  </si>
  <si>
    <t>FLVT 5-6 Reading Comprehension</t>
  </si>
  <si>
    <t>a (.73, .72, .72)</t>
  </si>
  <si>
    <t>RT + SIP (pretest sig.)</t>
  </si>
  <si>
    <t>The strategies instructed in this condition were identical to those used in the RT condition.</t>
  </si>
  <si>
    <t>RT + ORP</t>
  </si>
  <si>
    <t>This condition combined the instruction of reading strategies with self-regulation procedures designed to facilitate students' goal setting, monitoring and evaluation of reading outcome.</t>
  </si>
  <si>
    <t>The reading strategies and the way the strategies were modeled in this condition were identical to the approach in the other three conditions.</t>
  </si>
  <si>
    <t>Mason</t>
  </si>
  <si>
    <t>TWA + SRL</t>
  </si>
  <si>
    <t>In implementing TWA, students completed nine reading comprehension steps within three reading phases: before reading, while reading, and after reading (see Figure 1). Three strategies are included in each stage. Explicit instruction for generalization across domains and tasks was imbedded throughout instruction.</t>
  </si>
  <si>
    <t>(immediate) 1. Main idea</t>
  </si>
  <si>
    <t>(immediate) 2. Summary</t>
  </si>
  <si>
    <t>(immediate) 3. Oral retell quality</t>
  </si>
  <si>
    <t xml:space="preserve">(immediate) 4. Oral retell information units </t>
  </si>
  <si>
    <t>(immediate) 5. Oral retell main ideas</t>
  </si>
  <si>
    <t>(immediate) 6. Written retell quality</t>
  </si>
  <si>
    <t xml:space="preserve">(immediate) 7. Written retell information units </t>
  </si>
  <si>
    <t>(immediate) 8. Written retell main ideas</t>
  </si>
  <si>
    <t>(3 week) 1. Main idea</t>
  </si>
  <si>
    <t>(3 week) 2. Summary</t>
  </si>
  <si>
    <t>(3 week) 3. Oral retell quality</t>
  </si>
  <si>
    <t xml:space="preserve">(3 week) 4. Oral retell information units </t>
  </si>
  <si>
    <t>(3 week) 5. Oral retell main ideas</t>
  </si>
  <si>
    <t>(3 week) 6. Written retell quality</t>
  </si>
  <si>
    <t xml:space="preserve">(3 week) 7. Written retell information units </t>
  </si>
  <si>
    <t>(3 week) 8. Written retell main ideas</t>
  </si>
  <si>
    <t>RQ (reciprocal)</t>
  </si>
  <si>
    <t>Instructional Procedure: RQ  Students were taught the RQ strategy within the six-stage strategy acquisition framework. The instructor modeled the use of RQ but did not implement cognitive modeling; in other words, the instruction did not include explicit modeling of self-instructions. A chart listing examples of good comprehension questions was used to facilitate students’ questioning behavior. Students’ dependence on the chart faded as they became independent in formulating questions.</t>
  </si>
  <si>
    <t>Cirino et al., 2017</t>
  </si>
  <si>
    <t>Posttest Unrelated</t>
  </si>
  <si>
    <t>TB</t>
  </si>
  <si>
    <t>Both conditions Vocabulary cards Preread 5.0 and 2.0 Ts introduce definition, related words, examples, plus discussion Yes Yes  Potentially unknown words Preread 2.0 Ss select words to be defined; Ts provide definition Yes (TB+EF only) Yes  Oral reading During 5.0 Ss take turns reading aloud, with assistance from Ts as needed yes yes  Summarize Postread 6.0 and 8.0 Ss summarize passage aloud with scaffolding from Ts yes yes  Silent rereading Postread 5.0 Ss reread text silently Yes (TB only) Yes  Quizzing Postread 5.0 Ss answer multiple-choice question about the text Yes (TB+EF only) Yes</t>
  </si>
  <si>
    <t>TB + EF</t>
  </si>
  <si>
    <t>Follow UP (≥1 month/4 weeks)</t>
  </si>
  <si>
    <t>#</t>
  </si>
  <si>
    <t>Nelson, 2005</t>
  </si>
  <si>
    <t>Guided Reading</t>
  </si>
  <si>
    <t>4,5,6,7,8</t>
  </si>
  <si>
    <t>The reading comprehension strategy instruction designed for this intervention was  based in part on techniques used in guided reading (Cunningham &amp; Allington, 1999),  with a more specific strategy focus drawn from the work in reciprocal teaching (Palinscar  &amp; Brown, 1984). This intervention was named Guided Reading. Tutors modeled specific  comprehension strategies for students, including prediction, summarization, and question  generation, to enhance active and strategic reading. Tutors used modeling heavily during  the first sessions, with guided practice predominantly used during the middle and final  sessions. Within this type of an instructional approach, the assumption is made that  students will naturally pick up on the purpose of the strategies and begin to use them  independently (Duffy, 2002).</t>
  </si>
  <si>
    <t>Retell Quality</t>
  </si>
  <si>
    <t>f (.91)</t>
  </si>
  <si>
    <t>Retell Main Idea</t>
  </si>
  <si>
    <t>f (.81)</t>
  </si>
  <si>
    <t>Multiple Choice</t>
  </si>
  <si>
    <t>WJ Passage Comprehension</t>
  </si>
  <si>
    <t>Explicit Comp. Proc</t>
  </si>
  <si>
    <t>The prior knowledge and prediction strategies were related, but different. When  using the prior knowledge strategy, participants simply thought about what they already  knew about the topic of the text. This strategy was used to encourage participants to link  newly acquired knowledge from the text with previously established knowledge schemas.  The use of prediction is influenced by prior knowledge; however, prediction is a more  specific strategy that uses cues from the text, such as titles, pictures, bold words, and  subheadings, to hypothesize what the text will be about.</t>
  </si>
  <si>
    <t>M_comp</t>
  </si>
  <si>
    <t>R_comp</t>
  </si>
  <si>
    <t>VG</t>
  </si>
  <si>
    <t>.</t>
  </si>
  <si>
    <t>GN</t>
  </si>
  <si>
    <t>A</t>
  </si>
  <si>
    <t>N</t>
  </si>
  <si>
    <t>NGA</t>
  </si>
  <si>
    <t>NG</t>
  </si>
  <si>
    <t>GA</t>
  </si>
  <si>
    <t>V</t>
  </si>
  <si>
    <t>VA</t>
  </si>
  <si>
    <t>G</t>
  </si>
  <si>
    <t>AG</t>
  </si>
  <si>
    <t>NVG</t>
  </si>
  <si>
    <t>EX 122</t>
  </si>
  <si>
    <t>EX 134</t>
  </si>
  <si>
    <t>X</t>
  </si>
  <si>
    <t>NVGA</t>
  </si>
  <si>
    <t>Wu et al., 2021</t>
  </si>
  <si>
    <t>Guthrie et al. (1999)</t>
  </si>
  <si>
    <t>Guthrie et al. (2009)</t>
  </si>
  <si>
    <t>Little et al. (2014)</t>
  </si>
  <si>
    <t xml:space="preserve"> Young et al., 2019</t>
  </si>
  <si>
    <t>Young et al., 2020</t>
  </si>
  <si>
    <t>Treatment</t>
  </si>
  <si>
    <t>Treatment (n = 23)</t>
  </si>
  <si>
    <t>Comparison (n = 23)</t>
  </si>
  <si>
    <t>The district also used Rooted in Reading (Lemon, 2019), which offers read aloud lessons that include all of the state standards, as well as nonfiction readers that connect to the story of the week. Also, the program includes reading passages for each week to prepare students for the reading test  THE JOURNAL OF EDUCATIONAL RESEARCH 617 format. The goal is to interest the students and provide many opportunities to engage in close reading of the weekly text. The teachers also meet with small groups daily for guided intervention, in an effort to meet individual needs of readers based on their particular reading levels. The teachers followed a district created scope and sequence for the entire year. The present study was conducted during the fall semester. During this time, there were three 20 day units: (a) communicating ideas and messages, (b) readers respond to author’s purpose, and (c) preparing readers and writers for literacy works. For example, Monday of the second week of school (the first week of the study), the language arts block was allotted 75 min total. First, there was a vocabulary mini-lesson (10 min), and students chose various activities from their “Vocabulary Menu” to practice their words. These words were harvested from the text read in the basal. Next, students engaged in what the district called, “The Main Block.” During this 40-min block, the teacher read aloud Our Kind Classroom from their curriculum, Rooted in Reading (Lemon, 2019). While reading aloud, the teacher required students to visualize what it is like to have a kind classroom, where students respect one another. After the reading, in groups, students reenacted from the scenes. The teacher took pictures and added photos to a class book that illustrated what kindness looks like in classrooms. Then, individually, students completed a paper where they could either write or draw themselves as unique individuals. The next 10–15 min was devoted to spelling, and the focus was on the short E sound. Students could choose from a variety of spelling activities, such as ABC order, sentences, unscramble, or making words. While students were working on their spelling, one guided reading group was pulled, and the teacher conducted a small group reading lesson. If students working on their spelling finished early, they were asked to practice in their handwriting book or read silently. After the reading block, students engaged in 15–20 min of writing.</t>
  </si>
  <si>
    <t>Similar to the comparison group, 75 min were dedicated to language arts instruction. Teachers reported spending between 15 and 30 min per day on readers theater, and the remaining time was dedicated to their adopted program. The treatment group also used Rooted in Reading (Lemon, 2019), as well as a district adopted program, SRA Reading Laboratory (Science Research Associates, 2018) (McGrawHill). SRA is a level program that is directed by the student. Reading levels are determined by a pretest, and as a student moves through the program, the texts becoming increasingly more complex. Students begin with reading selections, which the program calls Power Builders. The Power Builder has an appropriately leveled text complimented with comprehension questions and vocabulary activities. Students then check their own work. Following, is an example of a typical day in the treatment group. The language arts bock began with the readers theater treatment, which lasted between 15 and 30 min. The teacher then uses ideas from Rooted in Reading (Lemon, 2019) to conduct a read aloud, teaching reading strategies before, during, and after the reading, which takes about 15 min. Students then engage in SRA for remainder of the reading block (15–30 min, depending on the time spent on readers theater that day), and before writing (15 min). Thus, in both the treatment and comparison groups, students engaged in about 60 min of reading instruction and 15 min of writing. Rooted in Reading seemed to be a common thread connecting all the classrooms. However, the other approaches differed. While there were likely differences between groups that could not be accounted and controlled for, readers theater treatment appeared to be a major difference between the treatment and comparison.</t>
  </si>
  <si>
    <t>GMRT-4 Comprehension</t>
  </si>
  <si>
    <t>a (.92) c (.82)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</si>
</sst>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6">
    <font>
      <sz val="11"/>
      <color theme="1"/>
      <name val="Calibri"/>
      <family val="2"/>
      <scheme val="minor"/>
    </font>
    <font>
      <sz val="9"/>
      <name val="Calibri"/>
      <family val="3"/>
      <charset val="134"/>
      <scheme val="minor"/>
    </font>
    <font>
      <sz val="11"/>
      <name val="Calibri"/>
      <family val="2"/>
      <scheme val="minor"/>
    </font>
    <font>
      <b/>
      <sz val="12"/>
      <name val="Calibri"/>
      <family val="2"/>
      <scheme val="minor"/>
    </font>
    <font>
      <b/>
      <sz val="12"/>
      <color theme="1"/>
      <name val="Calibri"/>
      <family val="2"/>
      <scheme val="minor"/>
    </font>
    <font>
      <b/>
      <u/>
      <sz val="12"/>
      <color theme="1"/>
      <name val="Calibri"/>
      <family val="2"/>
      <scheme val="minor"/>
    </font>
    <font>
      <sz val="6"/>
      <color theme="1"/>
      <name val="Calibri"/>
      <family val="2"/>
      <scheme val="minor"/>
    </font>
    <font>
      <b/>
      <u/>
      <sz val="8"/>
      <color theme="1"/>
      <name val="Calibri"/>
      <family val="2"/>
      <scheme val="minor"/>
    </font>
    <font>
      <b/>
      <sz val="10"/>
      <color theme="1"/>
      <name val="Calibri"/>
      <family val="2"/>
      <scheme val="minor"/>
    </font>
    <font>
      <b/>
      <sz val="8"/>
      <color theme="1"/>
      <name val="Calibri (Body)"/>
    </font>
    <font>
      <sz val="6"/>
      <name val="Calibri"/>
      <family val="2"/>
      <scheme val="minor"/>
    </font>
    <font>
      <b/>
      <i/>
      <sz val="1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b/>
      <u/>
      <sz val="9.5"/>
      <color theme="1"/>
      <name val="Calibri"/>
      <family val="2"/>
      <scheme val="minor"/>
    </font>
    <font>
      <b/>
      <sz val="9"/>
      <color theme="1"/>
      <name val="Calibri (Body)"/>
    </font>
    <font>
      <sz val="6"/>
      <color rgb="FFFF0000"/>
      <name val="Calibri"/>
      <family val="2"/>
      <scheme val="minor"/>
    </font>
    <font>
      <b/>
      <i/>
      <u/>
      <sz val="11"/>
      <name val="Calibri"/>
      <family val="2"/>
      <scheme val="minor"/>
    </font>
    <font>
      <b/>
      <sz val="11"/>
      <name val="Calibri"/>
      <family val="2"/>
      <scheme val="minor"/>
    </font>
    <font>
      <sz val="12"/>
      <color rgb="FF222222"/>
      <name val="Helvetica Neue"/>
      <family val="2"/>
    </font>
    <font>
      <sz val="11"/>
      <color rgb="FF222222"/>
      <name val="Helvetica Neue"/>
      <family val="2"/>
    </font>
    <font>
      <sz val="11"/>
      <color theme="5"/>
      <name val="Calibri"/>
      <family val="2"/>
      <scheme val="minor"/>
    </font>
    <font>
      <b/>
      <sz val="11"/>
      <color theme="5"/>
      <name val="Calibri"/>
      <family val="2"/>
      <scheme val="minor"/>
    </font>
    <font>
      <b/>
      <sz val="11"/>
      <color rgb="FFFF0000"/>
      <name val="Calibri"/>
      <family val="2"/>
      <scheme val="minor"/>
    </font>
    <font>
      <i/>
      <u/>
      <sz val="11"/>
      <name val="Calibri"/>
      <family val="2"/>
      <scheme val="minor"/>
    </font>
    <font>
      <sz val="11"/>
      <color rgb="FF000000"/>
      <name val="Calibri"/>
      <family val="2"/>
      <scheme val="minor"/>
    </font>
    <font>
      <sz val="11"/>
      <color theme="4"/>
      <name val="Calibri"/>
      <family val="2"/>
      <scheme val="minor"/>
    </font>
    <font>
      <sz val="11"/>
      <color theme="5" tint="-0.249977111117893"/>
      <name val="Calibri"/>
      <family val="2"/>
      <scheme val="minor"/>
    </font>
    <font>
      <sz val="11"/>
      <color theme="8"/>
      <name val="Calibri"/>
      <family val="2"/>
      <scheme val="minor"/>
    </font>
    <font>
      <sz val="11"/>
      <color theme="9" tint="-0.249977111117893"/>
      <name val="Calibri"/>
      <family val="2"/>
      <scheme val="minor"/>
    </font>
    <font>
      <sz val="11"/>
      <color theme="9"/>
      <name val="Calibri"/>
      <family val="2"/>
      <scheme val="minor"/>
    </font>
    <font>
      <sz val="11"/>
      <color theme="2" tint="-9.9978637043366805E-2"/>
      <name val="Calibri"/>
      <family val="2"/>
      <scheme val="minor"/>
    </font>
    <font>
      <sz val="11"/>
      <color theme="6" tint="0.79998168889431442"/>
      <name val="Calibri"/>
      <family val="2"/>
      <scheme val="minor"/>
    </font>
    <font>
      <sz val="11"/>
      <color theme="2"/>
      <name val="Calibri"/>
      <family val="2"/>
      <scheme val="minor"/>
    </font>
    <font>
      <sz val="11"/>
      <color theme="6"/>
      <name val="Calibri"/>
      <family val="2"/>
      <scheme val="minor"/>
    </font>
  </fonts>
  <fills count="20">
    <fill>
      <patternFill patternType="none"/>
    </fill>
    <fill>
      <patternFill patternType="gray125"/>
    </fill>
    <fill>
      <patternFill patternType="solid">
        <fgColor theme="7"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rgb="FF92D05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6" tint="0.59999389629810485"/>
        <bgColor indexed="64"/>
      </patternFill>
    </fill>
    <fill>
      <patternFill patternType="solid">
        <fgColor theme="6"/>
        <bgColor indexed="64"/>
      </patternFill>
    </fill>
  </fills>
  <borders count="6">
    <border>
      <left/>
      <right/>
      <top/>
      <bottom/>
      <diagonal/>
    </border>
    <border>
      <left/>
      <right/>
      <top/>
      <bottom style="thin">
        <color indexed="64"/>
      </bottom>
      <diagonal/>
    </border>
    <border>
      <left/>
      <right/>
      <top style="thin">
        <color indexed="64"/>
      </top>
      <bottom/>
      <diagonal/>
    </border>
    <border>
      <left/>
      <right/>
      <top/>
      <bottom style="double">
        <color indexed="64"/>
      </bottom>
      <diagonal/>
    </border>
    <border>
      <left/>
      <right/>
      <top style="double">
        <color indexed="64"/>
      </top>
      <bottom/>
      <diagonal/>
    </border>
    <border>
      <left style="thin">
        <color indexed="64"/>
      </left>
      <right/>
      <top/>
      <bottom/>
      <diagonal/>
    </border>
  </borders>
  <cellStyleXfs count="1">
    <xf numFmtId="0" fontId="0" fillId="0" borderId="0"/>
  </cellStyleXfs>
  <cellXfs count="358">
    <xf numFmtId="0" fontId="0" fillId="0" borderId="0" xfId="0"/>
    <xf numFmtId="0" fontId="0" fillId="0" borderId="0" xfId="0" applyAlignment="1">
      <alignment horizontal="left" vertical="top" wrapText="1"/>
    </xf>
    <xf numFmtId="0" fontId="2" fillId="0" borderId="0" xfId="0" applyFont="1" applyAlignment="1">
      <alignment horizontal="left" vertical="top" wrapText="1"/>
    </xf>
    <xf numFmtId="0" fontId="3" fillId="2" borderId="0" xfId="0" applyFont="1" applyFill="1" applyAlignment="1">
      <alignment horizontal="center" vertical="top" wrapText="1"/>
    </xf>
    <xf numFmtId="0" fontId="4" fillId="5" borderId="0" xfId="0" applyFont="1" applyFill="1" applyAlignment="1">
      <alignment horizontal="center" vertical="top" wrapText="1"/>
    </xf>
    <xf numFmtId="0" fontId="5" fillId="5" borderId="0" xfId="0" applyFont="1" applyFill="1" applyAlignment="1">
      <alignment horizontal="center" vertical="top" wrapText="1"/>
    </xf>
    <xf numFmtId="0" fontId="4" fillId="2" borderId="0" xfId="0" applyFont="1" applyFill="1" applyAlignment="1">
      <alignment horizontal="center" vertical="top" wrapText="1"/>
    </xf>
    <xf numFmtId="0" fontId="4" fillId="4" borderId="0" xfId="0" applyFont="1" applyFill="1" applyAlignment="1">
      <alignment horizontal="center" vertical="top" wrapText="1"/>
    </xf>
    <xf numFmtId="0" fontId="5" fillId="6" borderId="0" xfId="0" applyFont="1" applyFill="1" applyAlignment="1">
      <alignment horizontal="center" vertical="top" wrapText="1"/>
    </xf>
    <xf numFmtId="0" fontId="4" fillId="6" borderId="0" xfId="0" applyFont="1" applyFill="1" applyAlignment="1">
      <alignment horizontal="center" vertical="top" wrapText="1"/>
    </xf>
    <xf numFmtId="0" fontId="4" fillId="3" borderId="0" xfId="0" applyFont="1" applyFill="1" applyAlignment="1">
      <alignment horizontal="center" vertical="top" wrapText="1"/>
    </xf>
    <xf numFmtId="0" fontId="0" fillId="0" borderId="0" xfId="0" applyAlignment="1">
      <alignment horizontal="center" vertical="top" wrapText="1"/>
    </xf>
    <xf numFmtId="0" fontId="6" fillId="0" borderId="0" xfId="0" applyFont="1" applyAlignment="1">
      <alignment horizontal="center" vertical="top" wrapText="1"/>
    </xf>
    <xf numFmtId="0" fontId="0" fillId="5" borderId="0" xfId="0" applyFill="1" applyAlignment="1">
      <alignment horizontal="center" vertical="top" wrapText="1"/>
    </xf>
    <xf numFmtId="0" fontId="3" fillId="11" borderId="0" xfId="0" applyFont="1" applyFill="1" applyAlignment="1">
      <alignment horizontal="center" vertical="top" wrapText="1"/>
    </xf>
    <xf numFmtId="0" fontId="7" fillId="9" borderId="0" xfId="0" applyFont="1" applyFill="1" applyAlignment="1">
      <alignment horizontal="center" vertical="top" wrapText="1"/>
    </xf>
    <xf numFmtId="2" fontId="4" fillId="2" borderId="0" xfId="0" applyNumberFormat="1" applyFont="1" applyFill="1" applyAlignment="1">
      <alignment horizontal="center" vertical="top" wrapText="1"/>
    </xf>
    <xf numFmtId="2" fontId="0" fillId="0" borderId="0" xfId="0" applyNumberFormat="1" applyAlignment="1">
      <alignment horizontal="center" vertical="top" wrapText="1"/>
    </xf>
    <xf numFmtId="0" fontId="8" fillId="5" borderId="0" xfId="0" applyFont="1" applyFill="1" applyAlignment="1">
      <alignment horizontal="center" vertical="top" wrapText="1"/>
    </xf>
    <xf numFmtId="2" fontId="2" fillId="0" borderId="0" xfId="0" applyNumberFormat="1" applyFont="1" applyAlignment="1">
      <alignment horizontal="center" vertical="top" wrapText="1"/>
    </xf>
    <xf numFmtId="0" fontId="2" fillId="0" borderId="0" xfId="0" applyFont="1" applyAlignment="1">
      <alignment horizontal="center" vertical="top" wrapText="1"/>
    </xf>
    <xf numFmtId="0" fontId="2" fillId="0" borderId="1" xfId="0" applyFont="1" applyBorder="1" applyAlignment="1">
      <alignment horizontal="center" vertical="top" wrapText="1"/>
    </xf>
    <xf numFmtId="2" fontId="2" fillId="0" borderId="1" xfId="0" applyNumberFormat="1" applyFont="1" applyBorder="1" applyAlignment="1">
      <alignment horizontal="center" vertical="top" wrapText="1"/>
    </xf>
    <xf numFmtId="0" fontId="2" fillId="5" borderId="0" xfId="0" applyFont="1" applyFill="1" applyAlignment="1">
      <alignment horizontal="center" vertical="top" wrapText="1"/>
    </xf>
    <xf numFmtId="0" fontId="10" fillId="0" borderId="0" xfId="0" applyFont="1" applyAlignment="1">
      <alignment horizontal="center" vertical="top" wrapText="1"/>
    </xf>
    <xf numFmtId="0" fontId="11" fillId="5" borderId="0" xfId="0" applyFont="1" applyFill="1" applyAlignment="1">
      <alignment horizontal="center" vertical="top" wrapText="1"/>
    </xf>
    <xf numFmtId="0" fontId="2" fillId="5" borderId="1" xfId="0" applyFont="1" applyFill="1" applyBorder="1" applyAlignment="1">
      <alignment horizontal="center" vertical="top" wrapText="1"/>
    </xf>
    <xf numFmtId="0" fontId="10" fillId="0" borderId="1" xfId="0" applyFont="1" applyBorder="1" applyAlignment="1">
      <alignment horizontal="center" vertical="top" wrapText="1"/>
    </xf>
    <xf numFmtId="0" fontId="2" fillId="0" borderId="1" xfId="0" applyFont="1" applyBorder="1" applyAlignment="1">
      <alignment horizontal="left" vertical="top" wrapText="1"/>
    </xf>
    <xf numFmtId="0" fontId="11" fillId="5" borderId="1" xfId="0" applyFont="1" applyFill="1" applyBorder="1" applyAlignment="1">
      <alignment horizontal="center" vertical="top" wrapText="1"/>
    </xf>
    <xf numFmtId="0" fontId="0" fillId="5" borderId="1" xfId="0" applyFill="1" applyBorder="1" applyAlignment="1">
      <alignment horizontal="center" vertical="top" wrapText="1"/>
    </xf>
    <xf numFmtId="0" fontId="0" fillId="0" borderId="1" xfId="0" applyBorder="1" applyAlignment="1">
      <alignment horizontal="center" vertical="top" wrapText="1"/>
    </xf>
    <xf numFmtId="2" fontId="0" fillId="0" borderId="1" xfId="0" applyNumberFormat="1" applyBorder="1" applyAlignment="1">
      <alignment horizontal="center" vertical="top" wrapText="1"/>
    </xf>
    <xf numFmtId="0" fontId="6" fillId="0" borderId="1" xfId="0" applyFont="1" applyBorder="1" applyAlignment="1">
      <alignment horizontal="center" vertical="top" wrapText="1"/>
    </xf>
    <xf numFmtId="0" fontId="0" fillId="0" borderId="1" xfId="0" applyBorder="1" applyAlignment="1">
      <alignment horizontal="left" vertical="top" wrapText="1"/>
    </xf>
    <xf numFmtId="0" fontId="14" fillId="4" borderId="0" xfId="0" applyFont="1" applyFill="1" applyAlignment="1">
      <alignment horizontal="center" vertical="top" wrapText="1"/>
    </xf>
    <xf numFmtId="0" fontId="15" fillId="4" borderId="0" xfId="0" applyFont="1" applyFill="1" applyAlignment="1">
      <alignment horizontal="center" vertical="top" wrapText="1"/>
    </xf>
    <xf numFmtId="0" fontId="16" fillId="4" borderId="0" xfId="0" applyFont="1" applyFill="1" applyAlignment="1">
      <alignment horizontal="center" vertical="top" wrapText="1"/>
    </xf>
    <xf numFmtId="49" fontId="2" fillId="0" borderId="0" xfId="0" applyNumberFormat="1" applyFont="1" applyAlignment="1">
      <alignment horizontal="center" vertical="top" wrapText="1"/>
    </xf>
    <xf numFmtId="49" fontId="2" fillId="0" borderId="1" xfId="0" applyNumberFormat="1" applyFont="1" applyBorder="1" applyAlignment="1">
      <alignment horizontal="center" vertical="top" wrapText="1"/>
    </xf>
    <xf numFmtId="49" fontId="0" fillId="0" borderId="0" xfId="0" applyNumberFormat="1" applyAlignment="1">
      <alignment horizontal="center" vertical="top" wrapText="1"/>
    </xf>
    <xf numFmtId="49" fontId="0" fillId="0" borderId="1" xfId="0" applyNumberFormat="1" applyBorder="1" applyAlignment="1">
      <alignment horizontal="center" vertical="top" wrapText="1"/>
    </xf>
    <xf numFmtId="0" fontId="2" fillId="12" borderId="0" xfId="0" applyFont="1" applyFill="1" applyAlignment="1">
      <alignment horizontal="center" vertical="top" wrapText="1"/>
    </xf>
    <xf numFmtId="0" fontId="0" fillId="12" borderId="0" xfId="0" applyFill="1" applyAlignment="1">
      <alignment horizontal="center" vertical="top" wrapText="1"/>
    </xf>
    <xf numFmtId="2" fontId="12" fillId="12" borderId="0" xfId="0" applyNumberFormat="1" applyFont="1" applyFill="1" applyAlignment="1">
      <alignment horizontal="center" vertical="top" wrapText="1"/>
    </xf>
    <xf numFmtId="0" fontId="12" fillId="12" borderId="0" xfId="0" applyFont="1" applyFill="1" applyAlignment="1">
      <alignment horizontal="center" vertical="top" wrapText="1"/>
    </xf>
    <xf numFmtId="2" fontId="0" fillId="12" borderId="0" xfId="0" applyNumberFormat="1" applyFill="1" applyAlignment="1">
      <alignment horizontal="center" vertical="top" wrapText="1"/>
    </xf>
    <xf numFmtId="2" fontId="12" fillId="12" borderId="1" xfId="0" applyNumberFormat="1" applyFont="1" applyFill="1" applyBorder="1" applyAlignment="1">
      <alignment horizontal="center" vertical="top" wrapText="1"/>
    </xf>
    <xf numFmtId="2" fontId="0" fillId="12" borderId="1" xfId="0" applyNumberFormat="1" applyFill="1" applyBorder="1" applyAlignment="1">
      <alignment horizontal="center" vertical="top" wrapText="1"/>
    </xf>
    <xf numFmtId="0" fontId="0" fillId="12" borderId="1" xfId="0" applyFill="1" applyBorder="1" applyAlignment="1">
      <alignment horizontal="center" vertical="top" wrapText="1"/>
    </xf>
    <xf numFmtId="0" fontId="12" fillId="12" borderId="1" xfId="0" applyFont="1" applyFill="1" applyBorder="1" applyAlignment="1">
      <alignment horizontal="center" vertical="top" wrapText="1"/>
    </xf>
    <xf numFmtId="0" fontId="6" fillId="12" borderId="0" xfId="0" applyFont="1" applyFill="1" applyAlignment="1">
      <alignment horizontal="center" vertical="top" wrapText="1"/>
    </xf>
    <xf numFmtId="10" fontId="0" fillId="0" borderId="0" xfId="0" applyNumberFormat="1" applyAlignment="1">
      <alignment horizontal="center" vertical="top" wrapText="1"/>
    </xf>
    <xf numFmtId="1" fontId="0" fillId="0" borderId="0" xfId="0" applyNumberFormat="1" applyAlignment="1">
      <alignment horizontal="center" vertical="top" wrapText="1"/>
    </xf>
    <xf numFmtId="1" fontId="2" fillId="0" borderId="0" xfId="0" applyNumberFormat="1" applyFont="1" applyAlignment="1">
      <alignment horizontal="center" vertical="top" wrapText="1"/>
    </xf>
    <xf numFmtId="10" fontId="2" fillId="0" borderId="0" xfId="0" applyNumberFormat="1" applyFont="1" applyAlignment="1">
      <alignment horizontal="center" vertical="top" wrapText="1"/>
    </xf>
    <xf numFmtId="1" fontId="13" fillId="0" borderId="0" xfId="0" applyNumberFormat="1" applyFont="1" applyAlignment="1">
      <alignment horizontal="center" vertical="top" wrapText="1"/>
    </xf>
    <xf numFmtId="0" fontId="3" fillId="8" borderId="0" xfId="0" applyFont="1" applyFill="1" applyAlignment="1">
      <alignment horizontal="center" vertical="top" wrapText="1"/>
    </xf>
    <xf numFmtId="0" fontId="12" fillId="0" borderId="0" xfId="0" applyFont="1" applyAlignment="1">
      <alignment horizontal="center" vertical="top" wrapText="1"/>
    </xf>
    <xf numFmtId="164" fontId="0" fillId="0" borderId="0" xfId="0" applyNumberFormat="1" applyAlignment="1">
      <alignment horizontal="center" vertical="top" wrapText="1"/>
    </xf>
    <xf numFmtId="0" fontId="0" fillId="0" borderId="0" xfId="0" applyAlignment="1">
      <alignment horizontal="left" vertical="top"/>
    </xf>
    <xf numFmtId="0" fontId="0" fillId="13" borderId="0" xfId="0" applyFill="1" applyAlignment="1">
      <alignment horizontal="center" vertical="top" wrapText="1"/>
    </xf>
    <xf numFmtId="0" fontId="18" fillId="0" borderId="0" xfId="0" applyFont="1" applyAlignment="1">
      <alignment horizontal="center" vertical="top" wrapText="1"/>
    </xf>
    <xf numFmtId="0" fontId="0" fillId="0" borderId="1" xfId="0" applyBorder="1" applyAlignment="1">
      <alignment horizontal="left" vertical="top"/>
    </xf>
    <xf numFmtId="0" fontId="18" fillId="0" borderId="1" xfId="0" applyFont="1" applyBorder="1" applyAlignment="1">
      <alignment horizontal="center" vertical="top" wrapText="1"/>
    </xf>
    <xf numFmtId="1" fontId="0" fillId="0" borderId="3" xfId="0" applyNumberFormat="1" applyBorder="1" applyAlignment="1">
      <alignment horizontal="center" vertical="top" wrapText="1"/>
    </xf>
    <xf numFmtId="0" fontId="2" fillId="0" borderId="3" xfId="0" applyFont="1" applyBorder="1" applyAlignment="1">
      <alignment horizontal="center" vertical="top" wrapText="1"/>
    </xf>
    <xf numFmtId="1" fontId="2" fillId="0" borderId="3" xfId="0" applyNumberFormat="1" applyFont="1" applyBorder="1" applyAlignment="1">
      <alignment horizontal="center" vertical="top" wrapText="1"/>
    </xf>
    <xf numFmtId="0" fontId="2" fillId="0" borderId="3" xfId="0" applyFont="1" applyBorder="1" applyAlignment="1">
      <alignment horizontal="left" vertical="top" wrapText="1"/>
    </xf>
    <xf numFmtId="10" fontId="2" fillId="0" borderId="3" xfId="0" applyNumberFormat="1" applyFont="1" applyBorder="1" applyAlignment="1">
      <alignment horizontal="center" vertical="top" wrapText="1"/>
    </xf>
    <xf numFmtId="0" fontId="2" fillId="0" borderId="4" xfId="0" applyFont="1" applyBorder="1" applyAlignment="1">
      <alignment horizontal="center" vertical="top" wrapText="1"/>
    </xf>
    <xf numFmtId="0" fontId="2" fillId="0" borderId="4" xfId="0" applyFont="1" applyBorder="1" applyAlignment="1">
      <alignment horizontal="left" vertical="top" wrapText="1"/>
    </xf>
    <xf numFmtId="0" fontId="18" fillId="0" borderId="3" xfId="0" applyFont="1" applyBorder="1" applyAlignment="1">
      <alignment horizontal="center" vertical="top" wrapText="1"/>
    </xf>
    <xf numFmtId="0" fontId="12" fillId="0" borderId="2" xfId="0" applyFont="1" applyBorder="1" applyAlignment="1">
      <alignment horizontal="center" vertical="top" wrapText="1"/>
    </xf>
    <xf numFmtId="0" fontId="12" fillId="0" borderId="1" xfId="0" applyFont="1" applyBorder="1" applyAlignment="1">
      <alignment horizontal="center" vertical="top" wrapText="1"/>
    </xf>
    <xf numFmtId="49" fontId="0" fillId="12" borderId="0" xfId="0" applyNumberFormat="1" applyFill="1" applyAlignment="1">
      <alignment horizontal="center" vertical="top" wrapText="1"/>
    </xf>
    <xf numFmtId="2" fontId="0" fillId="5" borderId="0" xfId="0" applyNumberFormat="1" applyFill="1" applyAlignment="1">
      <alignment horizontal="center" vertical="top" wrapText="1"/>
    </xf>
    <xf numFmtId="0" fontId="6" fillId="5" borderId="0" xfId="0" applyFont="1" applyFill="1" applyAlignment="1">
      <alignment horizontal="center" vertical="top" wrapText="1"/>
    </xf>
    <xf numFmtId="0" fontId="0" fillId="5" borderId="0" xfId="0" applyFill="1" applyAlignment="1">
      <alignment horizontal="left" vertical="top" wrapText="1"/>
    </xf>
    <xf numFmtId="0" fontId="0" fillId="0" borderId="0" xfId="0" applyAlignment="1">
      <alignment horizontal="center"/>
    </xf>
    <xf numFmtId="0" fontId="0" fillId="0" borderId="1" xfId="0" applyBorder="1" applyAlignment="1">
      <alignment horizontal="center"/>
    </xf>
    <xf numFmtId="0" fontId="13" fillId="5" borderId="1" xfId="0" applyFont="1" applyFill="1" applyBorder="1" applyAlignment="1">
      <alignment horizontal="center" vertical="top" wrapText="1"/>
    </xf>
    <xf numFmtId="2" fontId="0" fillId="10" borderId="0" xfId="0" applyNumberFormat="1" applyFill="1" applyAlignment="1">
      <alignment horizontal="center" vertical="top" wrapText="1"/>
    </xf>
    <xf numFmtId="2" fontId="0" fillId="10" borderId="1" xfId="0" applyNumberFormat="1" applyFill="1" applyBorder="1" applyAlignment="1">
      <alignment horizontal="center" vertical="top" wrapText="1"/>
    </xf>
    <xf numFmtId="0" fontId="0" fillId="14" borderId="0" xfId="0" applyFill="1" applyAlignment="1">
      <alignment horizontal="center" vertical="top" wrapText="1"/>
    </xf>
    <xf numFmtId="0" fontId="21" fillId="0" borderId="0" xfId="0" applyFont="1" applyAlignment="1">
      <alignment wrapText="1"/>
    </xf>
    <xf numFmtId="0" fontId="22" fillId="0" borderId="0" xfId="0" applyFont="1" applyAlignment="1">
      <alignment horizontal="center" vertical="top" wrapText="1"/>
    </xf>
    <xf numFmtId="0" fontId="13" fillId="5" borderId="0" xfId="0" applyFont="1" applyFill="1" applyAlignment="1">
      <alignment horizontal="center" vertical="top" wrapText="1"/>
    </xf>
    <xf numFmtId="0" fontId="0" fillId="5" borderId="0" xfId="0" applyFill="1" applyAlignment="1">
      <alignment horizontal="left" vertical="top"/>
    </xf>
    <xf numFmtId="0" fontId="0" fillId="5" borderId="1" xfId="0" applyFill="1" applyBorder="1" applyAlignment="1">
      <alignment horizontal="left" vertical="top"/>
    </xf>
    <xf numFmtId="2" fontId="0" fillId="0" borderId="0" xfId="0" applyNumberFormat="1" applyAlignment="1">
      <alignment horizontal="left" vertical="top"/>
    </xf>
    <xf numFmtId="2" fontId="22" fillId="0" borderId="0" xfId="0" applyNumberFormat="1" applyFont="1" applyAlignment="1">
      <alignment horizontal="left" vertical="top"/>
    </xf>
    <xf numFmtId="0" fontId="6" fillId="0" borderId="0" xfId="0" applyFont="1" applyAlignment="1">
      <alignment horizontal="left" vertical="top"/>
    </xf>
    <xf numFmtId="2" fontId="0" fillId="0" borderId="1" xfId="0" applyNumberFormat="1" applyBorder="1" applyAlignment="1">
      <alignment horizontal="left" vertical="top"/>
    </xf>
    <xf numFmtId="2" fontId="22" fillId="0" borderId="1" xfId="0" applyNumberFormat="1" applyFont="1" applyBorder="1" applyAlignment="1">
      <alignment horizontal="left" vertical="top"/>
    </xf>
    <xf numFmtId="0" fontId="6" fillId="0" borderId="1" xfId="0" applyFont="1" applyBorder="1" applyAlignment="1">
      <alignment horizontal="left" vertical="top"/>
    </xf>
    <xf numFmtId="0" fontId="22" fillId="0" borderId="0" xfId="0" applyFont="1" applyAlignment="1">
      <alignment horizontal="left" vertical="top"/>
    </xf>
    <xf numFmtId="0" fontId="22" fillId="0" borderId="1" xfId="0" applyFont="1" applyBorder="1" applyAlignment="1">
      <alignment horizontal="left" vertical="top"/>
    </xf>
    <xf numFmtId="0" fontId="20" fillId="0" borderId="0" xfId="0" applyFont="1" applyAlignment="1">
      <alignment horizontal="left" vertical="top"/>
    </xf>
    <xf numFmtId="0" fontId="0" fillId="12" borderId="0" xfId="0" applyFill="1" applyAlignment="1">
      <alignment horizontal="left" vertical="top"/>
    </xf>
    <xf numFmtId="0" fontId="0" fillId="12" borderId="1" xfId="0" applyFill="1" applyBorder="1" applyAlignment="1">
      <alignment horizontal="left" vertical="top"/>
    </xf>
    <xf numFmtId="0" fontId="25" fillId="0" borderId="0" xfId="0" applyFont="1" applyAlignment="1">
      <alignment horizontal="center" vertical="top" wrapText="1"/>
    </xf>
    <xf numFmtId="0" fontId="0" fillId="15" borderId="0" xfId="0" applyFill="1" applyAlignment="1">
      <alignment horizontal="center" vertical="top" wrapText="1"/>
    </xf>
    <xf numFmtId="0" fontId="12" fillId="6" borderId="0" xfId="0" applyFont="1" applyFill="1" applyAlignment="1">
      <alignment horizontal="center" vertical="top" wrapText="1"/>
    </xf>
    <xf numFmtId="0" fontId="0" fillId="6" borderId="0" xfId="0" applyFill="1" applyAlignment="1">
      <alignment horizontal="left" vertical="top"/>
    </xf>
    <xf numFmtId="0" fontId="0" fillId="6" borderId="1" xfId="0" applyFill="1"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center" vertical="top" wrapText="1"/>
    </xf>
    <xf numFmtId="10" fontId="0" fillId="0" borderId="3" xfId="0" applyNumberFormat="1" applyBorder="1" applyAlignment="1">
      <alignment horizontal="center" vertical="top" wrapText="1"/>
    </xf>
    <xf numFmtId="2" fontId="12" fillId="12" borderId="0" xfId="0" applyNumberFormat="1" applyFont="1" applyFill="1" applyAlignment="1">
      <alignment horizontal="left" vertical="top"/>
    </xf>
    <xf numFmtId="0" fontId="12" fillId="12" borderId="0" xfId="0" applyFont="1" applyFill="1" applyAlignment="1">
      <alignment horizontal="left" vertical="top"/>
    </xf>
    <xf numFmtId="0" fontId="12" fillId="12" borderId="1" xfId="0" applyFont="1" applyFill="1" applyBorder="1" applyAlignment="1">
      <alignment horizontal="left" vertical="top"/>
    </xf>
    <xf numFmtId="0" fontId="2" fillId="0" borderId="0" xfId="0" applyFont="1" applyAlignment="1">
      <alignment horizontal="center" vertical="top"/>
    </xf>
    <xf numFmtId="0" fontId="2" fillId="0" borderId="1" xfId="0" applyFont="1" applyBorder="1" applyAlignment="1">
      <alignment horizontal="center" vertical="top"/>
    </xf>
    <xf numFmtId="0" fontId="4" fillId="5" borderId="0" xfId="0" applyFont="1" applyFill="1" applyAlignment="1">
      <alignment horizontal="left" vertical="top"/>
    </xf>
    <xf numFmtId="0" fontId="5" fillId="5" borderId="0" xfId="0" applyFont="1" applyFill="1" applyAlignment="1">
      <alignment horizontal="left" vertical="top"/>
    </xf>
    <xf numFmtId="0" fontId="2" fillId="5" borderId="0" xfId="0" applyFont="1" applyFill="1" applyAlignment="1">
      <alignment horizontal="left" vertical="top"/>
    </xf>
    <xf numFmtId="0" fontId="2" fillId="5" borderId="0" xfId="0" applyFont="1" applyFill="1" applyAlignment="1">
      <alignment horizontal="center" vertical="top"/>
    </xf>
    <xf numFmtId="0" fontId="12" fillId="0" borderId="0" xfId="0" applyFont="1" applyAlignment="1">
      <alignment horizontal="left" vertical="top"/>
    </xf>
    <xf numFmtId="0" fontId="29" fillId="0" borderId="0" xfId="0" applyFont="1" applyAlignment="1">
      <alignment horizontal="center" vertical="center"/>
    </xf>
    <xf numFmtId="0" fontId="0" fillId="0" borderId="0" xfId="0" applyAlignment="1">
      <alignment horizontal="center" vertical="center"/>
    </xf>
    <xf numFmtId="0" fontId="17" fillId="0" borderId="0" xfId="0" applyFont="1" applyAlignment="1">
      <alignment horizontal="left" vertical="top"/>
    </xf>
    <xf numFmtId="0" fontId="2" fillId="5" borderId="1" xfId="0" applyFont="1" applyFill="1" applyBorder="1" applyAlignment="1">
      <alignment horizontal="left" vertical="top"/>
    </xf>
    <xf numFmtId="0" fontId="2" fillId="5" borderId="1" xfId="0" applyFont="1" applyFill="1" applyBorder="1" applyAlignment="1">
      <alignment horizontal="center" vertical="top"/>
    </xf>
    <xf numFmtId="0" fontId="0" fillId="0" borderId="1" xfId="0" applyBorder="1" applyAlignment="1">
      <alignment horizontal="center" vertical="center"/>
    </xf>
    <xf numFmtId="0" fontId="29" fillId="0" borderId="1" xfId="0" applyFont="1" applyBorder="1" applyAlignment="1">
      <alignment horizontal="center" vertical="center"/>
    </xf>
    <xf numFmtId="0" fontId="0" fillId="0" borderId="2" xfId="0" applyBorder="1" applyAlignment="1">
      <alignment horizontal="left" vertical="top"/>
    </xf>
    <xf numFmtId="0" fontId="0" fillId="0" borderId="0" xfId="0" applyAlignment="1">
      <alignment horizontal="center" vertical="top"/>
    </xf>
    <xf numFmtId="0" fontId="0" fillId="0" borderId="1" xfId="0" applyBorder="1" applyAlignment="1">
      <alignment horizontal="center" vertical="top"/>
    </xf>
    <xf numFmtId="0" fontId="0" fillId="5" borderId="0" xfId="0" applyFill="1" applyAlignment="1">
      <alignment vertical="top"/>
    </xf>
    <xf numFmtId="0" fontId="0" fillId="5" borderId="0" xfId="0" applyFill="1" applyAlignment="1">
      <alignment horizontal="center" vertical="top"/>
    </xf>
    <xf numFmtId="0" fontId="0" fillId="5" borderId="1" xfId="0" applyFill="1" applyBorder="1" applyAlignment="1">
      <alignment vertical="top"/>
    </xf>
    <xf numFmtId="0" fontId="0" fillId="5" borderId="1" xfId="0" applyFill="1" applyBorder="1" applyAlignment="1">
      <alignment horizontal="center" vertical="top"/>
    </xf>
    <xf numFmtId="0" fontId="2" fillId="5" borderId="0" xfId="0" applyFont="1" applyFill="1" applyAlignment="1">
      <alignment vertical="top"/>
    </xf>
    <xf numFmtId="0" fontId="2" fillId="0" borderId="0" xfId="0" applyFont="1" applyAlignment="1">
      <alignment horizontal="left" vertical="top"/>
    </xf>
    <xf numFmtId="2" fontId="2" fillId="0" borderId="0" xfId="0" applyNumberFormat="1" applyFont="1" applyAlignment="1">
      <alignment horizontal="left" vertical="top"/>
    </xf>
    <xf numFmtId="0" fontId="10" fillId="0" borderId="0" xfId="0" applyFont="1" applyAlignment="1">
      <alignment horizontal="left" vertical="top"/>
    </xf>
    <xf numFmtId="0" fontId="2" fillId="5" borderId="1" xfId="0" applyFont="1" applyFill="1" applyBorder="1" applyAlignment="1">
      <alignment vertical="top"/>
    </xf>
    <xf numFmtId="0" fontId="2" fillId="0" borderId="1" xfId="0" applyFont="1" applyBorder="1" applyAlignment="1">
      <alignment horizontal="left" vertical="top"/>
    </xf>
    <xf numFmtId="2" fontId="2" fillId="0" borderId="1" xfId="0" applyNumberFormat="1" applyFont="1" applyBorder="1" applyAlignment="1">
      <alignment horizontal="left" vertical="top"/>
    </xf>
    <xf numFmtId="0" fontId="10" fillId="0" borderId="1" xfId="0" applyFont="1" applyBorder="1" applyAlignment="1">
      <alignment horizontal="left" vertical="top"/>
    </xf>
    <xf numFmtId="0" fontId="6" fillId="0" borderId="2" xfId="0" applyFont="1" applyBorder="1" applyAlignment="1">
      <alignment horizontal="left" vertical="top"/>
    </xf>
    <xf numFmtId="0" fontId="0" fillId="0" borderId="2" xfId="0" applyBorder="1" applyAlignment="1">
      <alignment horizontal="center" vertical="center"/>
    </xf>
    <xf numFmtId="0" fontId="2" fillId="5" borderId="2" xfId="0" applyFont="1" applyFill="1" applyBorder="1" applyAlignment="1">
      <alignment horizontal="left" vertical="top"/>
    </xf>
    <xf numFmtId="0" fontId="0" fillId="5" borderId="2" xfId="0" applyFill="1" applyBorder="1" applyAlignment="1">
      <alignment horizontal="left" vertical="top"/>
    </xf>
    <xf numFmtId="0" fontId="12" fillId="5" borderId="0" xfId="0" applyFont="1" applyFill="1" applyAlignment="1">
      <alignment horizontal="left" vertical="top"/>
    </xf>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xf>
    <xf numFmtId="0" fontId="12" fillId="0" borderId="0" xfId="0" applyFont="1" applyAlignment="1">
      <alignment vertical="top"/>
    </xf>
    <xf numFmtId="0" fontId="2" fillId="0" borderId="2" xfId="0" applyFont="1" applyBorder="1" applyAlignment="1">
      <alignment vertical="top"/>
    </xf>
    <xf numFmtId="0" fontId="2" fillId="0" borderId="1" xfId="0" applyFont="1" applyBorder="1" applyAlignment="1">
      <alignment vertical="top"/>
    </xf>
    <xf numFmtId="0" fontId="0" fillId="0" borderId="0" xfId="0" applyAlignment="1">
      <alignment vertical="center"/>
    </xf>
    <xf numFmtId="0" fontId="0" fillId="0" borderId="1" xfId="0" applyBorder="1" applyAlignment="1">
      <alignment vertical="center"/>
    </xf>
    <xf numFmtId="0" fontId="2" fillId="0" borderId="0" xfId="0" applyFont="1" applyAlignment="1">
      <alignment vertical="top"/>
    </xf>
    <xf numFmtId="2" fontId="12" fillId="0" borderId="0" xfId="0" applyNumberFormat="1" applyFont="1" applyAlignment="1">
      <alignment horizontal="left" vertical="top"/>
    </xf>
    <xf numFmtId="2" fontId="12" fillId="0" borderId="1" xfId="0" applyNumberFormat="1" applyFont="1" applyBorder="1" applyAlignment="1">
      <alignment horizontal="left" vertical="top"/>
    </xf>
    <xf numFmtId="0" fontId="22" fillId="0" borderId="0" xfId="0" applyFont="1" applyAlignment="1">
      <alignment horizontal="center" vertical="top"/>
    </xf>
    <xf numFmtId="0" fontId="22" fillId="0" borderId="1" xfId="0" applyFont="1" applyBorder="1" applyAlignment="1">
      <alignment horizontal="center" vertical="top"/>
    </xf>
    <xf numFmtId="0" fontId="4" fillId="5" borderId="0" xfId="0" applyFont="1" applyFill="1" applyAlignment="1">
      <alignment horizontal="left" vertical="top" wrapText="1"/>
    </xf>
    <xf numFmtId="0" fontId="12" fillId="6" borderId="1" xfId="0" applyFont="1" applyFill="1" applyBorder="1" applyAlignment="1">
      <alignment horizontal="center" vertical="top" wrapText="1"/>
    </xf>
    <xf numFmtId="2" fontId="0" fillId="12" borderId="0" xfId="0" applyNumberFormat="1" applyFill="1" applyAlignment="1">
      <alignment horizontal="left" vertical="top"/>
    </xf>
    <xf numFmtId="2" fontId="0" fillId="12" borderId="1" xfId="0" applyNumberFormat="1" applyFill="1" applyBorder="1" applyAlignment="1">
      <alignment horizontal="left" vertical="top"/>
    </xf>
    <xf numFmtId="2" fontId="2" fillId="12" borderId="0" xfId="0" applyNumberFormat="1" applyFont="1" applyFill="1" applyAlignment="1">
      <alignment horizontal="left" vertical="top"/>
    </xf>
    <xf numFmtId="2" fontId="2" fillId="12" borderId="1" xfId="0" applyNumberFormat="1" applyFont="1" applyFill="1" applyBorder="1" applyAlignment="1">
      <alignment horizontal="left" vertical="top"/>
    </xf>
    <xf numFmtId="0" fontId="31" fillId="0" borderId="0" xfId="0" applyFont="1" applyAlignment="1">
      <alignment horizontal="left" vertical="top"/>
    </xf>
    <xf numFmtId="0" fontId="31" fillId="0" borderId="0" xfId="0" applyFont="1" applyAlignment="1">
      <alignment vertical="top"/>
    </xf>
    <xf numFmtId="0" fontId="31" fillId="0" borderId="0" xfId="0" applyFont="1" applyAlignment="1">
      <alignment horizontal="center" vertical="top"/>
    </xf>
    <xf numFmtId="0" fontId="31" fillId="0" borderId="1" xfId="0" applyFont="1" applyBorder="1" applyAlignment="1">
      <alignment horizontal="left" vertical="top"/>
    </xf>
    <xf numFmtId="0" fontId="31" fillId="0" borderId="1" xfId="0" applyFont="1" applyBorder="1" applyAlignment="1">
      <alignment vertical="top"/>
    </xf>
    <xf numFmtId="0" fontId="31" fillId="0" borderId="1" xfId="0" applyFont="1" applyBorder="1" applyAlignment="1">
      <alignment horizontal="center" vertical="top"/>
    </xf>
    <xf numFmtId="2" fontId="31" fillId="0" borderId="0" xfId="0" applyNumberFormat="1" applyFont="1" applyAlignment="1">
      <alignment horizontal="left" vertical="top"/>
    </xf>
    <xf numFmtId="2" fontId="31" fillId="0" borderId="1" xfId="0" applyNumberFormat="1" applyFont="1" applyBorder="1" applyAlignment="1">
      <alignment horizontal="left" vertical="top"/>
    </xf>
    <xf numFmtId="0" fontId="2" fillId="12" borderId="0" xfId="0" applyFont="1" applyFill="1" applyAlignment="1">
      <alignment horizontal="left" vertical="top"/>
    </xf>
    <xf numFmtId="0" fontId="0" fillId="0" borderId="4" xfId="0" applyBorder="1" applyAlignment="1">
      <alignment horizontal="center" vertical="top" wrapText="1"/>
    </xf>
    <xf numFmtId="2" fontId="0" fillId="0" borderId="4" xfId="0" applyNumberFormat="1" applyBorder="1" applyAlignment="1">
      <alignment horizontal="center" vertical="top" wrapText="1"/>
    </xf>
    <xf numFmtId="0" fontId="6" fillId="0" borderId="4" xfId="0" applyFont="1" applyBorder="1" applyAlignment="1">
      <alignment horizontal="center" vertical="top" wrapText="1"/>
    </xf>
    <xf numFmtId="2" fontId="0" fillId="0" borderId="3" xfId="0" applyNumberFormat="1" applyBorder="1" applyAlignment="1">
      <alignment horizontal="center" vertical="top" wrapText="1"/>
    </xf>
    <xf numFmtId="0" fontId="6" fillId="0" borderId="3" xfId="0" applyFont="1" applyBorder="1" applyAlignment="1">
      <alignment horizontal="center" vertical="top" wrapText="1"/>
    </xf>
    <xf numFmtId="2" fontId="12" fillId="12" borderId="1" xfId="0" applyNumberFormat="1" applyFont="1" applyFill="1" applyBorder="1" applyAlignment="1">
      <alignment horizontal="left" vertical="top"/>
    </xf>
    <xf numFmtId="0" fontId="12" fillId="12" borderId="0" xfId="0" applyFont="1" applyFill="1" applyAlignment="1">
      <alignment horizontal="center" vertical="center"/>
    </xf>
    <xf numFmtId="0" fontId="6" fillId="0" borderId="0" xfId="0" applyFont="1" applyAlignment="1">
      <alignment horizontal="left" vertical="top" wrapText="1"/>
    </xf>
    <xf numFmtId="0" fontId="6" fillId="0" borderId="1" xfId="0" applyFont="1" applyBorder="1" applyAlignment="1">
      <alignment horizontal="left" vertical="top" wrapText="1"/>
    </xf>
    <xf numFmtId="0" fontId="2" fillId="12" borderId="1" xfId="0" applyFont="1" applyFill="1" applyBorder="1" applyAlignment="1">
      <alignment horizontal="left" vertical="top"/>
    </xf>
    <xf numFmtId="0" fontId="0" fillId="12" borderId="0" xfId="0" applyFill="1" applyAlignment="1">
      <alignment horizontal="center" vertical="top"/>
    </xf>
    <xf numFmtId="0" fontId="0" fillId="12" borderId="1" xfId="0" applyFill="1" applyBorder="1" applyAlignment="1">
      <alignment horizontal="center" vertical="top"/>
    </xf>
    <xf numFmtId="2" fontId="0" fillId="0" borderId="2" xfId="0" applyNumberFormat="1" applyBorder="1" applyAlignment="1">
      <alignment horizontal="left" vertical="top"/>
    </xf>
    <xf numFmtId="0" fontId="12" fillId="12" borderId="0" xfId="0" applyFont="1" applyFill="1" applyAlignment="1">
      <alignment horizontal="center" vertical="top"/>
    </xf>
    <xf numFmtId="0" fontId="12" fillId="12" borderId="1" xfId="0" applyFont="1" applyFill="1" applyBorder="1" applyAlignment="1">
      <alignment horizontal="center" vertical="top"/>
    </xf>
    <xf numFmtId="0" fontId="3" fillId="16" borderId="0" xfId="0" applyFont="1" applyFill="1" applyAlignment="1">
      <alignment horizontal="left" vertical="top"/>
    </xf>
    <xf numFmtId="0" fontId="3" fillId="16" borderId="0" xfId="0" applyFont="1" applyFill="1" applyAlignment="1">
      <alignment horizontal="center" vertical="top"/>
    </xf>
    <xf numFmtId="0" fontId="3" fillId="13" borderId="0" xfId="0" applyFont="1" applyFill="1" applyAlignment="1">
      <alignment horizontal="center" vertical="top"/>
    </xf>
    <xf numFmtId="0" fontId="4" fillId="6" borderId="0" xfId="0" applyFont="1" applyFill="1" applyAlignment="1">
      <alignment horizontal="center" vertical="top"/>
    </xf>
    <xf numFmtId="0" fontId="4" fillId="4" borderId="0" xfId="0" applyFont="1" applyFill="1" applyAlignment="1">
      <alignment horizontal="center" vertical="top"/>
    </xf>
    <xf numFmtId="0" fontId="32" fillId="0" borderId="0" xfId="0" applyFont="1" applyAlignment="1">
      <alignment horizontal="center" vertical="top"/>
    </xf>
    <xf numFmtId="0" fontId="32" fillId="0" borderId="1" xfId="0" applyFont="1" applyBorder="1" applyAlignment="1">
      <alignment horizontal="center" vertical="top"/>
    </xf>
    <xf numFmtId="0" fontId="32" fillId="0" borderId="2" xfId="0" applyFont="1" applyBorder="1" applyAlignment="1">
      <alignment horizontal="center" vertical="top"/>
    </xf>
    <xf numFmtId="0" fontId="12" fillId="0" borderId="0" xfId="0" applyFont="1" applyAlignment="1">
      <alignment horizontal="center" vertical="top"/>
    </xf>
    <xf numFmtId="0" fontId="2" fillId="0" borderId="2" xfId="0" applyFont="1" applyBorder="1" applyAlignment="1">
      <alignment horizontal="center" vertical="top"/>
    </xf>
    <xf numFmtId="0" fontId="33" fillId="0" borderId="2" xfId="0" applyFont="1" applyBorder="1" applyAlignment="1">
      <alignment horizontal="center" vertical="top"/>
    </xf>
    <xf numFmtId="0" fontId="33" fillId="0" borderId="0" xfId="0" applyFont="1" applyAlignment="1">
      <alignment horizontal="center" vertical="top"/>
    </xf>
    <xf numFmtId="0" fontId="33" fillId="0" borderId="1" xfId="0" applyFont="1" applyBorder="1" applyAlignment="1">
      <alignment horizontal="center" vertical="top"/>
    </xf>
    <xf numFmtId="0" fontId="0" fillId="0" borderId="2" xfId="0" applyBorder="1" applyAlignment="1">
      <alignment horizontal="center" vertical="top"/>
    </xf>
    <xf numFmtId="0" fontId="34" fillId="0" borderId="0" xfId="0" applyFont="1" applyAlignment="1">
      <alignment horizontal="center" vertical="top"/>
    </xf>
    <xf numFmtId="0" fontId="34" fillId="0" borderId="1" xfId="0" applyFont="1" applyBorder="1" applyAlignment="1">
      <alignment horizontal="center" vertical="top"/>
    </xf>
    <xf numFmtId="0" fontId="0" fillId="0" borderId="2" xfId="0" applyBorder="1" applyAlignment="1">
      <alignment vertical="center"/>
    </xf>
    <xf numFmtId="0" fontId="35" fillId="0" borderId="0" xfId="0" applyFont="1" applyAlignment="1">
      <alignment horizontal="center" vertical="center"/>
    </xf>
    <xf numFmtId="0" fontId="35" fillId="0" borderId="1" xfId="0" applyFont="1" applyBorder="1" applyAlignment="1">
      <alignment horizontal="center" vertical="center"/>
    </xf>
    <xf numFmtId="0" fontId="4" fillId="2" borderId="0" xfId="0" applyFont="1" applyFill="1" applyAlignment="1">
      <alignment horizontal="center" vertical="top"/>
    </xf>
    <xf numFmtId="0" fontId="28" fillId="0" borderId="0" xfId="0" applyFont="1" applyAlignment="1">
      <alignment horizontal="left" vertical="top"/>
    </xf>
    <xf numFmtId="0" fontId="30" fillId="0" borderId="0" xfId="0" applyFont="1" applyAlignment="1">
      <alignment horizontal="left" vertical="top"/>
    </xf>
    <xf numFmtId="0" fontId="34" fillId="0" borderId="2" xfId="0" applyFont="1" applyBorder="1" applyAlignment="1">
      <alignment horizontal="center" vertical="top"/>
    </xf>
    <xf numFmtId="0" fontId="34" fillId="0" borderId="0" xfId="0" applyFont="1" applyAlignment="1">
      <alignment horizontal="center" vertical="center"/>
    </xf>
    <xf numFmtId="0" fontId="34" fillId="0" borderId="1" xfId="0" applyFont="1" applyBorder="1" applyAlignment="1">
      <alignment horizontal="center" vertical="center"/>
    </xf>
    <xf numFmtId="0" fontId="12" fillId="12" borderId="2" xfId="0" applyFont="1" applyFill="1" applyBorder="1" applyAlignment="1">
      <alignment horizontal="left" vertical="top"/>
    </xf>
    <xf numFmtId="0" fontId="2" fillId="6" borderId="1" xfId="0" applyFont="1" applyFill="1" applyBorder="1" applyAlignment="1">
      <alignment horizontal="left" vertical="top"/>
    </xf>
    <xf numFmtId="0" fontId="3" fillId="8" borderId="0" xfId="0" applyFont="1" applyFill="1" applyAlignment="1">
      <alignment horizontal="center" vertical="top"/>
    </xf>
    <xf numFmtId="0" fontId="3" fillId="11" borderId="0" xfId="0" applyFont="1" applyFill="1" applyAlignment="1">
      <alignment horizontal="center" vertical="top"/>
    </xf>
    <xf numFmtId="0" fontId="4" fillId="5" borderId="0" xfId="0" applyFont="1" applyFill="1" applyAlignment="1">
      <alignment horizontal="center" vertical="top"/>
    </xf>
    <xf numFmtId="0" fontId="5" fillId="5" borderId="0" xfId="0" applyFont="1" applyFill="1" applyAlignment="1">
      <alignment horizontal="center" vertical="top"/>
    </xf>
    <xf numFmtId="2" fontId="4" fillId="2" borderId="0" xfId="0" applyNumberFormat="1" applyFont="1" applyFill="1" applyAlignment="1">
      <alignment horizontal="center" vertical="top"/>
    </xf>
    <xf numFmtId="0" fontId="3" fillId="2" borderId="0" xfId="0" applyFont="1" applyFill="1" applyAlignment="1">
      <alignment horizontal="center" vertical="top"/>
    </xf>
    <xf numFmtId="0" fontId="15" fillId="4" borderId="0" xfId="0" applyFont="1" applyFill="1" applyAlignment="1">
      <alignment horizontal="center" vertical="top"/>
    </xf>
    <xf numFmtId="0" fontId="16" fillId="4" borderId="0" xfId="0" applyFont="1" applyFill="1" applyAlignment="1">
      <alignment horizontal="center" vertical="top"/>
    </xf>
    <xf numFmtId="0" fontId="14" fillId="4" borderId="0" xfId="0" applyFont="1" applyFill="1" applyAlignment="1">
      <alignment horizontal="center" vertical="top"/>
    </xf>
    <xf numFmtId="0" fontId="5" fillId="6" borderId="0" xfId="0" applyFont="1" applyFill="1" applyAlignment="1">
      <alignment horizontal="center" vertical="top"/>
    </xf>
    <xf numFmtId="0" fontId="4" fillId="4" borderId="1" xfId="0" applyFont="1" applyFill="1" applyBorder="1" applyAlignment="1">
      <alignment horizontal="center" vertical="top"/>
    </xf>
    <xf numFmtId="0" fontId="4" fillId="3" borderId="1" xfId="0" applyFont="1" applyFill="1" applyBorder="1" applyAlignment="1">
      <alignment horizontal="center" vertical="top"/>
    </xf>
    <xf numFmtId="0" fontId="7" fillId="9" borderId="0" xfId="0" applyFont="1" applyFill="1" applyAlignment="1">
      <alignment horizontal="center" vertical="top"/>
    </xf>
    <xf numFmtId="2" fontId="12" fillId="12" borderId="0" xfId="0" applyNumberFormat="1" applyFont="1" applyFill="1" applyAlignment="1">
      <alignment horizontal="center" vertical="top"/>
    </xf>
    <xf numFmtId="2" fontId="2" fillId="0" borderId="0" xfId="0" applyNumberFormat="1" applyFont="1" applyAlignment="1">
      <alignment horizontal="center" vertical="top"/>
    </xf>
    <xf numFmtId="0" fontId="10" fillId="0" borderId="0" xfId="0" applyFont="1" applyAlignment="1">
      <alignment horizontal="center" vertical="top"/>
    </xf>
    <xf numFmtId="0" fontId="27" fillId="0" borderId="0" xfId="0" applyFont="1" applyAlignment="1">
      <alignment horizontal="center" vertical="top"/>
    </xf>
    <xf numFmtId="0" fontId="11" fillId="5" borderId="1" xfId="0" applyFont="1" applyFill="1" applyBorder="1" applyAlignment="1">
      <alignment horizontal="center" vertical="top"/>
    </xf>
    <xf numFmtId="2" fontId="2" fillId="0" borderId="1" xfId="0" applyNumberFormat="1" applyFont="1" applyBorder="1" applyAlignment="1">
      <alignment horizontal="center" vertical="top"/>
    </xf>
    <xf numFmtId="0" fontId="10" fillId="0" borderId="1" xfId="0" applyFont="1" applyBorder="1" applyAlignment="1">
      <alignment horizontal="center" vertical="top"/>
    </xf>
    <xf numFmtId="0" fontId="27" fillId="0" borderId="1" xfId="0" applyFont="1" applyBorder="1" applyAlignment="1">
      <alignment horizontal="center" vertical="top"/>
    </xf>
    <xf numFmtId="0" fontId="11" fillId="5" borderId="0" xfId="0" applyFont="1" applyFill="1" applyAlignment="1">
      <alignment horizontal="center" vertical="top"/>
    </xf>
    <xf numFmtId="2" fontId="2" fillId="12" borderId="0" xfId="0" applyNumberFormat="1" applyFont="1" applyFill="1" applyAlignment="1">
      <alignment horizontal="center" vertical="top"/>
    </xf>
    <xf numFmtId="0" fontId="2" fillId="12" borderId="0" xfId="0" applyFont="1" applyFill="1" applyAlignment="1">
      <alignment horizontal="center" vertical="top"/>
    </xf>
    <xf numFmtId="2" fontId="2" fillId="12" borderId="1" xfId="0" applyNumberFormat="1" applyFont="1" applyFill="1" applyBorder="1" applyAlignment="1">
      <alignment horizontal="center" vertical="top"/>
    </xf>
    <xf numFmtId="0" fontId="2" fillId="12" borderId="1" xfId="0" applyFont="1" applyFill="1" applyBorder="1" applyAlignment="1">
      <alignment horizontal="center" vertical="top"/>
    </xf>
    <xf numFmtId="0" fontId="17" fillId="12" borderId="0" xfId="0" applyFont="1" applyFill="1" applyAlignment="1">
      <alignment horizontal="center" vertical="top"/>
    </xf>
    <xf numFmtId="2" fontId="0" fillId="12" borderId="2" xfId="0" applyNumberFormat="1" applyFill="1" applyBorder="1" applyAlignment="1">
      <alignment horizontal="center" vertical="top"/>
    </xf>
    <xf numFmtId="0" fontId="12" fillId="12" borderId="2" xfId="0" applyFont="1" applyFill="1" applyBorder="1" applyAlignment="1">
      <alignment horizontal="center" vertical="top"/>
    </xf>
    <xf numFmtId="2" fontId="0" fillId="12" borderId="0" xfId="0" applyNumberFormat="1" applyFill="1" applyAlignment="1">
      <alignment horizontal="center" vertical="top"/>
    </xf>
    <xf numFmtId="2" fontId="0" fillId="12" borderId="1" xfId="0" applyNumberFormat="1" applyFill="1" applyBorder="1" applyAlignment="1">
      <alignment horizontal="center" vertical="top"/>
    </xf>
    <xf numFmtId="2" fontId="0" fillId="0" borderId="0" xfId="0" applyNumberFormat="1" applyAlignment="1">
      <alignment horizontal="center" vertical="top"/>
    </xf>
    <xf numFmtId="0" fontId="6" fillId="0" borderId="0" xfId="0" applyFont="1" applyAlignment="1">
      <alignment horizontal="center" vertical="top"/>
    </xf>
    <xf numFmtId="2" fontId="0" fillId="0" borderId="1" xfId="0" applyNumberFormat="1" applyBorder="1" applyAlignment="1">
      <alignment horizontal="center" vertical="top"/>
    </xf>
    <xf numFmtId="0" fontId="6" fillId="0" borderId="1" xfId="0" applyFont="1" applyBorder="1" applyAlignment="1">
      <alignment horizontal="center" vertical="top"/>
    </xf>
    <xf numFmtId="0" fontId="0" fillId="13" borderId="0" xfId="0" applyFill="1" applyAlignment="1">
      <alignment horizontal="center" vertical="top"/>
    </xf>
    <xf numFmtId="2" fontId="0" fillId="0" borderId="2" xfId="0" applyNumberFormat="1" applyBorder="1" applyAlignment="1">
      <alignment horizontal="center" vertical="top"/>
    </xf>
    <xf numFmtId="0" fontId="0" fillId="12" borderId="2" xfId="0" applyFill="1" applyBorder="1" applyAlignment="1">
      <alignment horizontal="center" vertical="top"/>
    </xf>
    <xf numFmtId="0" fontId="19" fillId="0" borderId="0" xfId="0" applyFont="1" applyAlignment="1">
      <alignment horizontal="center" vertical="top"/>
    </xf>
    <xf numFmtId="2" fontId="2" fillId="0" borderId="2" xfId="0" applyNumberFormat="1" applyFont="1" applyBorder="1" applyAlignment="1">
      <alignment horizontal="center" vertical="top"/>
    </xf>
    <xf numFmtId="2" fontId="0" fillId="10" borderId="0" xfId="0" applyNumberFormat="1" applyFill="1" applyAlignment="1">
      <alignment horizontal="center" vertical="top"/>
    </xf>
    <xf numFmtId="0" fontId="2" fillId="14" borderId="0" xfId="0" applyFont="1" applyFill="1" applyAlignment="1">
      <alignment horizontal="center" vertical="top"/>
    </xf>
    <xf numFmtId="2" fontId="0" fillId="10" borderId="1" xfId="0" applyNumberFormat="1" applyFill="1" applyBorder="1" applyAlignment="1">
      <alignment horizontal="center" vertical="top"/>
    </xf>
    <xf numFmtId="0" fontId="2" fillId="13" borderId="0" xfId="0" applyFont="1" applyFill="1" applyAlignment="1">
      <alignment horizontal="center" vertical="top"/>
    </xf>
    <xf numFmtId="0" fontId="21" fillId="0" borderId="0" xfId="0" applyFont="1"/>
    <xf numFmtId="0" fontId="26" fillId="0" borderId="0" xfId="0" applyFont="1" applyAlignment="1">
      <alignment horizontal="center" vertical="top"/>
    </xf>
    <xf numFmtId="0" fontId="21" fillId="0" borderId="1" xfId="0" applyFont="1" applyBorder="1"/>
    <xf numFmtId="0" fontId="20" fillId="0" borderId="0" xfId="0" applyFont="1"/>
    <xf numFmtId="2" fontId="12" fillId="0" borderId="0" xfId="0" applyNumberFormat="1" applyFont="1" applyAlignment="1">
      <alignment horizontal="center" vertical="top"/>
    </xf>
    <xf numFmtId="2" fontId="12" fillId="0" borderId="1" xfId="0" applyNumberFormat="1" applyFont="1" applyBorder="1" applyAlignment="1">
      <alignment horizontal="center" vertical="top"/>
    </xf>
    <xf numFmtId="0" fontId="20" fillId="0" borderId="1" xfId="0" applyFont="1" applyBorder="1"/>
    <xf numFmtId="0" fontId="0" fillId="0" borderId="1" xfId="0" applyBorder="1"/>
    <xf numFmtId="2" fontId="22" fillId="0" borderId="0" xfId="0" applyNumberFormat="1" applyFont="1" applyAlignment="1">
      <alignment horizontal="center" vertical="top"/>
    </xf>
    <xf numFmtId="0" fontId="23" fillId="0" borderId="0" xfId="0" applyFont="1" applyAlignment="1">
      <alignment horizontal="left" vertical="top"/>
    </xf>
    <xf numFmtId="0" fontId="23" fillId="0" borderId="1" xfId="0" applyFont="1" applyBorder="1" applyAlignment="1">
      <alignment horizontal="left" vertical="top"/>
    </xf>
    <xf numFmtId="0" fontId="3" fillId="7" borderId="0" xfId="0" applyFont="1" applyFill="1" applyAlignment="1">
      <alignment horizontal="left" vertical="top" wrapText="1"/>
    </xf>
    <xf numFmtId="0" fontId="5" fillId="7" borderId="0" xfId="0" applyFont="1" applyFill="1" applyAlignment="1">
      <alignment horizontal="center" vertical="top" wrapText="1"/>
    </xf>
    <xf numFmtId="0" fontId="2" fillId="7" borderId="0" xfId="0" applyFont="1" applyFill="1" applyAlignment="1">
      <alignment horizontal="center" vertical="top" wrapText="1"/>
    </xf>
    <xf numFmtId="0" fontId="2" fillId="7" borderId="1" xfId="0" applyFont="1" applyFill="1" applyBorder="1" applyAlignment="1">
      <alignment horizontal="center" vertical="top" wrapText="1"/>
    </xf>
    <xf numFmtId="0" fontId="0" fillId="7" borderId="0" xfId="0" applyFill="1" applyAlignment="1">
      <alignment horizontal="center" vertical="top" wrapText="1"/>
    </xf>
    <xf numFmtId="0" fontId="0" fillId="7" borderId="1" xfId="0" applyFill="1" applyBorder="1" applyAlignment="1">
      <alignment horizontal="center" vertical="top" wrapText="1"/>
    </xf>
    <xf numFmtId="0" fontId="12" fillId="7" borderId="0" xfId="0" applyFont="1" applyFill="1" applyAlignment="1">
      <alignment horizontal="center" vertical="top" wrapText="1"/>
    </xf>
    <xf numFmtId="0" fontId="2" fillId="7" borderId="0" xfId="0" applyFont="1" applyFill="1" applyAlignment="1">
      <alignment horizontal="left" vertical="top"/>
    </xf>
    <xf numFmtId="0" fontId="2" fillId="7" borderId="1" xfId="0" applyFont="1" applyFill="1" applyBorder="1" applyAlignment="1">
      <alignment horizontal="left" vertical="top"/>
    </xf>
    <xf numFmtId="0" fontId="0" fillId="7" borderId="0" xfId="0" applyFill="1" applyAlignment="1">
      <alignment horizontal="left" vertical="top"/>
    </xf>
    <xf numFmtId="0" fontId="0" fillId="7" borderId="1" xfId="0" applyFill="1" applyBorder="1" applyAlignment="1">
      <alignment horizontal="left" vertical="top"/>
    </xf>
    <xf numFmtId="0" fontId="5" fillId="7" borderId="0" xfId="0" applyFont="1" applyFill="1" applyAlignment="1">
      <alignment horizontal="center" vertical="top"/>
    </xf>
    <xf numFmtId="0" fontId="2" fillId="7" borderId="0" xfId="0" applyFont="1" applyFill="1" applyAlignment="1">
      <alignment horizontal="center" vertical="top"/>
    </xf>
    <xf numFmtId="0" fontId="2" fillId="7" borderId="1" xfId="0" applyFont="1" applyFill="1" applyBorder="1" applyAlignment="1">
      <alignment horizontal="center" vertical="top"/>
    </xf>
    <xf numFmtId="0" fontId="0" fillId="7" borderId="0" xfId="0" applyFill="1" applyAlignment="1">
      <alignment horizontal="center" vertical="top"/>
    </xf>
    <xf numFmtId="0" fontId="0" fillId="7" borderId="1" xfId="0" applyFill="1" applyBorder="1" applyAlignment="1">
      <alignment horizontal="center" vertical="top"/>
    </xf>
    <xf numFmtId="0" fontId="3" fillId="8" borderId="0" xfId="0" applyFont="1" applyFill="1" applyAlignment="1">
      <alignment vertical="top"/>
    </xf>
    <xf numFmtId="0" fontId="0" fillId="17" borderId="0" xfId="0" applyFill="1" applyAlignment="1">
      <alignment horizontal="center" vertical="top"/>
    </xf>
    <xf numFmtId="0" fontId="0" fillId="18" borderId="0" xfId="0" applyFill="1" applyAlignment="1">
      <alignment horizontal="center" vertical="top"/>
    </xf>
    <xf numFmtId="0" fontId="0" fillId="18" borderId="0" xfId="0" applyFill="1" applyAlignment="1">
      <alignment horizontal="left" vertical="top"/>
    </xf>
    <xf numFmtId="0" fontId="0" fillId="18" borderId="0" xfId="0" applyFill="1" applyAlignment="1">
      <alignment vertical="top"/>
    </xf>
    <xf numFmtId="0" fontId="32" fillId="18" borderId="2" xfId="0" applyFont="1" applyFill="1" applyBorder="1" applyAlignment="1">
      <alignment horizontal="center" vertical="top"/>
    </xf>
    <xf numFmtId="0" fontId="12" fillId="18" borderId="0" xfId="0" applyFont="1" applyFill="1" applyAlignment="1">
      <alignment horizontal="center" vertical="top"/>
    </xf>
    <xf numFmtId="0" fontId="24" fillId="5" borderId="0" xfId="0" applyFont="1" applyFill="1" applyAlignment="1">
      <alignment horizontal="left" vertical="top"/>
    </xf>
    <xf numFmtId="0" fontId="0" fillId="18" borderId="2" xfId="0" applyFill="1" applyBorder="1" applyAlignment="1">
      <alignment horizontal="left" vertical="top"/>
    </xf>
    <xf numFmtId="2" fontId="0" fillId="18" borderId="0" xfId="0" applyNumberFormat="1" applyFill="1" applyAlignment="1">
      <alignment horizontal="left" vertical="top"/>
    </xf>
    <xf numFmtId="0" fontId="6" fillId="18" borderId="0" xfId="0" applyFont="1" applyFill="1" applyAlignment="1">
      <alignment horizontal="left" vertical="top"/>
    </xf>
    <xf numFmtId="0" fontId="12" fillId="18" borderId="0" xfId="0" applyFont="1" applyFill="1" applyAlignment="1">
      <alignment horizontal="left" vertical="top"/>
    </xf>
    <xf numFmtId="0" fontId="20" fillId="18" borderId="0" xfId="0" applyFont="1" applyFill="1" applyAlignment="1">
      <alignment horizontal="left" vertical="top"/>
    </xf>
    <xf numFmtId="0" fontId="0" fillId="18" borderId="1" xfId="0" applyFill="1" applyBorder="1" applyAlignment="1">
      <alignment horizontal="center" vertical="top"/>
    </xf>
    <xf numFmtId="0" fontId="0" fillId="18" borderId="1" xfId="0" applyFill="1" applyBorder="1" applyAlignment="1">
      <alignment horizontal="left" vertical="top"/>
    </xf>
    <xf numFmtId="2" fontId="0" fillId="18" borderId="1" xfId="0" applyNumberFormat="1" applyFill="1" applyBorder="1" applyAlignment="1">
      <alignment horizontal="left" vertical="top"/>
    </xf>
    <xf numFmtId="0" fontId="6" fillId="18" borderId="1" xfId="0" applyFont="1" applyFill="1" applyBorder="1" applyAlignment="1">
      <alignment horizontal="left" vertical="top"/>
    </xf>
    <xf numFmtId="0" fontId="12" fillId="18" borderId="1" xfId="0" applyFont="1" applyFill="1" applyBorder="1" applyAlignment="1">
      <alignment horizontal="left" vertical="top"/>
    </xf>
    <xf numFmtId="0" fontId="0" fillId="18" borderId="1" xfId="0" applyFill="1" applyBorder="1" applyAlignment="1">
      <alignment vertical="top"/>
    </xf>
    <xf numFmtId="0" fontId="32" fillId="18" borderId="1" xfId="0" applyFont="1" applyFill="1" applyBorder="1" applyAlignment="1">
      <alignment horizontal="center" vertical="top"/>
    </xf>
    <xf numFmtId="0" fontId="2" fillId="18" borderId="0" xfId="0" applyFont="1" applyFill="1" applyAlignment="1">
      <alignment horizontal="left" vertical="top"/>
    </xf>
    <xf numFmtId="0" fontId="0" fillId="18" borderId="0" xfId="0" applyFill="1" applyAlignment="1">
      <alignment vertical="center"/>
    </xf>
    <xf numFmtId="0" fontId="0" fillId="18" borderId="0" xfId="0" applyFill="1" applyAlignment="1">
      <alignment horizontal="center" vertical="center"/>
    </xf>
    <xf numFmtId="0" fontId="34" fillId="18" borderId="0" xfId="0" applyFont="1" applyFill="1" applyAlignment="1">
      <alignment horizontal="center" vertical="top"/>
    </xf>
    <xf numFmtId="0" fontId="2" fillId="18" borderId="1" xfId="0" applyFont="1" applyFill="1" applyBorder="1" applyAlignment="1">
      <alignment horizontal="left" vertical="top"/>
    </xf>
    <xf numFmtId="0" fontId="0" fillId="18" borderId="1" xfId="0" applyFill="1" applyBorder="1" applyAlignment="1">
      <alignment vertical="center"/>
    </xf>
    <xf numFmtId="0" fontId="0" fillId="18" borderId="1" xfId="0" applyFill="1" applyBorder="1" applyAlignment="1">
      <alignment horizontal="center" vertical="center"/>
    </xf>
    <xf numFmtId="0" fontId="12" fillId="18" borderId="1" xfId="0" applyFont="1" applyFill="1" applyBorder="1" applyAlignment="1">
      <alignment horizontal="center" vertical="top"/>
    </xf>
    <xf numFmtId="0" fontId="34" fillId="18" borderId="1" xfId="0" applyFont="1" applyFill="1" applyBorder="1" applyAlignment="1">
      <alignment horizontal="center" vertical="top"/>
    </xf>
    <xf numFmtId="0" fontId="0" fillId="17" borderId="1" xfId="0" applyFill="1" applyBorder="1" applyAlignment="1">
      <alignment horizontal="center" vertical="top"/>
    </xf>
    <xf numFmtId="0" fontId="0" fillId="19" borderId="0" xfId="0" applyFill="1" applyAlignment="1">
      <alignment horizontal="left" vertical="top"/>
    </xf>
    <xf numFmtId="0" fontId="0" fillId="19" borderId="0" xfId="0" applyFill="1" applyAlignment="1">
      <alignment horizontal="center" vertical="top"/>
    </xf>
    <xf numFmtId="2" fontId="0" fillId="19" borderId="0" xfId="0" applyNumberFormat="1" applyFill="1" applyAlignment="1">
      <alignment horizontal="center" vertical="top"/>
    </xf>
    <xf numFmtId="0" fontId="6" fillId="19" borderId="0" xfId="0" applyFont="1" applyFill="1" applyAlignment="1">
      <alignment horizontal="center" vertical="top"/>
    </xf>
    <xf numFmtId="0" fontId="0" fillId="19" borderId="0" xfId="0" applyFill="1" applyAlignment="1">
      <alignment vertical="top"/>
    </xf>
    <xf numFmtId="0" fontId="22" fillId="19" borderId="0" xfId="0" applyFont="1" applyFill="1" applyAlignment="1">
      <alignment horizontal="center" vertical="top"/>
    </xf>
    <xf numFmtId="0" fontId="32" fillId="19" borderId="2" xfId="0" applyFont="1" applyFill="1" applyBorder="1" applyAlignment="1">
      <alignment horizontal="center" vertical="top"/>
    </xf>
    <xf numFmtId="0" fontId="21" fillId="19" borderId="0" xfId="0" applyFont="1" applyFill="1"/>
    <xf numFmtId="0" fontId="32" fillId="19" borderId="0" xfId="0" applyFont="1" applyFill="1" applyAlignment="1">
      <alignment horizontal="center" vertical="top"/>
    </xf>
    <xf numFmtId="0" fontId="12" fillId="19" borderId="0" xfId="0" applyFont="1" applyFill="1" applyAlignment="1">
      <alignment horizontal="center" vertical="top"/>
    </xf>
    <xf numFmtId="0" fontId="0" fillId="19" borderId="1" xfId="0" applyFill="1" applyBorder="1" applyAlignment="1">
      <alignment horizontal="center" vertical="top"/>
    </xf>
    <xf numFmtId="0" fontId="0" fillId="19" borderId="1" xfId="0" applyFill="1" applyBorder="1" applyAlignment="1">
      <alignment horizontal="left" vertical="top"/>
    </xf>
    <xf numFmtId="0" fontId="21" fillId="19" borderId="1" xfId="0" applyFont="1" applyFill="1" applyBorder="1"/>
    <xf numFmtId="2" fontId="0" fillId="19" borderId="1" xfId="0" applyNumberFormat="1" applyFill="1" applyBorder="1" applyAlignment="1">
      <alignment horizontal="center" vertical="top"/>
    </xf>
    <xf numFmtId="0" fontId="0" fillId="19" borderId="1" xfId="0" applyFill="1" applyBorder="1" applyAlignment="1">
      <alignment vertical="top"/>
    </xf>
    <xf numFmtId="0" fontId="32" fillId="19" borderId="1" xfId="0" applyFont="1" applyFill="1" applyBorder="1" applyAlignment="1">
      <alignment horizontal="center" vertical="top"/>
    </xf>
    <xf numFmtId="0" fontId="2" fillId="19" borderId="0" xfId="0" applyFont="1" applyFill="1" applyAlignment="1">
      <alignment horizontal="left" vertical="top"/>
    </xf>
    <xf numFmtId="2" fontId="0" fillId="19" borderId="0" xfId="0" applyNumberFormat="1" applyFill="1" applyAlignment="1">
      <alignment horizontal="left" vertical="top"/>
    </xf>
    <xf numFmtId="0" fontId="6" fillId="19" borderId="0" xfId="0" applyFont="1" applyFill="1" applyAlignment="1">
      <alignment horizontal="left" vertical="top"/>
    </xf>
    <xf numFmtId="0" fontId="0" fillId="19" borderId="0" xfId="0" applyFill="1" applyAlignment="1">
      <alignment vertical="center"/>
    </xf>
    <xf numFmtId="0" fontId="0" fillId="19" borderId="0" xfId="0" applyFill="1" applyAlignment="1">
      <alignment horizontal="center" vertical="center"/>
    </xf>
    <xf numFmtId="0" fontId="2" fillId="5" borderId="2" xfId="0" applyFont="1" applyFill="1" applyBorder="1" applyAlignment="1">
      <alignment horizontal="center" vertical="top"/>
    </xf>
    <xf numFmtId="0" fontId="12" fillId="5" borderId="0" xfId="0" applyFont="1" applyFill="1" applyAlignment="1">
      <alignment horizontal="center" vertical="top"/>
    </xf>
    <xf numFmtId="0" fontId="19" fillId="5" borderId="1" xfId="0" applyFont="1" applyFill="1" applyBorder="1" applyAlignment="1">
      <alignment horizontal="center" vertical="top"/>
    </xf>
    <xf numFmtId="0" fontId="2" fillId="5" borderId="5" xfId="0" applyFont="1" applyFill="1" applyBorder="1" applyAlignment="1">
      <alignment horizontal="center" vertical="top"/>
    </xf>
    <xf numFmtId="0" fontId="12" fillId="5" borderId="0" xfId="0" applyFont="1" applyFill="1" applyAlignment="1">
      <alignment vertical="top"/>
    </xf>
    <xf numFmtId="0" fontId="0" fillId="5" borderId="2" xfId="0" applyFill="1" applyBorder="1" applyAlignment="1">
      <alignment horizontal="center" vertical="top"/>
    </xf>
    <xf numFmtId="0" fontId="0" fillId="7" borderId="2" xfId="0" applyFill="1" applyBorder="1" applyAlignment="1">
      <alignment horizontal="center" vertical="top"/>
    </xf>
    <xf numFmtId="0" fontId="6" fillId="0" borderId="2" xfId="0" applyFont="1" applyBorder="1" applyAlignment="1">
      <alignment horizontal="center" vertical="top"/>
    </xf>
    <xf numFmtId="0" fontId="9" fillId="5" borderId="0" xfId="0" applyFont="1" applyFill="1" applyAlignment="1">
      <alignment vertical="top" wrapText="1"/>
    </xf>
    <xf numFmtId="0" fontId="9" fillId="5" borderId="0" xfId="0" applyFont="1" applyFill="1" applyAlignment="1">
      <alignment vertical="top"/>
    </xf>
    <xf numFmtId="0" fontId="3" fillId="2" borderId="0" xfId="0" applyFont="1" applyFill="1" applyAlignment="1">
      <alignment horizontal="left" vertical="top"/>
    </xf>
    <xf numFmtId="0" fontId="3" fillId="8" borderId="0" xfId="0" applyFont="1" applyFill="1" applyAlignment="1">
      <alignment horizontal="center" vertical="top"/>
    </xf>
    <xf numFmtId="0" fontId="3" fillId="10" borderId="0" xfId="0" applyFont="1" applyFill="1" applyAlignment="1">
      <alignment horizontal="center" vertical="top"/>
    </xf>
    <xf numFmtId="0" fontId="3" fillId="7" borderId="0" xfId="0" applyFont="1" applyFill="1" applyAlignment="1">
      <alignment horizontal="center" vertical="top"/>
    </xf>
    <xf numFmtId="0" fontId="9" fillId="5" borderId="0" xfId="0" applyFont="1" applyFill="1" applyAlignment="1">
      <alignment horizontal="left" vertical="top" wrapText="1"/>
    </xf>
    <xf numFmtId="0" fontId="3" fillId="8" borderId="0" xfId="0" applyFont="1" applyFill="1" applyAlignment="1">
      <alignment horizontal="center" vertical="top" wrapText="1"/>
    </xf>
    <xf numFmtId="0" fontId="3" fillId="2" borderId="0" xfId="0" applyFont="1" applyFill="1" applyAlignment="1">
      <alignment horizontal="left" vertical="top" wrapText="1"/>
    </xf>
    <xf numFmtId="0" fontId="3" fillId="8" borderId="0" xfId="0" applyFont="1" applyFill="1" applyAlignment="1">
      <alignment horizontal="left" vertical="top" wrapText="1"/>
    </xf>
    <xf numFmtId="0" fontId="3" fillId="7" borderId="0" xfId="0" applyFont="1" applyFill="1" applyAlignment="1">
      <alignment horizontal="center" vertical="top" wrapText="1"/>
    </xf>
    <xf numFmtId="0" fontId="3" fillId="10" borderId="0" xfId="0" applyFont="1" applyFill="1" applyAlignment="1">
      <alignment horizontal="center" vertical="top" wrapText="1"/>
    </xf>
  </cellXfs>
  <cellStyles count="1">
    <cellStyle name="Normal" xfId="0" builtinId="0"/>
  </cellStyles>
  <dxfs count="47">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47</xdr:col>
      <xdr:colOff>2368774</xdr:colOff>
      <xdr:row>89</xdr:row>
      <xdr:rowOff>38966</xdr:rowOff>
    </xdr:from>
    <xdr:to>
      <xdr:col>48</xdr:col>
      <xdr:colOff>983829</xdr:colOff>
      <xdr:row>92</xdr:row>
      <xdr:rowOff>79579</xdr:rowOff>
    </xdr:to>
    <xdr:pic>
      <xdr:nvPicPr>
        <xdr:cNvPr id="2" name="Picture 1">
          <a:extLst>
            <a:ext uri="{FF2B5EF4-FFF2-40B4-BE49-F238E27FC236}">
              <a16:creationId xmlns:a16="http://schemas.microsoft.com/office/drawing/2014/main" id="{9FF8F3BC-947A-4449-8BB1-7393E502BF09}"/>
            </a:ext>
          </a:extLst>
        </xdr:cNvPr>
        <xdr:cNvPicPr>
          <a:picLocks noChangeAspect="1"/>
        </xdr:cNvPicPr>
      </xdr:nvPicPr>
      <xdr:blipFill>
        <a:blip xmlns:r="http://schemas.openxmlformats.org/officeDocument/2006/relationships" r:embed="rId1"/>
        <a:stretch>
          <a:fillRect/>
        </a:stretch>
      </xdr:blipFill>
      <xdr:spPr>
        <a:xfrm>
          <a:off x="36602579" y="7625249"/>
          <a:ext cx="1087621" cy="65875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ayoung Yoon" id="{925649D1-D5F8-4399-B9C5-7F9921F3C96F}" userId="" providerId=""/>
  <person displayName="Nayoung Yoon" id="{7F4078CD-54DC-EC49-A0B0-D0648D525105}" userId="Nayoung Yoon" providerId="None"/>
  <person displayName="Yixian Huang" id="{542FBE7B-16E6-FF49-8176-FA733018590F}" userId="Yixian Huang" providerId="None"/>
  <person displayName="Huang, Yixian" id="{DAE40A29-3132-E340-9532-04353316326C}" userId="S::yh23753@my.utexas.edu::b8de5be3-e76c-42cc-80a8-1c481fb714c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18" dT="2024-05-23T18:13:32.63" personId="{542FBE7B-16E6-FF49-8176-FA733018590F}" id="{6A3E6349-88F5-2446-A89B-C73625FC7B0A}">
    <text xml:space="preserve">Read naturally is a published program that is scripted.
</text>
  </threadedComment>
  <threadedComment ref="X23" dT="2024-06-07T15:26:46.81" personId="{DAE40A29-3132-E340-9532-04353316326C}" id="{C5C631C7-026D-3F4E-B0C4-B090BF2323EE}">
    <text>Subjects assigned to the same experimental condition met in groups of five in a private room with a female instructor, who was a member of the project staff from outside the school. There were two small groups for each experimental condition (total of six groups). The order in which groups met with the instructor was rotated to eliminate potential effects due to meeting time.</text>
  </threadedComment>
  <threadedComment ref="AC23" dT="2024-06-07T15:54:50.16" personId="{DAE40A29-3132-E340-9532-04353316326C}" id="{03A313D3-3105-B54D-B163-6E78D765E932}">
    <text>Our periodic observations of the sessions confirmed they were implemented correctly and that subjects maintained interest.</text>
  </threadedComment>
  <threadedComment ref="AN36" dT="2024-12-20T19:20:35.04" personId="{DAE40A29-3132-E340-9532-04353316326C}" id="{450F0153-0036-294B-A1BA-A59794FB7DDD}">
    <text>Not the same sample participate in the follow up test.</text>
  </threadedComment>
  <threadedComment ref="H40" dT="2024-12-26T02:38:20.76" personId="{DAE40A29-3132-E340-9532-04353316326C}" id="{F5F37210-1F5C-C94F-89B0-862E141B17E1}">
    <text xml:space="preserve">Or NV
</text>
  </threadedComment>
  <threadedComment ref="Z40" dT="2024-06-07T16:03:30.95" personId="{DAE40A29-3132-E340-9532-04353316326C}" id="{15367638-EFAC-0C41-B55C-5B4FA7B2AA11}">
    <text xml:space="preserve">6-week teacher-delivered integrated-class -&gt; we can assume this is part of their daily school lesson, so I count 6*5=30 as the total number of  sessions. The Email group can add two 30-min email sessions as described in the text. </text>
  </threadedComment>
  <threadedComment ref="AC40" dT="2024-06-07T16:04:56.80" personId="{DAE40A29-3132-E340-9532-04353316326C}" id="{2826D8F8-8C46-8E40-A385-B99C9D0B935A}">
    <text xml:space="preserve">The email process is monitored. 
</text>
  </threadedComment>
  <threadedComment ref="P46" dT="2024-06-07T20:00:50.44" personId="{DAE40A29-3132-E340-9532-04353316326C}" id="{5F59C648-AD66-D143-97E3-D07BBF4AA490}">
    <text>Further, the girls were from same socio-economic status. The girls’ mothers are housewives and their fathers’ occupations are primarily governmental ones with salaries that range between 350 and 420 Jordanian Dinars.</text>
  </threadedComment>
  <threadedComment ref="X46" dT="2024-06-07T16:56:45.42" personId="{DAE40A29-3132-E340-9532-04353316326C}" id="{276439B1-2C39-5F42-8BA2-E635AC9D8596}">
    <text>The students in CORI classes (M = 4.180) outperformed the students in the control group (M = 3.655),</text>
  </threadedComment>
  <threadedComment ref="Z46" dT="2024-06-12T18:33:21.32" personId="{DAE40A29-3132-E340-9532-04353316326C}" id="{B9E69DB7-82CB-9449-B6FA-3A8C63FA9C64}">
    <text xml:space="preserve">The 50-minute daily reading intervention program, implemented in the beginning of the second semester 2014 (from February to the end of May), was the main reading program for the total of 16 weeks.
</text>
  </threadedComment>
  <threadedComment ref="Z48" dT="2024-06-07T18:42:23.34" personId="{DAE40A29-3132-E340-9532-04353316326C}" id="{9D170BF5-35AC-C44C-B49F-0E611B2F2558}">
    <text xml:space="preserve">Pretest =   Oct  -  Nov
Post-test = May - July
Duration:     7.5 months
</text>
  </threadedComment>
  <threadedComment ref="P50" dT="2024-06-07T19:06:49.19" personId="{DAE40A29-3132-E340-9532-04353316326C}" id="{824C0FE7-EFC0-EA46-AE54-E4D7B32EEAA5}">
    <text>In addition, the SI schools were relatively high in SES and entering achievement. Thus, two of the highest achievement classrooms in SI schools and two of the lowestachieving classrooms in CORI schools were dropped to equate the entering reading achievement levels. This permitted the equivalent groups, pre- and postdesign analyses to be performed. There were 315 students included in these analyses.</text>
  </threadedComment>
  <threadedComment ref="W50" dT="2024-06-07T19:06:13.29" personId="{DAE40A29-3132-E340-9532-04353316326C}" id="{EE120BF1-D8ED-4B44-BBB1-C3826D087EC8}">
    <text>The instructional models were not scripts and required extensive expertise that not all teachers acquired.</text>
  </threadedComment>
  <threadedComment ref="AG51" dT="2024-07-10T20:35:20.38" personId="{DAE40A29-3132-E340-9532-04353316326C}" id="{F2F510CC-3C04-5042-9FDC-AB132CA93F06}">
    <text xml:space="preserve">Across-time correlation of these responses for parallel forms was r (151) = 0.46, p &lt; .001.
</text>
  </threadedComment>
  <threadedComment ref="G56" dT="2024-06-12T18:50:20.39" personId="{DAE40A29-3132-E340-9532-04353316326C}" id="{9B49A14A-86A7-844F-B190-67A6FBD98089}">
    <text xml:space="preserve">Data analysis
A quasi-experimental pre-post design consisting of an IG and a CG in first grade was used.
</text>
  </threadedComment>
  <threadedComment ref="M56" dT="2024-06-12T18:21:38.62" personId="{DAE40A29-3132-E340-9532-04353316326C}" id="{59D08123-DB9B-E54B-83D4-5DD256E67B1C}">
    <text>7 years and 6 months
= 7 + 6/12 = 7.5</text>
  </threadedComment>
  <threadedComment ref="Q56" dT="2024-06-12T18:23:28.12" personId="{DAE40A29-3132-E340-9532-04353316326C}" id="{0C67F604-5E6C-0547-88E8-FCDF095251CC}">
    <text xml:space="preserve">58 native Hebrew-speaking children,
</text>
  </threadedComment>
  <threadedComment ref="Z56" dT="2024-06-09T20:05:44.03" personId="{DAE40A29-3132-E340-9532-04353316326C}" id="{4608B7E3-AFDC-A248-B817-BEB29833D130}">
    <text>A six-month intervention (6*4 week), 5 days a week, 2 sessions per day, 45 minute per session.</text>
  </threadedComment>
  <threadedComment ref="AB56" dT="2024-06-12T18:52:01.53" personId="{DAE40A29-3132-E340-9532-04353316326C}" id="{79841158-8AF9-F047-AD85-D356167F9CA1}">
    <text xml:space="preserve">two weekly lessons (90minutes)
</text>
  </threadedComment>
  <threadedComment ref="G58" dT="2024-06-23T14:34:38.38" personId="{DAE40A29-3132-E340-9532-04353316326C}" id="{49B3072B-6D1D-4849-B4C6-B5F5FD45EBD0}">
    <text xml:space="preserve">Although the authors stated “We used a non-equivalent groups pretest-posttest design. (p. 525)”, their pre-test data on RC and motivational measures are non-significant (p. 531, Table 3). Therefore, we consider the groups are matched.
</text>
  </threadedComment>
  <threadedComment ref="S58" dT="2024-07-05T19:03:33.10" personId="{DAE40A29-3132-E340-9532-04353316326C}" id="{B685148D-65F6-1E47-B52B-41C00D4DCB29}">
    <text xml:space="preserve">The vast majority of the participants were white native speakers of Norwegian, with only 14 participants (12 in the intervention group, 2 in the control group) having a first language other than Norwegian,
</text>
  </threadedComment>
  <threadedComment ref="V58" dT="2024-07-05T19:06:23.82" personId="{DAE40A29-3132-E340-9532-04353316326C}" id="{3FFA45E4-625C-8A49-AF9B-6E28F771F213}">
    <text xml:space="preserve">P55 The instructional content consisted of topics from the Norwegian national fifth-grade social studies curriculum. This content area was chosen because all teachers involved in the intervention taught social studies in their fifth-grade class- rooms. Moreover, social studies require extensive expository text comprehension. The specific topics of instruction were Nordic Stone Age, Bronze Age, and Iron Age, as well as Norwegian natural landscape and geography. The same topics were taught in the same order to the control group during the same period. Within ERCI, teachers attempted to use the following four instructional practices, which were derived from the principles of relevant background knowledge, reading comprehension strategies, reading-group organization, and reading motivation (see above).
</text>
  </threadedComment>
  <threadedComment ref="AM59" dT="2024-06-23T14:54:56.54" personId="{DAE40A29-3132-E340-9532-04353316326C}" id="{C7282ED4-865D-564A-97BF-F8C8ACDF7F83}">
    <text>p. 532. The third research question, concerning the effects of our intervention on reading comprehension … Eighty-nine students in the intervention group and 90 students in the control group had complete data sets and were available for this analysis.</text>
  </threadedComment>
  <threadedComment ref="G66" dT="2024-06-23T15:51:22.20" personId="{DAE40A29-3132-E340-9532-04353316326C}" id="{1810750F-36C5-FB42-A27D-F2EC1B7DA355}">
    <text>The groups were selected so that the conditions were dispersed between the teachers, with each teacher teaching two different conditions to control for teacher effects: teacher 1 taught a control condition and a textbook ISR condition, teacher 2 taught a control condition and a module ISR condition, and teacher 3 taught a textbook ISR condition and a module ISR condition.</text>
  </threadedComment>
  <threadedComment ref="G66" dT="2024-06-23T15:51:31.95" personId="{DAE40A29-3132-E340-9532-04353316326C}" id="{4AABF968-77C7-7B41-9222-553DBA52CCBA}" parentId="{1810750F-36C5-FB42-A27D-F2EC1B7DA355}">
    <text>and the school randomly assigned those students to the classes in this study.</text>
  </threadedComment>
  <threadedComment ref="AK66" dT="2024-06-23T16:23:58.99" personId="{DAE40A29-3132-E340-9532-04353316326C}" id="{D860718F-7CBC-5F43-9708-6FBF3A261082}">
    <text>Table 4 Reading comprehension with total reading ability as the covariate: control versus textbook ISR versus module ISR
Will contact author for raw data</text>
  </threadedComment>
  <threadedComment ref="G85" dT="2024-06-23T20:08:15.12" personId="{DAE40A29-3132-E340-9532-04353316326C}" id="{4DFF3693-B654-EC4C-82CB-D96AC4AEC2C4}">
    <text>As in Study 1, we used an equivalent groups pretest–posttest design (Pedhazur &amp; Schmelkin, 1991).</text>
  </threadedComment>
  <threadedComment ref="O87" dT="2024-06-23T20:10:08.38" personId="{DAE40A29-3132-E340-9532-04353316326C}" id="{C4EB45CD-FB6C-9144-917C-34BDF8464832}">
    <text>The table reported the percentage as 11%</text>
  </threadedComment>
  <threadedComment ref="AQ91" dT="2024-12-20T21:09:08.06" personId="{DAE40A29-3132-E340-9532-04353316326C}" id="{CD51F4D8-6B87-3C49-A9FE-C84A4E857509}">
    <text>from mid-March to mid-May, 2020, and follow-up measurements from October to November 2020.
7 mo = mid-March to mid-October</text>
  </threadedComment>
  <threadedComment ref="G94" dT="2024-06-24T01:25:30.95" personId="{DAE40A29-3132-E340-9532-04353316326C}" id="{990EB2FB-ED37-0641-B093-146D302DF083}">
    <text>Because students in the two experimental conditions received essentially similar treatments and because there were no differences in pre- and posttest outcomes by condition, we simplified our main analysis and presentation of the results by combining the two conditions (MS and MS-H).</text>
  </threadedComment>
  <threadedComment ref="G94" dT="2024-06-24T01:26:00.85" personId="{DAE40A29-3132-E340-9532-04353316326C}" id="{08E968FE-38CE-A645-9746-8787E2D645C0}" parentId="{990EB2FB-ED37-0641-B093-146D302DF083}">
    <text>Combine two intervention groups into 1 - can this still be considered as RCT?</text>
  </threadedComment>
  <threadedComment ref="AE94" dT="2024-07-05T19:28:49.39" personId="{DAE40A29-3132-E340-9532-04353316326C}" id="{6D4B48E8-103D-C440-8BF9-84C326873A41}">
    <text>Primary grade students are only tested for Reading Skills and ... No, MAP is not a standardized test. It is an adaptive test and is ... 
https://blog.etutorworld.com/map-testing-measure-of-academic-progress/</text>
    <extLst>
      <x:ext xmlns:xltc2="http://schemas.microsoft.com/office/spreadsheetml/2020/threadedcomments2" uri="{F7C98A9C-CBB3-438F-8F68-D28B6AF4A901}">
        <xltc2:checksum>802860436</xltc2:checksum>
        <xltc2:hyperlink startIndex="138" length="70" url="https://blog.etutorworld.com/map-testing-measure-of-academic-progress/"/>
      </x:ext>
    </extLst>
  </threadedComment>
  <threadedComment ref="P98" dT="2024-07-02T18:25:33.24" personId="{DAE40A29-3132-E340-9532-04353316326C}" id="{D7CABF29-3BD9-2544-AB0B-94471F1B97F9}">
    <text>children mostly came from lower-class families,</text>
  </threadedComment>
  <threadedComment ref="X98" dT="2024-07-02T18:44:37.77" personId="{DAE40A29-3132-E340-9532-04353316326C}" id="{13992C6F-0769-7A46-B6CC-0AFC91CC7B2E}">
    <text>Condition 1 – Direct instruction integrated with the jigsaw approach. In lessons 1 and 2, the teacher taught the text following a whole-class approach. In lessons 3–5, students were assigned to six home groups comprising students of different ability, with five to six students in each group.</text>
  </threadedComment>
  <threadedComment ref="AQ98" dT="2024-12-20T21:16:43.26" personId="{DAE40A29-3132-E340-9532-04353316326C}" id="{D48FBCD8-75AF-584E-A1E3-7F661D011C83}">
    <text>Students in the jigsaw group also performed better on understanding the story than the control group in the re-test after 3 months.</text>
  </threadedComment>
  <threadedComment ref="V101" dT="2024-07-02T19:04:49.53" personId="{DAE40A29-3132-E340-9532-04353316326C}" id="{B1C13DBE-16D9-8A42-9666-77A8C8E82ABB}">
    <text>Reading Materials  Students selected books of their own choice from the list of books recommended for third-grade students by the school. In the treatment classroom, the less proficient readers of the pair selected books from the list.</text>
  </threadedComment>
  <threadedComment ref="Q103" dT="2024-07-02T20:18:39.43" personId="{DAE40A29-3132-E340-9532-04353316326C}" id="{A4B5F789-3CC5-7B4F-A498-9454BE9E0E80}">
    <text>Three models were run: one involving only ELs (n 1⁄4 76), one with only native English speakers (n 1⁄4 125), and one in which students were not separated by language status (n 1⁄4 203).</text>
  </threadedComment>
  <threadedComment ref="AB103" dT="2024-07-02T20:22:31.52" personId="{DAE40A29-3132-E340-9532-04353316326C}" id="{2E7ABCE6-E944-1E41-A853-9D1B97896967}">
    <text xml:space="preserve">The dosage info can be found in the limitation section! </text>
  </threadedComment>
  <threadedComment ref="AN103" dT="2024-12-20T21:24:58.68" personId="{DAE40A29-3132-E340-9532-04353316326C}" id="{92A12523-AB50-E242-9105-ED031B56FEAC}">
    <text>Waitlist design. The condition changed before the delayed posttest.</text>
  </threadedComment>
  <threadedComment ref="G109" dT="2024-09-06T20:56:05.43" personId="{DAE40A29-3132-E340-9532-04353316326C}" id="{CF71FFBB-FDA7-CF47-93D0-E649F6A09AC7}">
    <text xml:space="preserve">RCT - class level
</text>
  </threadedComment>
  <threadedComment ref="AB109" dT="2024-07-02T20:48:41.72" personId="{DAE40A29-3132-E340-9532-04353316326C}" id="{4652B5EB-2CD6-DB4A-B902-5614304079B3}">
    <text xml:space="preserve">The dosage info can be found in the limitation section! </text>
  </threadedComment>
  <threadedComment ref="G143" dT="2024-07-15T16:40:41.91" personId="{DAE40A29-3132-E340-9532-04353316326C}" id="{A1166E22-D7FC-6049-A160-C47EAE67FA87}">
    <text>This study incorporated multi-site cluster-randomized design.
In each school, researchers randomly assigned teachers to treatment or control conditions within each grade level.</text>
  </threadedComment>
  <threadedComment ref="AF167" dT="2024-09-01T20:57:34.33" personId="{DAE40A29-3132-E340-9532-04353316326C}" id="{82680F84-744E-534E-A51D-8F98CAB47B1D}">
    <text xml:space="preserve">Text comprehension. Text comprehension tasks were designed to be similar to reading activities, which were prominent in the traditional classrooms.
- over align with TI, not the intervention condition
</text>
  </threadedComment>
  <threadedComment ref="AN167" dT="2024-12-20T21:25:32.59" personId="{DAE40A29-3132-E340-9532-04353316326C}" id="{1DA98282-8EC2-5146-AB81-1F7C6AD0FB99}">
    <text>Waitlist design. The condition changed before the delayed posttest.</text>
  </threadedComment>
  <threadedComment ref="AF168" dT="2024-09-01T20:57:34.33" personId="{DAE40A29-3132-E340-9532-04353316326C}" id="{198198DF-EB7A-4945-B22F-7B5265C94362}">
    <text xml:space="preserve">Text comprehension. Text comprehension tasks were designed to be similar to reading activities, which were prominent in the traditional classrooms.
- over align with TI, not the intervention condition
</text>
  </threadedComment>
  <threadedComment ref="AF169" dT="2024-09-01T20:57:34.33" personId="{DAE40A29-3132-E340-9532-04353316326C}" id="{5AA97D02-03D6-9E49-B019-3677474122C1}">
    <text xml:space="preserve">Text comprehension. Text comprehension tasks were designed to be similar to reading activities, which were prominent in the traditional classrooms.
- over align with TI, not the intervention condition
</text>
  </threadedComment>
  <threadedComment ref="AF177" dT="2024-09-01T20:57:34.33" personId="{DAE40A29-3132-E340-9532-04353316326C}" id="{7E5CBA7B-0495-4747-BF5F-8B20FF83AD16}">
    <text xml:space="preserve">Text comprehension. Text comprehension tasks were designed to be similar to reading activities, which were prominent in the traditional classrooms.
- over align with TI, not the intervention condition
</text>
  </threadedComment>
  <threadedComment ref="AF178" dT="2024-09-01T20:57:34.33" personId="{DAE40A29-3132-E340-9532-04353316326C}" id="{00CF5490-A834-AD4B-94BF-6684D804EE1D}">
    <text xml:space="preserve">Text comprehension. Text comprehension tasks were designed to be similar to reading activities, which were prominent in the traditional classrooms.
- over align with TI, not the intervention condition
</text>
  </threadedComment>
  <threadedComment ref="AF179" dT="2024-09-01T20:57:34.33" personId="{DAE40A29-3132-E340-9532-04353316326C}" id="{D7CA03C6-517B-AD4D-982F-F36682798AE0}">
    <text xml:space="preserve">Text comprehension. Text comprehension tasks were designed to be similar to reading activities, which were prominent in the traditional classrooms.
- over align with TI, not the intervention condition
</text>
  </threadedComment>
  <threadedComment ref="L187" dT="2024-08-20T17:02:02.62" personId="{7F4078CD-54DC-EC49-A0B0-D0648D525105}" id="{05BBBAA1-7587-2747-B620-7B4783E87718}">
    <text>Netherlands secondary grades (12-14 years of age)</text>
  </threadedComment>
  <threadedComment ref="L187" dT="2024-09-01T21:12:47.52" personId="{DAE40A29-3132-E340-9532-04353316326C}" id="{626E3D7E-0AD8-E640-9787-32F609AD5665}" parentId="{05BBBAA1-7587-2747-B620-7B4783E87718}">
    <text>We selected students in their first year of secondary education (12–14 years of age).</text>
  </threadedComment>
  <threadedComment ref="AC189" dT="2024-09-02T00:08:46.10" personId="{DAE40A29-3132-E340-9532-04353316326C}" id="{202FBA75-24D8-7645-B973-D0DB83AC892E}">
    <text>Occasional observations by the authors confirmed that it was properly implemented.</text>
  </threadedComment>
  <threadedComment ref="Z196" dT="2024-09-02T20:01:41.64" personId="{DAE40A29-3132-E340-9532-04353316326C}" id="{E8B15734-41D5-BD48-A7CC-E32BB12250C0}">
    <text>Over the course of the five-week program, students received a total of 40 hours of  instruction, delivered by head teachers who were supported by undergraduate assistant  teachers.</text>
  </threadedComment>
  <threadedComment ref="AB196" dT="2024-09-02T20:01:16.05" personId="{DAE40A29-3132-E340-9532-04353316326C}" id="{A115B99D-E82C-094C-BA13-E8E9E35B1E8E}">
    <text>Each group received one hour of daily instruction in both the RAVE-O and  Wilson Reading programs’ curricula proven to improve fluency and phonics skills  respectively</text>
  </threadedComment>
  <threadedComment ref="B198" dT="2024-12-26T05:32:40.28" personId="{DAE40A29-3132-E340-9532-04353316326C}" id="{534CFD3C-4643-AF44-8FC7-B9B9C2CCFCE0}">
    <text>CAI</text>
  </threadedComment>
  <threadedComment ref="N200" dT="2024-09-02T21:07:50.47" personId="{DAE40A29-3132-E340-9532-04353316326C}" id="{5B4C0806-0643-2A4A-A89F-AA81B51A9FF7}">
    <text>All students had active IEPs that included reading goals.</text>
  </threadedComment>
  <threadedComment ref="AD202" dT="2024-09-02T20:52:10.83" personId="{DAE40A29-3132-E340-9532-04353316326C}" id="{38BEEDCE-77C4-284B-AD67-1E6B6FA6A630}">
    <text>The MAP reading test comprises four areas, Word Meaning, Literal Comprehension, Interpretive Comprehension, and Evaluative Comprehension, which compose an overall MAP reading score.</text>
  </threadedComment>
  <threadedComment ref="AD205" dT="2024-09-02T20:52:10.83" personId="{DAE40A29-3132-E340-9532-04353316326C}" id="{BBBA6710-DF45-6746-B179-604A8F531EC0}">
    <text>The MAP reading test comprises four areas, Word Meaning, Literal Comprehension, Interpretive Comprehension, and Evaluative Comprehension, which compose an overall MAP reading score.</text>
  </threadedComment>
  <threadedComment ref="P206" dT="2024-09-28T15:58:48.24" personId="{DAE40A29-3132-E340-9532-04353316326C}" id="{F81FAE21-5578-9C48-9001-765545D408E0}">
    <text>children predominantly were lower-middle class.</text>
  </threadedComment>
  <threadedComment ref="P210" dT="2024-12-02T00:10:24.48" personId="{DAE40A29-3132-E340-9532-04353316326C}" id="{EA5F1501-B0E2-B04D-9704-18ED522BE6D8}">
    <text>childrenpredominantlywere lower middle class</text>
  </threadedComment>
  <threadedComment ref="Z213" dT="2024-12-02T01:28:07.19" personId="{DAE40A29-3132-E340-9532-04353316326C}" id="{33A42075-0B36-4C43-BCD2-4ABA7BCD5D6C}">
    <text>Not reported directly. Estimate to be the same as the PI group.</text>
  </threadedComment>
  <threadedComment ref="Z213" dT="2024-12-02T01:28:23.62" personId="{DAE40A29-3132-E340-9532-04353316326C}" id="{9F01F4AB-A892-384B-85B1-D691A337D6F4}" parentId="{33A42075-0B36-4C43-BCD2-4ABA7BCD5D6C}">
    <text>Reading is organized on a daily basis, integrated in other activities, without a fixed time schedule.</text>
  </threadedComment>
  <threadedComment ref="P215" dT="2024-12-02T02:44:31.59" personId="{DAE40A29-3132-E340-9532-04353316326C}" id="{7D8EA0DC-34F4-4E4D-88D8-8B36DBB40346}">
    <text>the median household income was CAN$100,000 to CAN$124,999.</text>
  </threadedComment>
  <threadedComment ref="Q215" dT="2024-12-02T02:44:56.99" personId="{DAE40A29-3132-E340-9532-04353316326C}" id="{F93E4D63-A1C7-6F4D-BA16-181289B02F60}">
    <text>the primary language spoken at home by the final sample of 25 students was either English or English and French</text>
  </threadedComment>
  <threadedComment ref="A221" dT="2024-12-13T13:50:54.95" personId="{DAE40A29-3132-E340-9532-04353316326C}" id="{A87BC0C7-7B53-FE4F-B3F2-9466C58AD464}">
    <text>Demographic info is on page 33-35. Table 2 has most of the info (pp.35).</text>
  </threadedComment>
  <threadedComment ref="A221" dT="2024-12-13T15:26:10.08" personId="{DAE40A29-3132-E340-9532-04353316326C}" id="{3486F0C7-D076-E344-B2E1-F29E0E2BE109}" parentId="{A87BC0C7-7B53-FE4F-B3F2-9466C58AD464}">
    <text>Dosage = 20 RN + 10 Read Aloud</text>
  </threadedComment>
  <threadedComment ref="G221" dT="2024-12-13T13:28:10.60" personId="{DAE40A29-3132-E340-9532-04353316326C}" id="{A0092A61-0F9F-CE49-84C7-2001C282FDCB}">
    <text>students with  learning disabilities (LD) and other high incidence disabilities were stratified by class and  randomly assigned to one of three conditions:</text>
  </threadedComment>
  <threadedComment ref="G233" dT="2024-12-14T16:28:53.69" personId="{DAE40A29-3132-E340-9532-04353316326C}" id="{77E51F62-2DB2-F440-BC7E-65B28B3BF2F3}">
    <text>[INDIVIDUAL] Students from each class were randomly assigned to one of four instruction conditions.</text>
  </threadedComment>
  <threadedComment ref="AF233" dT="2024-12-14T16:33:51.88" personId="{DAE40A29-3132-E340-9532-04353316326C}" id="{A10397F7-A041-6C46-A536-770444A87F9B}">
    <text>For each test a passage similar to those used for the reading tasks in Phase 2 was employed</text>
  </threadedComment>
  <threadedComment ref="AQ233" dT="2024-12-14T16:25:00.78" personId="{DAE40A29-3132-E340-9532-04353316326C}" id="{2D4A6ACA-49BF-9E4E-8EF8-75AEB65E5BF0}">
    <text>four weeks after (maintenance test).</text>
  </threadedComment>
  <threadedComment ref="G237" dT="2024-12-14T16:28:53.69" personId="{DAE40A29-3132-E340-9532-04353316326C}" id="{B1984A5C-EC3D-E846-8EA2-A17511E0FFAA}">
    <text>[INDIVIDUAL] Students from each class were randomly assigned to one of four instruction conditions.</text>
  </threadedComment>
  <threadedComment ref="A241" dT="2024-12-17T01:24:07.60" personId="{DAE40A29-3132-E340-9532-04353316326C}" id="{D930923F-85CD-3044-9939-AE8091EDE647}">
    <text>Table 2 on page 98</text>
  </threadedComment>
  <threadedComment ref="AA241" dT="2024-12-17T15:47:10.66" personId="{DAE40A29-3132-E340-9532-04353316326C}" id="{9763A9D5-BC4E-9D4F-A06D-C72EFF1E44A5}">
    <text>The instruction was provided for forty minutes a day for  eight weeks to social studies classes.</text>
  </threadedComment>
  <threadedComment ref="AJ241" dT="2024-12-17T15:53:37.02" personId="{DAE40A29-3132-E340-9532-04353316326C}" id="{9183F6DA-B592-D44D-8750-D2B2568E935B}">
    <text xml:space="preserve">Cannot find the exact # of students in each group.
</text>
  </threadedComment>
  <threadedComment ref="A245" dT="2024-12-17T01:24:07.60" personId="{DAE40A29-3132-E340-9532-04353316326C}" id="{45285DC9-175A-7C48-A65D-60D1D2F892F7}">
    <text>Table 2 on page 98</text>
  </threadedComment>
  <threadedComment ref="G249" dT="2024-12-15T15:50:18.22" personId="{DAE40A29-3132-E340-9532-04353316326C}" id="{F3A69D19-153F-3F44-8236-EF042EEA4142}">
    <text>Sixty children with LD were randomly assigned to three groups of 20 students. Two groups received the experimental treatment: self-instructional training and self-instructional plus attributional training</text>
  </threadedComment>
  <threadedComment ref="AQ249" dT="2024-12-14T16:55:14.42" personId="{DAE40A29-3132-E340-9532-04353316326C}" id="{A2E19FE0-633B-DB4B-A32E-09ED98F217D5}">
    <text>2 months later</text>
  </threadedComment>
  <threadedComment ref="G258" dT="2024-12-16T17:37:07.05" personId="{DAE40A29-3132-E340-9532-04353316326C}" id="{1FC13EAC-CD92-4242-905A-9E4E93660197}">
    <text>Didn’t mention RANDOM</text>
  </threadedComment>
  <threadedComment ref="AA260" dT="2024-12-19T03:15:08.59" personId="{DAE40A29-3132-E340-9532-04353316326C}" id="{CD0377A6-6D8C-8448-BC95-37A58B26DAF4}">
    <text xml:space="preserve">See fig 2
</text>
  </threadedComment>
  <threadedComment ref="AB260" dT="2024-12-19T03:19:27.98" personId="{DAE40A29-3132-E340-9532-04353316326C}" id="{9B9B74F2-39A6-7844-A3BD-5F80DB483ADE}">
    <text>20 class period. In Germany, class periods are normally 45 minutes long.</text>
  </threadedComment>
  <threadedComment ref="A303" dT="2024-12-20T15:50:04.07" personId="{DAE40A29-3132-E340-9532-04353316326C}" id="{899CA7CF-6158-5242-89A7-0E11969E06D7}">
    <text>Demographic Data table is on page 26</text>
  </threadedComment>
  <threadedComment ref="A303" dT="2024-12-20T16:07:56.42" personId="{DAE40A29-3132-E340-9532-04353316326C}" id="{E6F8C52E-8812-7244-A2D0-5345F5CAFF93}" parentId="{899CA7CF-6158-5242-89A7-0E11969E06D7}">
    <text>Number of minutes - table 4</text>
  </threadedComment>
  <threadedComment ref="AH303" dT="2024-12-20T16:36:54.75" personId="{DAE40A29-3132-E340-9532-04353316326C}" id="{743A5264-4B4D-F14C-BD3B-2562403166DA}">
    <text xml:space="preserve">Not sig.
</text>
  </threadedComment>
  <threadedComment ref="H305" dT="2024-12-26T04:59:53.22" personId="{DAE40A29-3132-E340-9532-04353316326C}" id="{5AD6D61D-DCA9-6E4E-B777-AF0E32ECE623}">
    <text>Can be G only</text>
  </threadedComment>
</ThreadedComments>
</file>

<file path=xl/threadedComments/threadedComment2.xml><?xml version="1.0" encoding="utf-8"?>
<ThreadedComments xmlns="http://schemas.microsoft.com/office/spreadsheetml/2018/threadedcomments" xmlns:x="http://schemas.openxmlformats.org/spreadsheetml/2006/main">
  <threadedComment ref="P11" dT="2024-05-23T17:49:00.49" personId="{542FBE7B-16E6-FF49-8176-FA733018590F}" id="{63D52874-6D89-684B-BD33-D3766C3A5C4C}">
    <text>Just need to divide the number by 100. ;)</text>
  </threadedComment>
  <threadedComment ref="AB11" dT="2024-05-29T18:41:54.24" personId="{925649D1-D5F8-4399-B9C5-7F9921F3C96F}" id="{490CB2BE-BC1D-4BDC-9712-0453DC5255AE}">
    <text>Fixed - It makes sense to exclude math fluency practice time. What about writing activity? Maybe the time dedicated to activities involving 'literacy' and motivational training?</text>
  </threadedComment>
  <threadedComment ref="X14" dT="2024-05-23T18:16:25.63" personId="{542FBE7B-16E6-FF49-8176-FA733018590F}" id="{B7DFB100-FEB1-9947-BCF3-E28F783AA852}">
    <text>“Each teacher continued to use previously established classroom organizational procedures.”</text>
  </threadedComment>
  <threadedComment ref="X14" dT="2024-05-29T18:41:11.43" personId="{925649D1-D5F8-4399-B9C5-7F9921F3C96F}" id="{3663F6F0-C00E-4D9F-8814-5CA882BEB116}" parentId="{B7DFB100-FEB1-9947-BCF3-E28F783AA852}">
    <text>P. 21 "… randomly assigned to one of three conditions: RCS+AR, RCS, or RN. This resulted in 21 total instructional groups (7 RCS+AR, 7 RCS, and 7 RN) of not more than seven students."</text>
  </threadedComment>
  <threadedComment ref="Y14" dT="2024-05-23T16:25:47.74" personId="{542FBE7B-16E6-FF49-8176-FA733018590F}" id="{47C5F538-CECD-0F4E-86DA-FFAA05228925}">
    <text>See table Table 1 - they major instructors are researchers in the RCS+AR condition (5 researchers and 2 SpEd teachers)</text>
  </threadedComment>
  <threadedComment ref="Q20" dT="2024-05-23T17:48:31.17" personId="{542FBE7B-16E6-FF49-8176-FA733018590F}" id="{F0907F58-9AD4-AE4B-93F3-88A69D039637}">
    <text xml:space="preserve">“Twenty-one students (64%) received some instruction in English as a second language classes.”
</text>
  </threadedComment>
  <threadedComment ref="Y20" dT="2024-05-23T18:18:06.42" personId="{542FBE7B-16E6-FF49-8176-FA733018590F}" id="{86E875B0-2F42-814E-A1E6-B048B4A3F8D5}">
    <text xml:space="preserve">“a female adult trainer from outside the school.”
</text>
  </threadedComment>
  <threadedComment ref="Y20" dT="2024-05-29T18:41:36.25" personId="{925649D1-D5F8-4399-B9C5-7F9921F3C96F}" id="{C7CD0806-255A-4F26-BA13-534E30C91463}" parentId="{86E875B0-2F42-814E-A1E6-B048B4A3F8D5}">
    <text>that makes sense and now this code looks clear!</text>
  </threadedComment>
  <threadedComment ref="AC20" dT="2024-05-29T18:42:07.77" personId="{925649D1-D5F8-4399-B9C5-7F9921F3C96F}" id="{D47E5083-379C-49E5-8C7B-71D8529CE4B0}">
    <text>P. 5 "Periodic observations of the training procedure by the authors confirmed that it was properly implemented and that children maintained their interest."
I thought this part implied somewhat degree of implementation fidelity. I think we need to clarify whether "1 = reported" indicates exact numeric data reported or any indication of checking fidelity reported.</text>
  </threadedComment>
  <threadedComment ref="AE23" dT="2024-06-07T15:56:51.48" personId="{DAE40A29-3132-E340-9532-04353316326C}" id="{C745E283-A86B-DF4C-B835-FB6BA773DB50}">
    <text>The eight passages described and provided information about persons, animals, places, and events. Passages ranged in length from 4 to 25 sentences (A/= 14 sentences), and each passage was followed by one to four questions (e.g., "What is the first paragraph mostly about?", "What is the most important idea in this passage?", "What is the writer's feeling?", "What is a good title for this passage?") for a total of 20 questions. Passages and questions ranged in difficulty; four passages (nine questions) were appropriate for Grade 2 students of average reading ability (Book A), two passages (six questions) for Grade 3 students (Book B), and two passages (five questions) for Grade 4 students (Book C). Passages and questions corresponded in reading level to those on the skill test but were not identical. A sample self-efficacy passage and question are shown in Table 1.</text>
  </threadedComment>
  <threadedComment ref="M26" dT="2024-05-31T22:28:25.45" personId="{7F4078CD-54DC-EC49-A0B0-D0648D525105}" id="{54099CBC-A351-504F-890D-6FC91B744B2D}">
    <text>P. 46 (Abstract) 75 upper elementary school students were assigned to four treatment groups.
I thought upper elementary in US is Grades 4, 5</text>
  </threadedComment>
  <threadedComment ref="Y26" dT="2024-06-01T01:00:35.30" personId="{7F4078CD-54DC-EC49-A0B0-D0648D525105}" id="{D0DF8830-CCF3-D54C-A8AF-2118B2BDB1A0}">
    <text>Authors simply mentioned "instructor"</text>
  </threadedComment>
  <threadedComment ref="T34" dT="2024-06-01T02:49:39.41" personId="{7F4078CD-54DC-EC49-A0B0-D0648D525105}" id="{765F3FF1-3DB7-C446-A6F0-DF673A36DD6C}">
    <text>P. 38-39 Learning Strategies Curriculum includes a number of strategies designed to help students derive information from texts, identify and remember important information, or develop writing or academic competence. The LCS including word identification, visual imagery, self-questioning, paraphrasing, sentence writing, vocabulary, and inferencing.
There was 'word identification' component, so I coded as "cm." I was not confident on this decision, so I would like to hear your thoughts!</text>
  </threadedComment>
  <threadedComment ref="Z34" dT="2024-06-01T03:22:15.14" personId="{7F4078CD-54DC-EC49-A0B0-D0648D525105}" id="{39CDCD51-8923-8A42-A757-F5752B602441}">
    <text>I thought the intervention was implemented for three years. So I computed as 3years*5days per week*36weeks in academic year*session length. Let me know if I misunderstood!</text>
  </threadedComment>
  <threadedComment ref="V35" dT="2024-06-01T04:52:47.73" personId="{7F4078CD-54DC-EC49-A0B0-D0648D525105}" id="{FBC63844-DC91-FA4B-B6C4-8C6A3CCB3A81}">
    <text>Researcher-developed school-wide professional development was implemented to BAU</text>
  </threadedComment>
  <threadedComment ref="Z36" dT="2024-06-01T04:35:29.55" personId="{7F4078CD-54DC-EC49-A0B0-D0648D525105}" id="{C6A62D0F-4878-D84D-A085-2B149BE1EC1E}">
    <text>I thought the intervention was implemented for four years. So I computed as 4years*5days per week*36weeks in academic year*session length. Let me know if I misunderstood!</text>
  </threadedComment>
  <threadedComment ref="P46" dT="2024-06-10T22:33:42.76" personId="{7F4078CD-54DC-EC49-A0B0-D0648D525105}" id="{18428521-4CD6-324F-9973-1E1989DA5C46}">
    <text>I compared average Jordan household salary in 2016 and authors' report. Average household salary in 2016 was around 931-992 JOD, and 350 to 420 JOD per month is substantially below the country average, so I assigned low SES to this study participants.</text>
  </threadedComment>
  <threadedComment ref="Q46" dT="2024-06-10T23:16:21.87" personId="{7F4078CD-54DC-EC49-A0B0-D0648D525105}" id="{3571807A-2084-FF48-B11B-33B543417DEF}">
    <text>English as foreign language can be included?</text>
  </threadedComment>
  <threadedComment ref="AC46" dT="2024-06-12T02:24:21.47" personId="{7F4078CD-54DC-EC49-A0B0-D0648D525105}" id="{DF8437D5-5C05-2843-B409-25A4304171FE}">
    <text>Although the authors mentioned that they made regular visits with teachers, visits were not occurred in classrooms and I do not think regular visit outside of the classrooms does not guarantee the fidelity ..</text>
  </threadedComment>
  <threadedComment ref="V47" dT="2024-06-12T02:50:02.45" personId="{7F4078CD-54DC-EC49-A0B0-D0648D525105}" id="{343015DF-AEA9-2349-95A1-F9B28E459D35}">
    <text>Traditional teaching method</text>
  </threadedComment>
  <threadedComment ref="G56" dT="2024-06-12T12:29:37.77" personId="{7F4078CD-54DC-EC49-A0B0-D0648D525105}" id="{3E4FFAE6-71F1-3441-B3DB-7EB8CC063F76}">
    <text>Would teacher random assignment be RCT?
(p.8) The two first grade teachers were assigned to either the IG or the CG by a coin toss.</text>
  </threadedComment>
  <threadedComment ref="AF61" dT="2024-07-10T21:57:31.72" personId="{7F4078CD-54DC-EC49-A0B0-D0648D525105}" id="{10F97D06-D13B-7948-BA3B-0A33B0797751}">
    <text>P. 529 The text was selected from a fifth-grade social studies textbook not used by the participants and the topic of the passage was Norwegian fisheries. 
Should this be considered as 'not overaligned'?</text>
  </threadedComment>
  <threadedComment ref="AF67" dT="2024-07-11T05:51:10.33" personId="{7F4078CD-54DC-EC49-A0B0-D0648D525105}" id="{597DB333-656E-CE45-879A-CE3B2C78C121}">
    <text>I thought that this four reading assignment measures were possibly overaligned to the intervention, because those passages were used as instructional material (see Table 9)</text>
  </threadedComment>
  <threadedComment ref="V76" dT="2024-06-28T17:42:55.40" personId="{7F4078CD-54DC-EC49-A0B0-D0648D525105}" id="{DC16C6D3-2F53-9D45-B06D-D3F85963730F}">
    <text>P. 452 control group covered the same reading material each week as the two treatment groups … Each teacher used a variety of methods to cover the material with the control classes but did not have the classes engage in ISR (independent silent reading).</text>
  </threadedComment>
  <threadedComment ref="X98" dT="2024-07-03T17:53:58.72" personId="{7F4078CD-54DC-EC49-A0B0-D0648D525105}" id="{08F74B5A-AFE3-4547-A476-C9469C205A1A}">
    <text>Lesson 1, 2 were taught in wholeclass and lesson 3, 4, 5 were taught in small group. I coded as small group based on the frequency.</text>
  </threadedComment>
  <threadedComment ref="AF98" dT="2024-07-11T05:52:25.21" personId="{7F4078CD-54DC-EC49-A0B0-D0648D525105}" id="{25D4FC43-B9A9-254F-88E7-F1C6CE6CAD2A}">
    <text>P. 411. … the students were asked to complete a reading test developed to assess their higher-order reading comprehension of the story "they had studied in the programme."
Maybe over aligned?</text>
  </threadedComment>
  <threadedComment ref="W101" dT="2024-07-03T18:21:32.27" personId="{7F4078CD-54DC-EC49-A0B0-D0648D525105}" id="{11C765E1-B241-6F44-B8BD-700E2B325AD9}">
    <text>P. 484 The teachers were given the handouts describing the specific steps for conducting PALS. - But not sure whether this handout was script for intervention.</text>
  </threadedComment>
  <threadedComment ref="AF103" dT="2024-07-11T05:55:36.97" personId="{7F4078CD-54DC-EC49-A0B0-D0648D525105}" id="{15BF5B7D-8C11-DA4C-81D4-2BD23E5C607E}">
    <text>P.8 We chose passages that were not topically related to the intervention unit topics so that scores would not be confounded by content instruction.</text>
  </threadedComment>
  <threadedComment ref="V104" dT="2024-07-03T18:41:29.47" personId="{7F4078CD-54DC-EC49-A0B0-D0648D525105}" id="{6CB3C667-1068-6546-9248-888EC431FEF9}">
    <text>students in Sequence A were taught with USHER units related to American Indians, European exploration, and two cultures meet (i.e., interactions between the American Indians and European Explorers), whereas students in Sequence B were taught with USHER units related to colonization, people in colonial America, and events leading to the American Revolution. During non-USHER intervention time, students were taught with the typical social studies curriculum covering the same social studies content as the USHER units.
I coded Sequence A pretest-posttest treatment and comparison groups design data, where students in treatment group were taught USHER while students in comparison group were taught typical social studies instruction.</text>
  </threadedComment>
  <threadedComment ref="A167" dT="2024-08-19T00:34:42.46" personId="{7F4078CD-54DC-EC49-A0B0-D0648D525105}" id="{5D7977EE-C14A-2C46-910F-B940843209C4}">
    <text>Reading comprehension outcome: text comprehension = story comprehension + informational text comprehension; text comprehension seem to be summed score of two subtests.</text>
  </threadedComment>
  <threadedComment ref="AF167" dT="2024-08-20T16:09:05.56" personId="{7F4078CD-54DC-EC49-A0B0-D0648D525105}" id="{42B8D4B0-34A1-2541-A77E-A02F4D5EE31A}">
    <text>Not sure. (p.267) Text comprehension tasks were designed to be similar to reading activities, which were prominent in the traditional classrooms.</text>
  </threadedComment>
  <threadedComment ref="AF172" dT="2024-08-20T16:09:05.56" personId="{7F4078CD-54DC-EC49-A0B0-D0648D525105}" id="{03E3099B-50E9-C24A-ADC4-03EA00C4316C}">
    <text>Not sure. (p.267) Text comprehension tasks were designed to be similar to reading activities, which were prominent in the traditional classrooms.</text>
  </threadedComment>
  <threadedComment ref="AF177" dT="2024-08-20T16:09:05.56" personId="{7F4078CD-54DC-EC49-A0B0-D0648D525105}" id="{2391AFC0-D853-D54B-AE99-4F83F0F42857}">
    <text>Not sure. (p.267) Text comprehension tasks were designed to be similar to reading activities, which were prominent in the traditional classrooms.</text>
  </threadedComment>
  <threadedComment ref="AF182" dT="2024-08-20T16:09:05.56" personId="{7F4078CD-54DC-EC49-A0B0-D0648D525105}" id="{9AD27FF7-18EC-9244-8476-697875312976}">
    <text>Not sure. (p.267) Text comprehension tasks were designed to be similar to reading activities, which were prominent in the traditional classrooms.</text>
  </threadedComment>
  <threadedComment ref="M187" dT="2024-08-20T17:02:02.62" personId="{7F4078CD-54DC-EC49-A0B0-D0648D525105}" id="{C273A6D2-CBBE-2B45-8D4D-BA7538665339}">
    <text>Netherlands secondary grades (12-14 years of age)</text>
  </threadedComment>
  <threadedComment ref="M188" dT="2024-09-03T01:21:35.35" personId="{DAE40A29-3132-E340-9532-04353316326C}" id="{1A653062-21C1-A948-9D5E-37A2688090F6}">
    <text xml:space="preserve">13;6
= 13 + 6/12 = 13.5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7D7DB-F844-CC45-A9A8-C0A0F89642FA}">
  <dimension ref="A1:AX451"/>
  <sheetViews>
    <sheetView tabSelected="1" zoomScale="61" zoomScaleNormal="178" workbookViewId="0">
      <pane xSplit="11" ySplit="2" topLeftCell="U3" activePane="bottomRight" state="frozen"/>
      <selection pane="topRight" activeCell="H1" sqref="H1"/>
      <selection pane="bottomLeft" activeCell="A3" sqref="A3"/>
      <selection pane="bottomRight" activeCell="W59" sqref="W59"/>
    </sheetView>
  </sheetViews>
  <sheetFormatPr baseColWidth="10" defaultColWidth="11.5" defaultRowHeight="15"/>
  <cols>
    <col min="1" max="1" width="17.83203125" style="60" customWidth="1"/>
    <col min="2" max="2" width="6.1640625" style="130" customWidth="1"/>
    <col min="3" max="3" width="6" style="130" customWidth="1"/>
    <col min="4" max="4" width="8.6640625" style="88" customWidth="1"/>
    <col min="5" max="5" width="5.5" style="88" customWidth="1"/>
    <col min="6" max="6" width="4.5" style="130" customWidth="1"/>
    <col min="7" max="7" width="7.33203125" style="88" customWidth="1"/>
    <col min="8" max="9" width="7.33203125" style="285" hidden="1" customWidth="1"/>
    <col min="10" max="10" width="9.33203125" style="127" customWidth="1"/>
    <col min="11" max="11" width="12.6640625" style="127" customWidth="1"/>
    <col min="12" max="12" width="11.5" style="127"/>
    <col min="13" max="13" width="11.5" style="247"/>
    <col min="14" max="14" width="14.33203125" style="247" customWidth="1"/>
    <col min="15" max="16" width="9.83203125" style="247" customWidth="1"/>
    <col min="17" max="17" width="11" style="247" customWidth="1"/>
    <col min="18" max="19" width="9.83203125" style="247" customWidth="1"/>
    <col min="20" max="20" width="15.6640625" style="127" customWidth="1"/>
    <col min="21" max="21" width="10.33203125" style="248" customWidth="1"/>
    <col min="22" max="22" width="16.33203125" style="127" customWidth="1"/>
    <col min="23" max="23" width="11.5" style="127"/>
    <col min="24" max="24" width="13.83203125" style="127" customWidth="1"/>
    <col min="25" max="25" width="16.5" style="127" customWidth="1"/>
    <col min="26" max="27" width="13" style="127" customWidth="1"/>
    <col min="28" max="28" width="13.5" style="127" customWidth="1"/>
    <col min="29" max="29" width="11.5" style="127"/>
    <col min="30" max="30" width="20.1640625" style="127" customWidth="1"/>
    <col min="31" max="31" width="12.5" style="127" customWidth="1"/>
    <col min="32" max="32" width="12.5" style="60" customWidth="1"/>
    <col min="33" max="33" width="31.33203125" style="146" customWidth="1"/>
    <col min="34" max="36" width="12.33203125" style="127" customWidth="1"/>
    <col min="37" max="39" width="11.5" style="127"/>
    <col min="40" max="45" width="9.33203125" style="127" customWidth="1"/>
    <col min="46" max="46" width="13.83203125" style="127" customWidth="1"/>
    <col min="47" max="47" width="20" style="127" customWidth="1"/>
    <col min="48" max="48" width="32.5" style="60" customWidth="1"/>
    <col min="49" max="49" width="26.6640625" style="60" customWidth="1"/>
    <col min="50" max="16384" width="11.5" style="127"/>
  </cols>
  <sheetData>
    <row r="1" spans="1:49" ht="21" customHeight="1">
      <c r="A1" s="348" t="s">
        <v>0</v>
      </c>
      <c r="B1" s="348"/>
      <c r="C1" s="348"/>
      <c r="D1" s="348"/>
      <c r="E1" s="348"/>
      <c r="F1" s="348"/>
      <c r="G1" s="348"/>
      <c r="H1" s="191"/>
      <c r="I1" s="191"/>
      <c r="J1" s="287" t="s">
        <v>1</v>
      </c>
      <c r="K1" s="287"/>
      <c r="L1" s="287"/>
      <c r="M1" s="287"/>
      <c r="N1" s="287"/>
      <c r="O1" s="287"/>
      <c r="P1" s="287"/>
      <c r="Q1" s="287"/>
      <c r="R1" s="287"/>
      <c r="S1" s="287"/>
      <c r="T1" s="351" t="s">
        <v>2</v>
      </c>
      <c r="U1" s="351"/>
      <c r="V1" s="351"/>
      <c r="W1" s="350" t="s">
        <v>3</v>
      </c>
      <c r="X1" s="350"/>
      <c r="Y1" s="350"/>
      <c r="Z1" s="350"/>
      <c r="AA1" s="350"/>
      <c r="AB1" s="350"/>
      <c r="AC1" s="350"/>
      <c r="AD1" s="349" t="s">
        <v>4</v>
      </c>
      <c r="AE1" s="349"/>
      <c r="AF1" s="216"/>
      <c r="AG1" s="346" t="s">
        <v>451</v>
      </c>
      <c r="AH1" s="349" t="s">
        <v>5</v>
      </c>
      <c r="AI1" s="349"/>
      <c r="AJ1" s="349"/>
      <c r="AK1" s="349"/>
      <c r="AL1" s="349"/>
      <c r="AM1" s="349"/>
      <c r="AN1" s="189" t="s">
        <v>902</v>
      </c>
      <c r="AO1" s="190"/>
      <c r="AP1" s="190"/>
      <c r="AQ1" s="190"/>
      <c r="AR1" s="191" t="s">
        <v>789</v>
      </c>
      <c r="AS1" s="191"/>
      <c r="AT1" s="217" t="s">
        <v>6</v>
      </c>
      <c r="AU1" s="217" t="s">
        <v>7</v>
      </c>
      <c r="AV1" s="60" t="s">
        <v>8</v>
      </c>
      <c r="AW1" s="127" t="s">
        <v>9</v>
      </c>
    </row>
    <row r="2" spans="1:49" ht="38" customHeight="1">
      <c r="A2" s="114" t="s">
        <v>10</v>
      </c>
      <c r="B2" s="218" t="s">
        <v>11</v>
      </c>
      <c r="C2" s="218" t="s">
        <v>12</v>
      </c>
      <c r="D2" s="114" t="s">
        <v>452</v>
      </c>
      <c r="E2" s="115" t="s">
        <v>13</v>
      </c>
      <c r="F2" s="219" t="s">
        <v>14</v>
      </c>
      <c r="G2" s="115" t="s">
        <v>15</v>
      </c>
      <c r="H2" s="282" t="s">
        <v>916</v>
      </c>
      <c r="I2" s="282" t="s">
        <v>917</v>
      </c>
      <c r="J2" s="208" t="s">
        <v>16</v>
      </c>
      <c r="K2" s="208" t="s">
        <v>17</v>
      </c>
      <c r="L2" s="208" t="s">
        <v>18</v>
      </c>
      <c r="M2" s="220" t="s">
        <v>19</v>
      </c>
      <c r="N2" s="208" t="s">
        <v>20</v>
      </c>
      <c r="O2" s="221" t="s">
        <v>21</v>
      </c>
      <c r="P2" s="221" t="s">
        <v>22</v>
      </c>
      <c r="Q2" s="221" t="s">
        <v>293</v>
      </c>
      <c r="R2" s="221" t="s">
        <v>24</v>
      </c>
      <c r="S2" s="221" t="s">
        <v>289</v>
      </c>
      <c r="T2" s="222" t="s">
        <v>26</v>
      </c>
      <c r="U2" s="223" t="s">
        <v>27</v>
      </c>
      <c r="V2" s="224" t="s">
        <v>28</v>
      </c>
      <c r="W2" s="225" t="s">
        <v>29</v>
      </c>
      <c r="X2" s="225" t="s">
        <v>30</v>
      </c>
      <c r="Y2" s="225" t="s">
        <v>31</v>
      </c>
      <c r="Z2" s="192" t="s">
        <v>32</v>
      </c>
      <c r="AA2" s="192" t="s">
        <v>445</v>
      </c>
      <c r="AB2" s="192" t="s">
        <v>33</v>
      </c>
      <c r="AC2" s="225" t="s">
        <v>34</v>
      </c>
      <c r="AD2" s="218" t="s">
        <v>35</v>
      </c>
      <c r="AE2" s="219" t="s">
        <v>36</v>
      </c>
      <c r="AF2" s="115" t="s">
        <v>453</v>
      </c>
      <c r="AG2" s="347"/>
      <c r="AH2" s="226" t="s">
        <v>783</v>
      </c>
      <c r="AI2" s="226" t="s">
        <v>784</v>
      </c>
      <c r="AJ2" s="226" t="s">
        <v>785</v>
      </c>
      <c r="AK2" s="227" t="s">
        <v>786</v>
      </c>
      <c r="AL2" s="227" t="s">
        <v>787</v>
      </c>
      <c r="AM2" s="227" t="s">
        <v>788</v>
      </c>
      <c r="AN2" s="192" t="s">
        <v>790</v>
      </c>
      <c r="AO2" s="192" t="s">
        <v>791</v>
      </c>
      <c r="AP2" s="192" t="s">
        <v>792</v>
      </c>
      <c r="AQ2" s="192" t="s">
        <v>793</v>
      </c>
      <c r="AR2" s="193" t="s">
        <v>794</v>
      </c>
      <c r="AS2" s="193" t="s">
        <v>795</v>
      </c>
      <c r="AT2" s="228" t="s">
        <v>44</v>
      </c>
      <c r="AU2" s="228" t="s">
        <v>45</v>
      </c>
    </row>
    <row r="3" spans="1:49" s="112" customFormat="1" ht="17" customHeight="1">
      <c r="A3" s="117" t="s">
        <v>46</v>
      </c>
      <c r="B3" s="117">
        <v>101</v>
      </c>
      <c r="C3" s="117" t="s">
        <v>47</v>
      </c>
      <c r="D3" s="88" t="s">
        <v>454</v>
      </c>
      <c r="E3" s="116" t="s">
        <v>48</v>
      </c>
      <c r="F3" s="117" t="s">
        <v>49</v>
      </c>
      <c r="G3" s="116" t="s">
        <v>50</v>
      </c>
      <c r="H3" s="283" t="s">
        <v>922</v>
      </c>
      <c r="I3" s="283" t="str">
        <f>IF(T3="BAU",".",LEFT(T3,2))</f>
        <v>cm</v>
      </c>
      <c r="J3" s="112">
        <v>1</v>
      </c>
      <c r="K3" s="112" t="s">
        <v>51</v>
      </c>
      <c r="L3" s="112">
        <v>2.71</v>
      </c>
      <c r="M3" s="229">
        <v>8.42</v>
      </c>
      <c r="N3" s="230">
        <v>1</v>
      </c>
      <c r="O3" s="230">
        <f>(1+3+13+3+2)/24</f>
        <v>0.91666666666666663</v>
      </c>
      <c r="P3" s="230" t="s">
        <v>52</v>
      </c>
      <c r="Q3" s="230" t="s">
        <v>52</v>
      </c>
      <c r="R3" s="230">
        <f>10/24</f>
        <v>0.41666666666666669</v>
      </c>
      <c r="S3" s="230" t="s">
        <v>52</v>
      </c>
      <c r="T3" s="112" t="s">
        <v>53</v>
      </c>
      <c r="U3" s="231" t="s">
        <v>54</v>
      </c>
      <c r="V3" s="112" t="s">
        <v>55</v>
      </c>
      <c r="W3" s="112" t="s">
        <v>56</v>
      </c>
      <c r="X3" s="112" t="s">
        <v>57</v>
      </c>
      <c r="Y3" s="112" t="s">
        <v>58</v>
      </c>
      <c r="Z3" s="112">
        <f>5*5*AB3</f>
        <v>3000</v>
      </c>
      <c r="AA3" s="232">
        <v>25</v>
      </c>
      <c r="AB3" s="112">
        <v>120</v>
      </c>
      <c r="AC3" s="112" t="s">
        <v>59</v>
      </c>
      <c r="AD3" s="112" t="s">
        <v>60</v>
      </c>
      <c r="AE3" s="112" t="s">
        <v>61</v>
      </c>
      <c r="AF3" s="60" t="s">
        <v>461</v>
      </c>
      <c r="AG3" s="146" t="s">
        <v>576</v>
      </c>
      <c r="AH3" s="112">
        <v>8.17</v>
      </c>
      <c r="AI3" s="112">
        <v>2.5099999999999998</v>
      </c>
      <c r="AJ3" s="112">
        <v>24</v>
      </c>
      <c r="AK3" s="112">
        <v>9.5399999999999991</v>
      </c>
      <c r="AL3" s="112">
        <v>2.93</v>
      </c>
      <c r="AM3" s="112">
        <v>24</v>
      </c>
      <c r="AN3" s="194" t="s">
        <v>52</v>
      </c>
      <c r="AO3" s="194" t="s">
        <v>52</v>
      </c>
      <c r="AP3" s="194" t="s">
        <v>52</v>
      </c>
      <c r="AQ3" s="194" t="s">
        <v>52</v>
      </c>
      <c r="AR3" s="194"/>
      <c r="AS3" s="194"/>
      <c r="AU3" s="112">
        <v>0</v>
      </c>
      <c r="AV3" s="134" t="s">
        <v>62</v>
      </c>
      <c r="AW3" s="134" t="s">
        <v>62</v>
      </c>
    </row>
    <row r="4" spans="1:49" s="113" customFormat="1" ht="17" customHeight="1">
      <c r="A4" s="233"/>
      <c r="B4" s="123"/>
      <c r="C4" s="123"/>
      <c r="D4" s="89"/>
      <c r="E4" s="122"/>
      <c r="F4" s="123"/>
      <c r="G4" s="122"/>
      <c r="H4" s="284" t="s">
        <v>919</v>
      </c>
      <c r="I4" s="284" t="str">
        <f t="shared" ref="I4:I67" si="0">IF(T4="BAU",".",LEFT(T4,2))</f>
        <v>cm</v>
      </c>
      <c r="J4" s="113">
        <v>0</v>
      </c>
      <c r="K4" s="113" t="s">
        <v>63</v>
      </c>
      <c r="L4" s="113">
        <v>1.83</v>
      </c>
      <c r="M4" s="234">
        <v>7.96</v>
      </c>
      <c r="N4" s="234">
        <v>1</v>
      </c>
      <c r="O4" s="234">
        <f>(1+5+8+4+2+2)/23</f>
        <v>0.95652173913043481</v>
      </c>
      <c r="P4" s="234" t="s">
        <v>52</v>
      </c>
      <c r="Q4" s="234" t="s">
        <v>52</v>
      </c>
      <c r="R4" s="234">
        <f>11/23</f>
        <v>0.47826086956521741</v>
      </c>
      <c r="S4" s="234" t="s">
        <v>52</v>
      </c>
      <c r="T4" s="113" t="s">
        <v>53</v>
      </c>
      <c r="U4" s="235" t="s">
        <v>54</v>
      </c>
      <c r="V4" s="113" t="s">
        <v>55</v>
      </c>
      <c r="W4" s="113" t="s">
        <v>56</v>
      </c>
      <c r="X4" s="113" t="s">
        <v>57</v>
      </c>
      <c r="Y4" s="113" t="s">
        <v>58</v>
      </c>
      <c r="Z4" s="113">
        <f>5*5*AB4</f>
        <v>3000</v>
      </c>
      <c r="AA4" s="236">
        <v>25</v>
      </c>
      <c r="AB4" s="113">
        <v>120</v>
      </c>
      <c r="AC4" s="113" t="s">
        <v>59</v>
      </c>
      <c r="AD4" s="113" t="s">
        <v>60</v>
      </c>
      <c r="AE4" s="113" t="s">
        <v>61</v>
      </c>
      <c r="AF4" s="60" t="s">
        <v>461</v>
      </c>
      <c r="AG4" s="147" t="s">
        <v>576</v>
      </c>
      <c r="AH4" s="113">
        <v>8</v>
      </c>
      <c r="AI4" s="113">
        <v>2.2400000000000002</v>
      </c>
      <c r="AJ4" s="113">
        <v>23</v>
      </c>
      <c r="AK4" s="113">
        <v>8.17</v>
      </c>
      <c r="AL4" s="113">
        <v>2.31</v>
      </c>
      <c r="AM4" s="113">
        <v>23</v>
      </c>
      <c r="AN4" s="195" t="s">
        <v>52</v>
      </c>
      <c r="AO4" s="195" t="s">
        <v>52</v>
      </c>
      <c r="AP4" s="195" t="s">
        <v>52</v>
      </c>
      <c r="AQ4" s="195" t="s">
        <v>52</v>
      </c>
      <c r="AR4" s="195"/>
      <c r="AS4" s="195"/>
      <c r="AU4" s="113">
        <v>0</v>
      </c>
      <c r="AV4" s="138" t="s">
        <v>64</v>
      </c>
      <c r="AW4" s="138" t="s">
        <v>64</v>
      </c>
    </row>
    <row r="5" spans="1:49" s="112" customFormat="1" ht="17" customHeight="1">
      <c r="A5" s="117" t="s">
        <v>65</v>
      </c>
      <c r="B5" s="117">
        <v>102</v>
      </c>
      <c r="C5" s="117" t="s">
        <v>47</v>
      </c>
      <c r="D5" s="88" t="s">
        <v>454</v>
      </c>
      <c r="E5" s="116" t="s">
        <v>66</v>
      </c>
      <c r="F5" s="117" t="s">
        <v>49</v>
      </c>
      <c r="G5" s="116" t="s">
        <v>50</v>
      </c>
      <c r="H5" s="283" t="s">
        <v>923</v>
      </c>
      <c r="I5" s="283" t="str">
        <f t="shared" si="0"/>
        <v xml:space="preserve">c </v>
      </c>
      <c r="J5" s="112">
        <v>1</v>
      </c>
      <c r="K5" s="112" t="s">
        <v>67</v>
      </c>
      <c r="L5" s="112" t="s">
        <v>68</v>
      </c>
      <c r="M5" s="230">
        <f>(9.5+10.5)/2</f>
        <v>10</v>
      </c>
      <c r="N5" s="230">
        <v>1</v>
      </c>
      <c r="O5" s="230" t="s">
        <v>52</v>
      </c>
      <c r="P5" s="230">
        <f>30/34</f>
        <v>0.88235294117647056</v>
      </c>
      <c r="Q5" s="230">
        <f>4/34</f>
        <v>0.11764705882352941</v>
      </c>
      <c r="R5" s="230">
        <f>18/34</f>
        <v>0.52941176470588236</v>
      </c>
      <c r="S5" s="230">
        <f>32/34</f>
        <v>0.94117647058823528</v>
      </c>
      <c r="T5" s="187" t="s">
        <v>69</v>
      </c>
      <c r="U5" s="231" t="s">
        <v>70</v>
      </c>
      <c r="V5" s="112" t="s">
        <v>71</v>
      </c>
      <c r="W5" s="112" t="s">
        <v>56</v>
      </c>
      <c r="X5" s="112" t="s">
        <v>57</v>
      </c>
      <c r="Y5" s="112" t="s">
        <v>72</v>
      </c>
      <c r="Z5" s="112">
        <f>40*AB5</f>
        <v>1600</v>
      </c>
      <c r="AA5" s="232">
        <v>40</v>
      </c>
      <c r="AB5" s="112">
        <v>40</v>
      </c>
      <c r="AC5" s="112" t="s">
        <v>59</v>
      </c>
      <c r="AD5" s="112" t="s">
        <v>73</v>
      </c>
      <c r="AE5" s="112" t="s">
        <v>61</v>
      </c>
      <c r="AF5" s="60" t="s">
        <v>461</v>
      </c>
      <c r="AG5" s="146" t="s">
        <v>577</v>
      </c>
      <c r="AH5" s="112">
        <v>88.91</v>
      </c>
      <c r="AI5" s="112">
        <v>8.9600000000000009</v>
      </c>
      <c r="AJ5" s="112">
        <v>34</v>
      </c>
      <c r="AK5" s="112">
        <v>88.91</v>
      </c>
      <c r="AL5" s="112">
        <v>8.91</v>
      </c>
      <c r="AM5" s="112">
        <v>34</v>
      </c>
      <c r="AN5" s="194" t="s">
        <v>52</v>
      </c>
      <c r="AO5" s="194" t="s">
        <v>52</v>
      </c>
      <c r="AP5" s="194" t="s">
        <v>52</v>
      </c>
      <c r="AQ5" s="194" t="s">
        <v>52</v>
      </c>
      <c r="AR5" s="194"/>
      <c r="AS5" s="194"/>
      <c r="AU5" s="112">
        <v>0</v>
      </c>
      <c r="AV5" s="134" t="s">
        <v>74</v>
      </c>
      <c r="AW5" s="134"/>
    </row>
    <row r="6" spans="1:49" s="112" customFormat="1" ht="17" customHeight="1">
      <c r="A6" s="237"/>
      <c r="B6" s="117"/>
      <c r="C6" s="117"/>
      <c r="D6" s="88"/>
      <c r="E6" s="116"/>
      <c r="F6" s="117"/>
      <c r="G6" s="117"/>
      <c r="H6" s="283"/>
      <c r="I6" s="283" t="str">
        <f t="shared" si="0"/>
        <v/>
      </c>
      <c r="M6" s="230"/>
      <c r="N6" s="230"/>
      <c r="O6" s="230"/>
      <c r="P6" s="230"/>
      <c r="Q6" s="230"/>
      <c r="R6" s="230"/>
      <c r="S6" s="230"/>
      <c r="U6" s="231"/>
      <c r="AA6" s="232"/>
      <c r="AD6" s="112" t="s">
        <v>75</v>
      </c>
      <c r="AE6" s="112" t="s">
        <v>61</v>
      </c>
      <c r="AF6" s="60" t="s">
        <v>461</v>
      </c>
      <c r="AG6" s="146" t="s">
        <v>578</v>
      </c>
      <c r="AH6" s="112">
        <v>88.86</v>
      </c>
      <c r="AI6" s="112">
        <v>12.3</v>
      </c>
      <c r="AJ6" s="112">
        <v>34</v>
      </c>
      <c r="AK6" s="112">
        <v>91.98</v>
      </c>
      <c r="AL6" s="112">
        <v>9.34</v>
      </c>
      <c r="AM6" s="112">
        <v>34</v>
      </c>
      <c r="AN6" s="194" t="s">
        <v>52</v>
      </c>
      <c r="AO6" s="194" t="s">
        <v>52</v>
      </c>
      <c r="AP6" s="194" t="s">
        <v>52</v>
      </c>
      <c r="AQ6" s="194" t="s">
        <v>52</v>
      </c>
      <c r="AR6" s="194"/>
      <c r="AS6" s="194"/>
      <c r="AU6" s="112">
        <v>0</v>
      </c>
      <c r="AV6" s="134"/>
      <c r="AW6" s="134"/>
    </row>
    <row r="7" spans="1:49" s="112" customFormat="1" ht="17" customHeight="1">
      <c r="A7" s="117"/>
      <c r="B7" s="117"/>
      <c r="C7" s="117"/>
      <c r="D7" s="88"/>
      <c r="E7" s="116"/>
      <c r="F7" s="117"/>
      <c r="G7" s="116"/>
      <c r="H7" s="283" t="s">
        <v>919</v>
      </c>
      <c r="I7" s="283" t="str">
        <f t="shared" si="0"/>
        <v xml:space="preserve">c </v>
      </c>
      <c r="J7" s="112">
        <v>2</v>
      </c>
      <c r="K7" s="112" t="s">
        <v>76</v>
      </c>
      <c r="L7" s="112" t="s">
        <v>77</v>
      </c>
      <c r="M7" s="230">
        <f>(22*9.5+16*10.5)/38</f>
        <v>9.9210526315789469</v>
      </c>
      <c r="N7" s="230">
        <v>1</v>
      </c>
      <c r="O7" s="230" t="s">
        <v>52</v>
      </c>
      <c r="P7" s="230">
        <f>34/38</f>
        <v>0.89473684210526316</v>
      </c>
      <c r="Q7" s="230">
        <f>12/38</f>
        <v>0.31578947368421051</v>
      </c>
      <c r="R7" s="230">
        <f>18/38</f>
        <v>0.47368421052631576</v>
      </c>
      <c r="S7" s="230">
        <f>37/38</f>
        <v>0.97368421052631582</v>
      </c>
      <c r="T7" s="187" t="s">
        <v>69</v>
      </c>
      <c r="U7" s="231" t="s">
        <v>70</v>
      </c>
      <c r="V7" s="112" t="s">
        <v>71</v>
      </c>
      <c r="W7" s="112" t="s">
        <v>56</v>
      </c>
      <c r="X7" s="112" t="s">
        <v>57</v>
      </c>
      <c r="Y7" s="112" t="s">
        <v>72</v>
      </c>
      <c r="Z7" s="112">
        <f>40*AB7</f>
        <v>1600</v>
      </c>
      <c r="AA7" s="232">
        <v>40</v>
      </c>
      <c r="AB7" s="112">
        <v>40</v>
      </c>
      <c r="AC7" s="112" t="s">
        <v>59</v>
      </c>
      <c r="AD7" s="112" t="s">
        <v>73</v>
      </c>
      <c r="AE7" s="112" t="s">
        <v>61</v>
      </c>
      <c r="AF7" s="60" t="s">
        <v>461</v>
      </c>
      <c r="AG7" s="146" t="s">
        <v>577</v>
      </c>
      <c r="AH7" s="112">
        <v>86.79</v>
      </c>
      <c r="AI7" s="112">
        <v>6.96</v>
      </c>
      <c r="AJ7" s="112">
        <v>38</v>
      </c>
      <c r="AK7" s="112">
        <v>91.16</v>
      </c>
      <c r="AL7" s="112">
        <v>7.53</v>
      </c>
      <c r="AM7" s="112">
        <v>38</v>
      </c>
      <c r="AN7" s="194" t="s">
        <v>52</v>
      </c>
      <c r="AO7" s="194" t="s">
        <v>52</v>
      </c>
      <c r="AP7" s="194" t="s">
        <v>52</v>
      </c>
      <c r="AQ7" s="194" t="s">
        <v>52</v>
      </c>
      <c r="AR7" s="194"/>
      <c r="AS7" s="194"/>
      <c r="AU7" s="112">
        <v>0</v>
      </c>
      <c r="AV7" s="134"/>
      <c r="AW7" s="134"/>
    </row>
    <row r="8" spans="1:49" s="112" customFormat="1" ht="17" customHeight="1">
      <c r="A8" s="117"/>
      <c r="B8" s="117"/>
      <c r="C8" s="117"/>
      <c r="D8" s="88"/>
      <c r="E8" s="116"/>
      <c r="F8" s="117"/>
      <c r="G8" s="117"/>
      <c r="H8" s="283"/>
      <c r="I8" s="283" t="str">
        <f t="shared" si="0"/>
        <v/>
      </c>
      <c r="M8" s="230"/>
      <c r="N8" s="230"/>
      <c r="O8" s="230"/>
      <c r="P8" s="230"/>
      <c r="Q8" s="230"/>
      <c r="R8" s="230"/>
      <c r="S8" s="230"/>
      <c r="U8" s="231"/>
      <c r="AA8" s="232"/>
      <c r="AD8" s="112" t="s">
        <v>75</v>
      </c>
      <c r="AE8" s="112" t="s">
        <v>61</v>
      </c>
      <c r="AF8" s="60" t="s">
        <v>461</v>
      </c>
      <c r="AG8" s="146" t="s">
        <v>578</v>
      </c>
      <c r="AH8" s="112">
        <v>89.3</v>
      </c>
      <c r="AI8" s="112">
        <v>10.49</v>
      </c>
      <c r="AJ8" s="112">
        <v>38</v>
      </c>
      <c r="AK8" s="112">
        <v>91.88</v>
      </c>
      <c r="AL8" s="112">
        <v>6.38</v>
      </c>
      <c r="AM8" s="112">
        <v>38</v>
      </c>
      <c r="AN8" s="194" t="s">
        <v>52</v>
      </c>
      <c r="AO8" s="194" t="s">
        <v>52</v>
      </c>
      <c r="AP8" s="194" t="s">
        <v>52</v>
      </c>
      <c r="AQ8" s="194" t="s">
        <v>52</v>
      </c>
      <c r="AR8" s="194"/>
      <c r="AS8" s="194"/>
      <c r="AU8" s="112">
        <v>0</v>
      </c>
      <c r="AV8" s="134"/>
      <c r="AW8" s="134"/>
    </row>
    <row r="9" spans="1:49" s="112" customFormat="1" ht="17" customHeight="1">
      <c r="A9" s="117"/>
      <c r="B9" s="117"/>
      <c r="C9" s="117"/>
      <c r="D9" s="88"/>
      <c r="E9" s="116"/>
      <c r="F9" s="117"/>
      <c r="G9" s="116"/>
      <c r="H9" s="283" t="s">
        <v>919</v>
      </c>
      <c r="I9" s="283" t="str">
        <f t="shared" si="0"/>
        <v>.</v>
      </c>
      <c r="J9" s="112">
        <v>0</v>
      </c>
      <c r="K9" s="112" t="s">
        <v>78</v>
      </c>
      <c r="L9" s="112" t="s">
        <v>77</v>
      </c>
      <c r="M9" s="230">
        <f>(20*9.5+17*10.5)/37</f>
        <v>9.9594594594594597</v>
      </c>
      <c r="N9" s="230">
        <v>1</v>
      </c>
      <c r="O9" s="230" t="s">
        <v>52</v>
      </c>
      <c r="P9" s="230">
        <f>34/37</f>
        <v>0.91891891891891897</v>
      </c>
      <c r="Q9" s="230">
        <f>13/37</f>
        <v>0.35135135135135137</v>
      </c>
      <c r="R9" s="230">
        <f>17/37</f>
        <v>0.45945945945945948</v>
      </c>
      <c r="S9" s="230">
        <f>36/37</f>
        <v>0.97297297297297303</v>
      </c>
      <c r="T9" s="112" t="s">
        <v>78</v>
      </c>
      <c r="U9" s="231" t="s">
        <v>79</v>
      </c>
      <c r="V9" s="112" t="s">
        <v>80</v>
      </c>
      <c r="W9" s="112" t="s">
        <v>78</v>
      </c>
      <c r="X9" s="112" t="s">
        <v>78</v>
      </c>
      <c r="Y9" s="112" t="s">
        <v>78</v>
      </c>
      <c r="Z9" s="112" t="s">
        <v>78</v>
      </c>
      <c r="AA9" s="232" t="s">
        <v>78</v>
      </c>
      <c r="AB9" s="112" t="s">
        <v>78</v>
      </c>
      <c r="AC9" s="112" t="s">
        <v>78</v>
      </c>
      <c r="AD9" s="112" t="s">
        <v>73</v>
      </c>
      <c r="AE9" s="112" t="s">
        <v>61</v>
      </c>
      <c r="AF9" s="60" t="s">
        <v>461</v>
      </c>
      <c r="AG9" s="146" t="s">
        <v>577</v>
      </c>
      <c r="AH9" s="112">
        <v>87.19</v>
      </c>
      <c r="AI9" s="112">
        <v>6.97</v>
      </c>
      <c r="AJ9" s="112">
        <v>37</v>
      </c>
      <c r="AK9" s="112">
        <v>89.06</v>
      </c>
      <c r="AL9" s="112">
        <v>6.59</v>
      </c>
      <c r="AM9" s="112">
        <v>36</v>
      </c>
      <c r="AN9" s="194" t="s">
        <v>52</v>
      </c>
      <c r="AO9" s="194" t="s">
        <v>52</v>
      </c>
      <c r="AP9" s="194" t="s">
        <v>52</v>
      </c>
      <c r="AQ9" s="194" t="s">
        <v>52</v>
      </c>
      <c r="AR9" s="194"/>
      <c r="AS9" s="194"/>
      <c r="AU9" s="112">
        <v>0</v>
      </c>
      <c r="AV9" s="134"/>
      <c r="AW9" s="134"/>
    </row>
    <row r="10" spans="1:49" s="113" customFormat="1" ht="17" customHeight="1">
      <c r="A10" s="117"/>
      <c r="B10" s="117"/>
      <c r="C10" s="123"/>
      <c r="D10" s="89"/>
      <c r="E10" s="122"/>
      <c r="F10" s="123"/>
      <c r="G10" s="123"/>
      <c r="H10" s="284"/>
      <c r="I10" s="284" t="str">
        <f t="shared" si="0"/>
        <v/>
      </c>
      <c r="M10" s="234"/>
      <c r="N10" s="234"/>
      <c r="O10" s="234"/>
      <c r="P10" s="234"/>
      <c r="Q10" s="234"/>
      <c r="R10" s="234"/>
      <c r="S10" s="234"/>
      <c r="U10" s="235"/>
      <c r="AA10" s="236"/>
      <c r="AD10" s="113" t="s">
        <v>75</v>
      </c>
      <c r="AE10" s="113" t="s">
        <v>61</v>
      </c>
      <c r="AF10" s="60" t="s">
        <v>461</v>
      </c>
      <c r="AG10" s="147" t="s">
        <v>578</v>
      </c>
      <c r="AH10" s="113">
        <v>91.31</v>
      </c>
      <c r="AI10" s="113">
        <v>9.9700000000000006</v>
      </c>
      <c r="AJ10" s="113">
        <v>36</v>
      </c>
      <c r="AK10" s="113">
        <v>90.8</v>
      </c>
      <c r="AL10" s="113">
        <v>7.82</v>
      </c>
      <c r="AM10" s="113">
        <v>36</v>
      </c>
      <c r="AN10" s="194" t="s">
        <v>52</v>
      </c>
      <c r="AO10" s="194" t="s">
        <v>52</v>
      </c>
      <c r="AP10" s="194" t="s">
        <v>52</v>
      </c>
      <c r="AQ10" s="194" t="s">
        <v>52</v>
      </c>
      <c r="AR10" s="194"/>
      <c r="AS10" s="194"/>
      <c r="AU10" s="113">
        <v>0</v>
      </c>
      <c r="AV10" s="138"/>
      <c r="AW10" s="138"/>
    </row>
    <row r="11" spans="1:49" s="112" customFormat="1" ht="17" customHeight="1">
      <c r="A11" s="338" t="s">
        <v>81</v>
      </c>
      <c r="B11" s="338">
        <v>103</v>
      </c>
      <c r="C11" s="117" t="s">
        <v>47</v>
      </c>
      <c r="D11" s="88" t="s">
        <v>454</v>
      </c>
      <c r="E11" s="116" t="s">
        <v>66</v>
      </c>
      <c r="F11" s="117" t="s">
        <v>49</v>
      </c>
      <c r="G11" s="116" t="s">
        <v>50</v>
      </c>
      <c r="H11" s="283" t="s">
        <v>919</v>
      </c>
      <c r="I11" s="283" t="str">
        <f t="shared" si="0"/>
        <v xml:space="preserve">c </v>
      </c>
      <c r="J11" s="112">
        <v>1</v>
      </c>
      <c r="K11" s="112" t="s">
        <v>82</v>
      </c>
      <c r="L11" s="112" t="s">
        <v>83</v>
      </c>
      <c r="M11" s="230">
        <f>(8.5*39+9.5*20)/59</f>
        <v>8.8389830508474585</v>
      </c>
      <c r="N11" s="230">
        <v>1</v>
      </c>
      <c r="O11" s="230" t="s">
        <v>52</v>
      </c>
      <c r="P11" s="238">
        <f>AVERAGE(0.865,0.51)</f>
        <v>0.6875</v>
      </c>
      <c r="Q11" s="230" t="s">
        <v>52</v>
      </c>
      <c r="R11" s="230">
        <f>29/59</f>
        <v>0.49152542372881358</v>
      </c>
      <c r="S11" s="230">
        <f>1-((0.025+0.15)/2)</f>
        <v>0.91249999999999998</v>
      </c>
      <c r="T11" s="112" t="s">
        <v>69</v>
      </c>
      <c r="U11" s="231" t="s">
        <v>84</v>
      </c>
      <c r="V11" s="112" t="s">
        <v>71</v>
      </c>
      <c r="W11" s="112" t="s">
        <v>56</v>
      </c>
      <c r="X11" s="112" t="s">
        <v>57</v>
      </c>
      <c r="Y11" s="112" t="s">
        <v>72</v>
      </c>
      <c r="Z11" s="239">
        <f>24*AB11</f>
        <v>840</v>
      </c>
      <c r="AA11" s="232">
        <v>24</v>
      </c>
      <c r="AB11" s="239">
        <v>35</v>
      </c>
      <c r="AC11" s="112" t="s">
        <v>59</v>
      </c>
      <c r="AD11" s="112" t="s">
        <v>85</v>
      </c>
      <c r="AE11" s="112" t="s">
        <v>61</v>
      </c>
      <c r="AF11" s="60" t="s">
        <v>461</v>
      </c>
      <c r="AG11" s="146" t="s">
        <v>579</v>
      </c>
      <c r="AH11" s="112">
        <v>98.33</v>
      </c>
      <c r="AI11" s="112">
        <v>10.6</v>
      </c>
      <c r="AJ11" s="112">
        <v>18</v>
      </c>
      <c r="AK11" s="112">
        <v>97.17</v>
      </c>
      <c r="AL11" s="112">
        <v>7.9</v>
      </c>
      <c r="AM11" s="112">
        <v>18</v>
      </c>
      <c r="AN11" s="196" t="s">
        <v>52</v>
      </c>
      <c r="AO11" s="196" t="s">
        <v>52</v>
      </c>
      <c r="AP11" s="196" t="s">
        <v>52</v>
      </c>
      <c r="AQ11" s="196" t="s">
        <v>52</v>
      </c>
      <c r="AR11" s="196"/>
      <c r="AS11" s="196"/>
      <c r="AU11" s="112">
        <v>0</v>
      </c>
      <c r="AV11" s="134" t="s">
        <v>74</v>
      </c>
      <c r="AW11" s="60" t="s">
        <v>86</v>
      </c>
    </row>
    <row r="12" spans="1:49" s="112" customFormat="1" ht="17" customHeight="1">
      <c r="A12" s="237"/>
      <c r="B12" s="117"/>
      <c r="C12" s="117"/>
      <c r="D12" s="88"/>
      <c r="E12" s="116"/>
      <c r="F12" s="117"/>
      <c r="G12" s="116"/>
      <c r="H12" s="283" t="s">
        <v>921</v>
      </c>
      <c r="I12" s="283" t="str">
        <f t="shared" si="0"/>
        <v xml:space="preserve">c </v>
      </c>
      <c r="J12" s="112">
        <v>2</v>
      </c>
      <c r="K12" s="112" t="s">
        <v>87</v>
      </c>
      <c r="L12" s="112" t="s">
        <v>83</v>
      </c>
      <c r="M12" s="230">
        <f>(8.5*39+9.5*20)/59</f>
        <v>8.8389830508474585</v>
      </c>
      <c r="N12" s="230">
        <v>1</v>
      </c>
      <c r="O12" s="230" t="s">
        <v>52</v>
      </c>
      <c r="P12" s="238">
        <f>AVERAGE(0.865,0.51)</f>
        <v>0.6875</v>
      </c>
      <c r="Q12" s="230" t="s">
        <v>52</v>
      </c>
      <c r="R12" s="230">
        <f>29/59</f>
        <v>0.49152542372881358</v>
      </c>
      <c r="S12" s="230">
        <f>1-((0.025+0.15)/2)</f>
        <v>0.91249999999999998</v>
      </c>
      <c r="T12" s="112" t="s">
        <v>69</v>
      </c>
      <c r="U12" s="231" t="s">
        <v>84</v>
      </c>
      <c r="V12" s="112" t="s">
        <v>71</v>
      </c>
      <c r="W12" s="112" t="s">
        <v>56</v>
      </c>
      <c r="X12" s="112" t="s">
        <v>57</v>
      </c>
      <c r="Y12" s="112" t="s">
        <v>72</v>
      </c>
      <c r="Z12" s="112">
        <f>24*AB12</f>
        <v>960</v>
      </c>
      <c r="AA12" s="232">
        <v>24</v>
      </c>
      <c r="AB12" s="112">
        <v>40</v>
      </c>
      <c r="AC12" s="112" t="s">
        <v>59</v>
      </c>
      <c r="AD12" s="112" t="s">
        <v>85</v>
      </c>
      <c r="AE12" s="112" t="s">
        <v>61</v>
      </c>
      <c r="AF12" s="60" t="s">
        <v>461</v>
      </c>
      <c r="AG12" s="146" t="s">
        <v>579</v>
      </c>
      <c r="AH12" s="112">
        <v>94.89</v>
      </c>
      <c r="AI12" s="112">
        <v>9.64</v>
      </c>
      <c r="AJ12" s="112">
        <v>19</v>
      </c>
      <c r="AK12" s="112">
        <v>100.47</v>
      </c>
      <c r="AL12" s="112">
        <v>9.9700000000000006</v>
      </c>
      <c r="AM12" s="112">
        <v>19</v>
      </c>
      <c r="AN12" s="194" t="s">
        <v>52</v>
      </c>
      <c r="AO12" s="194" t="s">
        <v>52</v>
      </c>
      <c r="AP12" s="194" t="s">
        <v>52</v>
      </c>
      <c r="AQ12" s="194" t="s">
        <v>52</v>
      </c>
      <c r="AR12" s="194"/>
      <c r="AS12" s="194"/>
      <c r="AU12" s="112">
        <v>0</v>
      </c>
      <c r="AV12" s="134"/>
      <c r="AW12" s="60"/>
    </row>
    <row r="13" spans="1:49" s="113" customFormat="1" ht="17" customHeight="1">
      <c r="A13" s="123"/>
      <c r="B13" s="123"/>
      <c r="C13" s="123"/>
      <c r="D13" s="89"/>
      <c r="E13" s="122"/>
      <c r="F13" s="123"/>
      <c r="G13" s="122"/>
      <c r="H13" s="284" t="s">
        <v>919</v>
      </c>
      <c r="I13" s="284" t="str">
        <f t="shared" si="0"/>
        <v>.</v>
      </c>
      <c r="J13" s="113">
        <v>0</v>
      </c>
      <c r="K13" s="113" t="s">
        <v>78</v>
      </c>
      <c r="L13" s="113" t="s">
        <v>83</v>
      </c>
      <c r="M13" s="234">
        <f>(8.5*39+9.5*20)/59</f>
        <v>8.8389830508474585</v>
      </c>
      <c r="N13" s="234">
        <v>1</v>
      </c>
      <c r="O13" s="234" t="s">
        <v>52</v>
      </c>
      <c r="P13" s="240">
        <f>AVERAGE(0.865,0.51)</f>
        <v>0.6875</v>
      </c>
      <c r="Q13" s="234" t="s">
        <v>52</v>
      </c>
      <c r="R13" s="234">
        <f>29/59</f>
        <v>0.49152542372881358</v>
      </c>
      <c r="S13" s="234">
        <f>1-((0.025+0.15)/2)</f>
        <v>0.91249999999999998</v>
      </c>
      <c r="T13" s="113" t="s">
        <v>78</v>
      </c>
      <c r="U13" s="235" t="s">
        <v>88</v>
      </c>
      <c r="V13" s="241" t="s">
        <v>80</v>
      </c>
      <c r="W13" s="113" t="s">
        <v>78</v>
      </c>
      <c r="X13" s="113" t="s">
        <v>78</v>
      </c>
      <c r="Y13" s="113" t="s">
        <v>78</v>
      </c>
      <c r="Z13" s="113" t="s">
        <v>78</v>
      </c>
      <c r="AA13" s="236" t="s">
        <v>78</v>
      </c>
      <c r="AB13" s="113" t="s">
        <v>78</v>
      </c>
      <c r="AC13" s="113" t="s">
        <v>78</v>
      </c>
      <c r="AD13" s="113" t="s">
        <v>85</v>
      </c>
      <c r="AE13" s="113" t="s">
        <v>61</v>
      </c>
      <c r="AF13" s="60" t="s">
        <v>461</v>
      </c>
      <c r="AG13" s="147" t="s">
        <v>579</v>
      </c>
      <c r="AH13" s="113">
        <v>90.36</v>
      </c>
      <c r="AI13" s="113">
        <v>10.61</v>
      </c>
      <c r="AJ13" s="113">
        <v>22</v>
      </c>
      <c r="AK13" s="113">
        <v>94.91</v>
      </c>
      <c r="AL13" s="113">
        <v>14.33</v>
      </c>
      <c r="AM13" s="113">
        <v>21</v>
      </c>
      <c r="AN13" s="195" t="s">
        <v>52</v>
      </c>
      <c r="AO13" s="195" t="s">
        <v>52</v>
      </c>
      <c r="AP13" s="195" t="s">
        <v>52</v>
      </c>
      <c r="AQ13" s="195" t="s">
        <v>52</v>
      </c>
      <c r="AR13" s="195"/>
      <c r="AS13" s="195"/>
      <c r="AU13" s="113">
        <v>0</v>
      </c>
      <c r="AV13" s="138"/>
      <c r="AW13" s="63"/>
    </row>
    <row r="14" spans="1:49" s="112" customFormat="1" ht="17" customHeight="1">
      <c r="A14" s="117" t="s">
        <v>89</v>
      </c>
      <c r="B14" s="117">
        <v>104</v>
      </c>
      <c r="C14" s="117" t="s">
        <v>47</v>
      </c>
      <c r="D14" s="88" t="s">
        <v>454</v>
      </c>
      <c r="E14" s="116" t="s">
        <v>66</v>
      </c>
      <c r="F14" s="117" t="s">
        <v>49</v>
      </c>
      <c r="G14" s="116" t="s">
        <v>50</v>
      </c>
      <c r="H14" s="283" t="s">
        <v>921</v>
      </c>
      <c r="I14" s="283" t="str">
        <f t="shared" si="0"/>
        <v xml:space="preserve">m </v>
      </c>
      <c r="J14" s="112">
        <v>1</v>
      </c>
      <c r="K14" s="112" t="s">
        <v>90</v>
      </c>
      <c r="L14" s="112" t="s">
        <v>91</v>
      </c>
      <c r="M14" s="230">
        <f>176.85/12</f>
        <v>14.737499999999999</v>
      </c>
      <c r="N14" s="230">
        <f>1</f>
        <v>1</v>
      </c>
      <c r="O14" s="230">
        <v>1</v>
      </c>
      <c r="P14" s="230" t="s">
        <v>52</v>
      </c>
      <c r="Q14" s="230">
        <f>1-14/20</f>
        <v>0.30000000000000004</v>
      </c>
      <c r="R14" s="230">
        <f>15/20</f>
        <v>0.75</v>
      </c>
      <c r="S14" s="230">
        <f>1-5/20</f>
        <v>0.75</v>
      </c>
      <c r="T14" s="112" t="s">
        <v>92</v>
      </c>
      <c r="U14" s="231" t="s">
        <v>93</v>
      </c>
      <c r="V14" s="112" t="s">
        <v>71</v>
      </c>
      <c r="W14" s="112" t="s">
        <v>56</v>
      </c>
      <c r="X14" s="187" t="s">
        <v>57</v>
      </c>
      <c r="Y14" s="239" t="s">
        <v>72</v>
      </c>
      <c r="Z14" s="112">
        <v>360</v>
      </c>
      <c r="AA14" s="232">
        <v>12</v>
      </c>
      <c r="AB14" s="112">
        <v>30</v>
      </c>
      <c r="AC14" s="112" t="s">
        <v>59</v>
      </c>
      <c r="AD14" s="112" t="s">
        <v>94</v>
      </c>
      <c r="AE14" s="112" t="s">
        <v>95</v>
      </c>
      <c r="AF14" s="60" t="s">
        <v>461</v>
      </c>
      <c r="AG14" s="146" t="s">
        <v>52</v>
      </c>
      <c r="AH14" s="112">
        <v>3.8</v>
      </c>
      <c r="AI14" s="112">
        <v>1.28</v>
      </c>
      <c r="AJ14" s="112">
        <v>20</v>
      </c>
      <c r="AK14" s="112">
        <v>7.5</v>
      </c>
      <c r="AL14" s="112">
        <v>2.1800000000000002</v>
      </c>
      <c r="AM14" s="112">
        <v>20</v>
      </c>
      <c r="AN14" s="127">
        <v>6.61</v>
      </c>
      <c r="AO14" s="127">
        <v>2.91</v>
      </c>
      <c r="AP14" s="127">
        <v>20</v>
      </c>
      <c r="AQ14" s="202">
        <v>1.5</v>
      </c>
      <c r="AR14" s="194"/>
      <c r="AS14" s="194"/>
      <c r="AU14" s="112">
        <v>1</v>
      </c>
      <c r="AV14" s="134" t="s">
        <v>96</v>
      </c>
      <c r="AW14" s="60" t="s">
        <v>97</v>
      </c>
    </row>
    <row r="15" spans="1:49" s="112" customFormat="1" ht="17" customHeight="1">
      <c r="A15" s="237"/>
      <c r="B15" s="117"/>
      <c r="C15" s="117"/>
      <c r="D15" s="88"/>
      <c r="E15" s="116"/>
      <c r="F15" s="117"/>
      <c r="G15" s="117"/>
      <c r="H15" s="283"/>
      <c r="I15" s="283" t="str">
        <f t="shared" si="0"/>
        <v/>
      </c>
      <c r="M15" s="230"/>
      <c r="N15" s="230"/>
      <c r="O15" s="230"/>
      <c r="P15" s="230"/>
      <c r="Q15" s="230"/>
      <c r="R15" s="230"/>
      <c r="S15" s="230"/>
      <c r="U15" s="231"/>
      <c r="AA15" s="232"/>
      <c r="AD15" s="112" t="s">
        <v>98</v>
      </c>
      <c r="AE15" s="112" t="s">
        <v>95</v>
      </c>
      <c r="AF15" s="60" t="s">
        <v>461</v>
      </c>
      <c r="AG15" s="146" t="s">
        <v>52</v>
      </c>
      <c r="AH15" s="112">
        <v>6.55</v>
      </c>
      <c r="AI15" s="112">
        <v>2.2799999999999998</v>
      </c>
      <c r="AJ15" s="112">
        <v>20</v>
      </c>
      <c r="AK15" s="112">
        <v>8.9499999999999993</v>
      </c>
      <c r="AL15" s="112">
        <v>3.49</v>
      </c>
      <c r="AM15" s="112">
        <v>20</v>
      </c>
      <c r="AN15" s="127">
        <v>9.5299999999999994</v>
      </c>
      <c r="AO15" s="127">
        <v>4.01</v>
      </c>
      <c r="AP15" s="127">
        <v>20</v>
      </c>
      <c r="AQ15" s="127">
        <v>1.5</v>
      </c>
      <c r="AR15" s="194"/>
      <c r="AS15" s="194"/>
      <c r="AU15" s="112">
        <v>1</v>
      </c>
      <c r="AV15" s="134"/>
      <c r="AW15" s="60"/>
    </row>
    <row r="16" spans="1:49" s="112" customFormat="1" ht="17" customHeight="1">
      <c r="A16" s="237"/>
      <c r="B16" s="117"/>
      <c r="C16" s="117"/>
      <c r="D16" s="88"/>
      <c r="E16" s="116"/>
      <c r="F16" s="117"/>
      <c r="G16" s="116"/>
      <c r="H16" s="283" t="s">
        <v>922</v>
      </c>
      <c r="I16" s="283" t="str">
        <f t="shared" si="0"/>
        <v xml:space="preserve">m </v>
      </c>
      <c r="J16" s="112">
        <v>2</v>
      </c>
      <c r="K16" s="112" t="s">
        <v>99</v>
      </c>
      <c r="L16" s="112" t="s">
        <v>91</v>
      </c>
      <c r="M16" s="230">
        <f>176.85/12</f>
        <v>14.737499999999999</v>
      </c>
      <c r="N16" s="230">
        <v>1</v>
      </c>
      <c r="O16" s="230">
        <v>1</v>
      </c>
      <c r="P16" s="230" t="s">
        <v>52</v>
      </c>
      <c r="Q16" s="230">
        <f>1-11/19</f>
        <v>0.42105263157894735</v>
      </c>
      <c r="R16" s="230">
        <v>0.57894736842105265</v>
      </c>
      <c r="S16" s="230">
        <f>1-1/19</f>
        <v>0.94736842105263164</v>
      </c>
      <c r="T16" s="112" t="s">
        <v>92</v>
      </c>
      <c r="U16" s="231" t="s">
        <v>93</v>
      </c>
      <c r="V16" s="112" t="s">
        <v>71</v>
      </c>
      <c r="W16" s="112" t="s">
        <v>56</v>
      </c>
      <c r="X16" s="187" t="s">
        <v>57</v>
      </c>
      <c r="Y16" s="112" t="s">
        <v>58</v>
      </c>
      <c r="Z16" s="112">
        <v>360</v>
      </c>
      <c r="AA16" s="232">
        <v>12</v>
      </c>
      <c r="AB16" s="112">
        <v>30</v>
      </c>
      <c r="AC16" s="112" t="s">
        <v>59</v>
      </c>
      <c r="AD16" s="112" t="s">
        <v>94</v>
      </c>
      <c r="AE16" s="112" t="s">
        <v>95</v>
      </c>
      <c r="AF16" s="60" t="s">
        <v>461</v>
      </c>
      <c r="AG16" s="146" t="s">
        <v>52</v>
      </c>
      <c r="AH16" s="112">
        <v>3.61</v>
      </c>
      <c r="AI16" s="112">
        <v>1.72</v>
      </c>
      <c r="AJ16" s="112">
        <v>19</v>
      </c>
      <c r="AK16" s="112">
        <v>6.4</v>
      </c>
      <c r="AL16" s="112">
        <v>1.81</v>
      </c>
      <c r="AM16" s="112">
        <v>19</v>
      </c>
      <c r="AN16" s="127">
        <v>5.47</v>
      </c>
      <c r="AO16" s="127">
        <v>2.72</v>
      </c>
      <c r="AP16" s="127">
        <v>19</v>
      </c>
      <c r="AQ16" s="127">
        <v>1.5</v>
      </c>
      <c r="AR16" s="194"/>
      <c r="AS16" s="194"/>
      <c r="AU16" s="112">
        <v>1</v>
      </c>
      <c r="AV16" s="134"/>
      <c r="AW16" s="60"/>
    </row>
    <row r="17" spans="1:49" s="112" customFormat="1" ht="17" customHeight="1">
      <c r="A17" s="237"/>
      <c r="B17" s="117"/>
      <c r="C17" s="117"/>
      <c r="D17" s="88"/>
      <c r="E17" s="116"/>
      <c r="F17" s="117"/>
      <c r="G17" s="117"/>
      <c r="H17" s="283"/>
      <c r="I17" s="283" t="str">
        <f t="shared" si="0"/>
        <v/>
      </c>
      <c r="M17" s="230"/>
      <c r="N17" s="230"/>
      <c r="O17" s="230"/>
      <c r="P17" s="230"/>
      <c r="Q17" s="230"/>
      <c r="R17" s="230"/>
      <c r="S17" s="230"/>
      <c r="U17" s="231"/>
      <c r="AA17" s="232"/>
      <c r="AD17" s="112" t="s">
        <v>98</v>
      </c>
      <c r="AE17" s="112" t="s">
        <v>95</v>
      </c>
      <c r="AF17" s="60" t="s">
        <v>461</v>
      </c>
      <c r="AG17" s="146" t="s">
        <v>52</v>
      </c>
      <c r="AH17" s="112">
        <v>5.89</v>
      </c>
      <c r="AI17" s="112">
        <v>2.16</v>
      </c>
      <c r="AJ17" s="112">
        <v>19</v>
      </c>
      <c r="AK17" s="112">
        <v>7.84</v>
      </c>
      <c r="AL17" s="112">
        <v>3.83</v>
      </c>
      <c r="AM17" s="112">
        <v>19</v>
      </c>
      <c r="AN17" s="127">
        <v>8.6300000000000008</v>
      </c>
      <c r="AO17" s="127">
        <v>4.87</v>
      </c>
      <c r="AP17" s="127">
        <v>19</v>
      </c>
      <c r="AQ17" s="127">
        <v>1.5</v>
      </c>
      <c r="AR17" s="194"/>
      <c r="AS17" s="194"/>
      <c r="AU17" s="112">
        <v>1</v>
      </c>
      <c r="AV17" s="134"/>
      <c r="AW17" s="60"/>
    </row>
    <row r="18" spans="1:49" s="112" customFormat="1" ht="17" customHeight="1">
      <c r="A18" s="237"/>
      <c r="B18" s="117"/>
      <c r="C18" s="117"/>
      <c r="D18" s="88"/>
      <c r="E18" s="116"/>
      <c r="F18" s="117"/>
      <c r="G18" s="116"/>
      <c r="H18" s="283" t="s">
        <v>919</v>
      </c>
      <c r="I18" s="283" t="str">
        <f t="shared" si="0"/>
        <v>cm</v>
      </c>
      <c r="J18" s="112">
        <v>0</v>
      </c>
      <c r="K18" s="112" t="s">
        <v>100</v>
      </c>
      <c r="L18" s="112" t="s">
        <v>91</v>
      </c>
      <c r="M18" s="230">
        <f>176.85/12</f>
        <v>14.737499999999999</v>
      </c>
      <c r="N18" s="230">
        <v>1</v>
      </c>
      <c r="O18" s="230">
        <v>1</v>
      </c>
      <c r="P18" s="230" t="s">
        <v>52</v>
      </c>
      <c r="Q18" s="230">
        <f>1-11/20</f>
        <v>0.44999999999999996</v>
      </c>
      <c r="R18" s="230">
        <f>14/20</f>
        <v>0.7</v>
      </c>
      <c r="S18" s="230">
        <f>1-1/20</f>
        <v>0.95</v>
      </c>
      <c r="T18" s="187" t="s">
        <v>53</v>
      </c>
      <c r="U18" s="242" t="s">
        <v>101</v>
      </c>
      <c r="V18" s="187" t="s">
        <v>55</v>
      </c>
      <c r="W18" s="187" t="s">
        <v>56</v>
      </c>
      <c r="X18" s="187" t="s">
        <v>57</v>
      </c>
      <c r="Y18" s="112" t="s">
        <v>58</v>
      </c>
      <c r="Z18" s="112">
        <v>360</v>
      </c>
      <c r="AA18" s="232">
        <v>12</v>
      </c>
      <c r="AB18" s="112">
        <v>30</v>
      </c>
      <c r="AC18" s="112" t="s">
        <v>59</v>
      </c>
      <c r="AD18" s="112" t="s">
        <v>94</v>
      </c>
      <c r="AE18" s="112" t="s">
        <v>95</v>
      </c>
      <c r="AF18" s="60" t="s">
        <v>461</v>
      </c>
      <c r="AG18" s="146" t="s">
        <v>52</v>
      </c>
      <c r="AH18" s="112">
        <v>3.95</v>
      </c>
      <c r="AI18" s="112">
        <v>1.46</v>
      </c>
      <c r="AJ18" s="112">
        <v>20</v>
      </c>
      <c r="AK18" s="112">
        <v>4.83</v>
      </c>
      <c r="AL18" s="112">
        <v>1.52</v>
      </c>
      <c r="AM18" s="112">
        <v>20</v>
      </c>
      <c r="AN18" s="127">
        <v>4</v>
      </c>
      <c r="AO18" s="127">
        <v>1.4</v>
      </c>
      <c r="AP18" s="127">
        <v>20</v>
      </c>
      <c r="AQ18" s="127">
        <v>1.5</v>
      </c>
      <c r="AR18" s="194"/>
      <c r="AS18" s="194"/>
      <c r="AU18" s="112">
        <v>1</v>
      </c>
      <c r="AV18" s="134" t="s">
        <v>102</v>
      </c>
      <c r="AW18" s="60"/>
    </row>
    <row r="19" spans="1:49" s="113" customFormat="1" ht="17" customHeight="1">
      <c r="A19" s="237"/>
      <c r="B19" s="117"/>
      <c r="C19" s="123"/>
      <c r="D19" s="88"/>
      <c r="E19" s="122"/>
      <c r="F19" s="123"/>
      <c r="G19" s="123"/>
      <c r="H19" s="284"/>
      <c r="I19" s="284" t="str">
        <f t="shared" si="0"/>
        <v/>
      </c>
      <c r="M19" s="234"/>
      <c r="N19" s="234"/>
      <c r="O19" s="234"/>
      <c r="P19" s="234"/>
      <c r="Q19" s="234"/>
      <c r="R19" s="234"/>
      <c r="S19" s="234"/>
      <c r="U19" s="235"/>
      <c r="AA19" s="236"/>
      <c r="AD19" s="113" t="s">
        <v>98</v>
      </c>
      <c r="AE19" s="113" t="s">
        <v>95</v>
      </c>
      <c r="AF19" s="60" t="s">
        <v>461</v>
      </c>
      <c r="AG19" s="147" t="s">
        <v>52</v>
      </c>
      <c r="AH19" s="113">
        <v>5.8</v>
      </c>
      <c r="AI19" s="113">
        <v>2.34</v>
      </c>
      <c r="AJ19" s="113">
        <v>20</v>
      </c>
      <c r="AK19" s="113">
        <v>8.4499999999999993</v>
      </c>
      <c r="AL19" s="113">
        <v>3.83</v>
      </c>
      <c r="AM19" s="113">
        <v>20</v>
      </c>
      <c r="AN19" s="127">
        <v>8.4</v>
      </c>
      <c r="AO19" s="127">
        <v>4.6900000000000004</v>
      </c>
      <c r="AP19" s="127">
        <v>20</v>
      </c>
      <c r="AQ19" s="128">
        <v>1.5</v>
      </c>
      <c r="AR19" s="194"/>
      <c r="AS19" s="194"/>
      <c r="AU19" s="113">
        <v>1</v>
      </c>
      <c r="AV19" s="138"/>
      <c r="AW19" s="63"/>
    </row>
    <row r="20" spans="1:49" s="112" customFormat="1" ht="17" customHeight="1">
      <c r="A20" s="338" t="s">
        <v>103</v>
      </c>
      <c r="B20" s="338">
        <v>105</v>
      </c>
      <c r="C20" s="117" t="s">
        <v>47</v>
      </c>
      <c r="D20" s="144" t="s">
        <v>454</v>
      </c>
      <c r="E20" s="116" t="s">
        <v>66</v>
      </c>
      <c r="F20" s="117" t="s">
        <v>49</v>
      </c>
      <c r="G20" s="116" t="s">
        <v>50</v>
      </c>
      <c r="H20" s="283" t="s">
        <v>928</v>
      </c>
      <c r="I20" s="283" t="str">
        <f t="shared" si="0"/>
        <v xml:space="preserve">m </v>
      </c>
      <c r="J20" s="112">
        <v>1</v>
      </c>
      <c r="K20" s="112" t="s">
        <v>104</v>
      </c>
      <c r="L20" s="112" t="s">
        <v>68</v>
      </c>
      <c r="M20" s="230">
        <v>11.2</v>
      </c>
      <c r="N20" s="230">
        <v>1</v>
      </c>
      <c r="O20" s="230" t="s">
        <v>52</v>
      </c>
      <c r="P20" s="230">
        <v>0.85</v>
      </c>
      <c r="Q20" s="243">
        <f>21/33</f>
        <v>0.63636363636363635</v>
      </c>
      <c r="R20" s="230">
        <f>15/33</f>
        <v>0.45454545454545453</v>
      </c>
      <c r="S20" s="230">
        <f>1-0.12</f>
        <v>0.88</v>
      </c>
      <c r="T20" s="112" t="s">
        <v>92</v>
      </c>
      <c r="U20" s="231" t="s">
        <v>105</v>
      </c>
      <c r="V20" s="112" t="s">
        <v>71</v>
      </c>
      <c r="W20" s="112" t="s">
        <v>56</v>
      </c>
      <c r="X20" s="112" t="s">
        <v>57</v>
      </c>
      <c r="Y20" s="239" t="s">
        <v>72</v>
      </c>
      <c r="Z20" s="112">
        <f t="shared" ref="Z20:Z25" si="1">15*AB20</f>
        <v>525</v>
      </c>
      <c r="AA20" s="232">
        <v>15</v>
      </c>
      <c r="AB20" s="112">
        <v>35</v>
      </c>
      <c r="AC20" s="187" t="s">
        <v>59</v>
      </c>
      <c r="AD20" s="112" t="s">
        <v>106</v>
      </c>
      <c r="AE20" s="244" t="s">
        <v>95</v>
      </c>
      <c r="AF20" s="60" t="s">
        <v>461</v>
      </c>
      <c r="AG20" s="146" t="s">
        <v>545</v>
      </c>
      <c r="AH20" s="112">
        <v>7.8</v>
      </c>
      <c r="AI20" s="112">
        <v>2.5</v>
      </c>
      <c r="AJ20" s="112">
        <v>11</v>
      </c>
      <c r="AK20" s="112">
        <v>12.5</v>
      </c>
      <c r="AL20" s="112">
        <v>3.7</v>
      </c>
      <c r="AM20" s="112">
        <v>11</v>
      </c>
      <c r="AN20" s="196" t="s">
        <v>52</v>
      </c>
      <c r="AO20" s="196" t="s">
        <v>52</v>
      </c>
      <c r="AP20" s="196" t="s">
        <v>52</v>
      </c>
      <c r="AQ20" s="196" t="s">
        <v>52</v>
      </c>
      <c r="AR20" s="196"/>
      <c r="AS20" s="196"/>
      <c r="AU20" s="112">
        <v>0</v>
      </c>
      <c r="AV20" s="134" t="s">
        <v>107</v>
      </c>
      <c r="AW20" s="60" t="s">
        <v>108</v>
      </c>
    </row>
    <row r="21" spans="1:49" s="112" customFormat="1" ht="17" customHeight="1">
      <c r="A21" s="237"/>
      <c r="B21" s="117"/>
      <c r="C21" s="117"/>
      <c r="D21" s="88"/>
      <c r="E21" s="116"/>
      <c r="F21" s="117"/>
      <c r="G21" s="116"/>
      <c r="H21" s="283" t="s">
        <v>928</v>
      </c>
      <c r="I21" s="283" t="str">
        <f t="shared" si="0"/>
        <v xml:space="preserve">m </v>
      </c>
      <c r="J21" s="112">
        <v>2</v>
      </c>
      <c r="K21" s="112" t="s">
        <v>109</v>
      </c>
      <c r="L21" s="112" t="s">
        <v>68</v>
      </c>
      <c r="M21" s="230">
        <v>11.2</v>
      </c>
      <c r="N21" s="230">
        <v>1</v>
      </c>
      <c r="O21" s="230" t="s">
        <v>52</v>
      </c>
      <c r="P21" s="230">
        <v>0.85</v>
      </c>
      <c r="Q21" s="245">
        <f>21/33</f>
        <v>0.63636363636363635</v>
      </c>
      <c r="R21" s="230">
        <f>15/33</f>
        <v>0.45454545454545453</v>
      </c>
      <c r="S21" s="230">
        <f>1-0.12</f>
        <v>0.88</v>
      </c>
      <c r="T21" s="112" t="s">
        <v>92</v>
      </c>
      <c r="U21" s="231" t="s">
        <v>105</v>
      </c>
      <c r="V21" s="112" t="s">
        <v>71</v>
      </c>
      <c r="W21" s="112" t="s">
        <v>56</v>
      </c>
      <c r="X21" s="112" t="s">
        <v>57</v>
      </c>
      <c r="Y21" s="239" t="s">
        <v>72</v>
      </c>
      <c r="Z21" s="112">
        <f t="shared" si="1"/>
        <v>525</v>
      </c>
      <c r="AA21" s="232">
        <v>15</v>
      </c>
      <c r="AB21" s="112">
        <v>35</v>
      </c>
      <c r="AC21" s="187" t="s">
        <v>59</v>
      </c>
      <c r="AD21" s="112" t="s">
        <v>106</v>
      </c>
      <c r="AE21" s="187" t="s">
        <v>95</v>
      </c>
      <c r="AF21" s="60" t="s">
        <v>461</v>
      </c>
      <c r="AG21" s="146" t="s">
        <v>545</v>
      </c>
      <c r="AH21" s="112">
        <v>7.8</v>
      </c>
      <c r="AI21" s="112">
        <v>1.9</v>
      </c>
      <c r="AJ21" s="112">
        <v>11</v>
      </c>
      <c r="AK21" s="112">
        <v>11.5</v>
      </c>
      <c r="AL21" s="112">
        <v>3.4</v>
      </c>
      <c r="AM21" s="112">
        <v>11</v>
      </c>
      <c r="AN21" s="194" t="s">
        <v>52</v>
      </c>
      <c r="AO21" s="194" t="s">
        <v>52</v>
      </c>
      <c r="AP21" s="194" t="s">
        <v>52</v>
      </c>
      <c r="AQ21" s="194" t="s">
        <v>52</v>
      </c>
      <c r="AR21" s="194"/>
      <c r="AS21" s="194"/>
      <c r="AU21" s="112">
        <v>0</v>
      </c>
      <c r="AV21" s="134"/>
      <c r="AW21" s="60"/>
    </row>
    <row r="22" spans="1:49" s="113" customFormat="1" ht="17" customHeight="1">
      <c r="A22" s="123"/>
      <c r="B22" s="123"/>
      <c r="C22" s="123"/>
      <c r="D22" s="89"/>
      <c r="E22" s="122"/>
      <c r="F22" s="123"/>
      <c r="G22" s="122"/>
      <c r="H22" s="284" t="s">
        <v>919</v>
      </c>
      <c r="I22" s="284" t="str">
        <f t="shared" si="0"/>
        <v xml:space="preserve">m </v>
      </c>
      <c r="J22" s="113">
        <v>0</v>
      </c>
      <c r="K22" s="113" t="s">
        <v>110</v>
      </c>
      <c r="L22" s="113" t="s">
        <v>68</v>
      </c>
      <c r="M22" s="234">
        <v>11.2</v>
      </c>
      <c r="N22" s="234">
        <v>1</v>
      </c>
      <c r="O22" s="234" t="s">
        <v>52</v>
      </c>
      <c r="P22" s="234">
        <v>0.85</v>
      </c>
      <c r="Q22" s="246">
        <f>21/33</f>
        <v>0.63636363636363635</v>
      </c>
      <c r="R22" s="234">
        <f>15/33</f>
        <v>0.45454545454545453</v>
      </c>
      <c r="S22" s="234">
        <f>1-0.12</f>
        <v>0.88</v>
      </c>
      <c r="T22" s="113" t="s">
        <v>92</v>
      </c>
      <c r="U22" s="235" t="s">
        <v>105</v>
      </c>
      <c r="V22" s="113" t="s">
        <v>71</v>
      </c>
      <c r="W22" s="113" t="s">
        <v>56</v>
      </c>
      <c r="X22" s="113" t="s">
        <v>57</v>
      </c>
      <c r="Y22" s="241" t="s">
        <v>72</v>
      </c>
      <c r="Z22" s="113">
        <f t="shared" si="1"/>
        <v>525</v>
      </c>
      <c r="AA22" s="236">
        <v>15</v>
      </c>
      <c r="AB22" s="113">
        <v>35</v>
      </c>
      <c r="AC22" s="188" t="s">
        <v>59</v>
      </c>
      <c r="AD22" s="113" t="s">
        <v>106</v>
      </c>
      <c r="AE22" s="188" t="s">
        <v>95</v>
      </c>
      <c r="AF22" s="60" t="s">
        <v>461</v>
      </c>
      <c r="AG22" s="147" t="s">
        <v>545</v>
      </c>
      <c r="AH22" s="113">
        <v>7.6</v>
      </c>
      <c r="AI22" s="113">
        <v>2.9</v>
      </c>
      <c r="AJ22" s="113">
        <v>11</v>
      </c>
      <c r="AK22" s="113">
        <v>8.5</v>
      </c>
      <c r="AL22" s="113">
        <v>2.2000000000000002</v>
      </c>
      <c r="AM22" s="113">
        <v>11</v>
      </c>
      <c r="AN22" s="195" t="s">
        <v>52</v>
      </c>
      <c r="AO22" s="195" t="s">
        <v>52</v>
      </c>
      <c r="AP22" s="195" t="s">
        <v>52</v>
      </c>
      <c r="AQ22" s="195" t="s">
        <v>52</v>
      </c>
      <c r="AR22" s="195"/>
      <c r="AS22" s="195"/>
      <c r="AU22" s="113">
        <v>0</v>
      </c>
      <c r="AV22" s="138"/>
      <c r="AW22" s="63"/>
    </row>
    <row r="23" spans="1:49" ht="17" customHeight="1">
      <c r="A23" s="117" t="s">
        <v>145</v>
      </c>
      <c r="B23" s="117">
        <v>106</v>
      </c>
      <c r="C23" s="130" t="s">
        <v>47</v>
      </c>
      <c r="D23" s="88" t="s">
        <v>454</v>
      </c>
      <c r="E23" s="88" t="s">
        <v>66</v>
      </c>
      <c r="F23" s="130" t="s">
        <v>49</v>
      </c>
      <c r="G23" s="88" t="s">
        <v>50</v>
      </c>
      <c r="H23" s="285" t="s">
        <v>928</v>
      </c>
      <c r="I23" s="285" t="str">
        <f t="shared" si="0"/>
        <v xml:space="preserve">m </v>
      </c>
      <c r="J23" s="127">
        <v>0</v>
      </c>
      <c r="K23" s="127" t="s">
        <v>125</v>
      </c>
      <c r="L23" s="127" t="s">
        <v>146</v>
      </c>
      <c r="M23" s="247">
        <v>11.3</v>
      </c>
      <c r="N23" s="247">
        <v>1</v>
      </c>
      <c r="O23" s="247" t="s">
        <v>52</v>
      </c>
      <c r="P23" s="247">
        <v>0.85</v>
      </c>
      <c r="Q23" s="247">
        <v>0.53</v>
      </c>
      <c r="R23" s="247">
        <f>16/30</f>
        <v>0.53333333333333333</v>
      </c>
      <c r="S23" s="247">
        <f>1-0.18</f>
        <v>0.82000000000000006</v>
      </c>
      <c r="T23" s="127" t="s">
        <v>92</v>
      </c>
      <c r="U23" s="248" t="s">
        <v>147</v>
      </c>
      <c r="V23" s="127" t="s">
        <v>71</v>
      </c>
      <c r="W23" s="127" t="s">
        <v>56</v>
      </c>
      <c r="X23" s="184" t="s">
        <v>57</v>
      </c>
      <c r="Y23" s="127" t="s">
        <v>72</v>
      </c>
      <c r="Z23" s="127">
        <f t="shared" si="1"/>
        <v>525</v>
      </c>
      <c r="AA23" s="232">
        <v>15</v>
      </c>
      <c r="AB23" s="127">
        <v>35</v>
      </c>
      <c r="AC23" s="127" t="s">
        <v>59</v>
      </c>
      <c r="AD23" s="127" t="s">
        <v>106</v>
      </c>
      <c r="AE23" s="187" t="s">
        <v>95</v>
      </c>
      <c r="AF23" s="60" t="s">
        <v>461</v>
      </c>
      <c r="AG23" s="146" t="s">
        <v>545</v>
      </c>
      <c r="AH23" s="127">
        <v>6.9</v>
      </c>
      <c r="AI23" s="127">
        <v>2.7</v>
      </c>
      <c r="AJ23" s="127">
        <v>10</v>
      </c>
      <c r="AK23" s="127">
        <v>8</v>
      </c>
      <c r="AL23" s="127">
        <v>2.7</v>
      </c>
      <c r="AM23" s="127">
        <v>10</v>
      </c>
      <c r="AN23" s="194" t="s">
        <v>52</v>
      </c>
      <c r="AO23" s="194" t="s">
        <v>52</v>
      </c>
      <c r="AP23" s="194" t="s">
        <v>52</v>
      </c>
      <c r="AQ23" s="194" t="s">
        <v>52</v>
      </c>
      <c r="AR23" s="194"/>
      <c r="AS23" s="194"/>
      <c r="AU23" s="127">
        <v>0</v>
      </c>
      <c r="AV23" s="60" t="s">
        <v>97</v>
      </c>
      <c r="AW23" s="60" t="s">
        <v>97</v>
      </c>
    </row>
    <row r="24" spans="1:49" ht="17" customHeight="1">
      <c r="A24" s="117"/>
      <c r="B24" s="117"/>
      <c r="H24" s="285" t="s">
        <v>928</v>
      </c>
      <c r="I24" s="285" t="str">
        <f>IF(T24="BAU",".",LEFT(T24,2))</f>
        <v xml:space="preserve">m </v>
      </c>
      <c r="J24" s="127">
        <v>1</v>
      </c>
      <c r="K24" s="127" t="s">
        <v>122</v>
      </c>
      <c r="L24" s="127" t="s">
        <v>146</v>
      </c>
      <c r="M24" s="247">
        <v>11.3</v>
      </c>
      <c r="N24" s="247">
        <v>1</v>
      </c>
      <c r="O24" s="247" t="s">
        <v>52</v>
      </c>
      <c r="P24" s="247">
        <v>0.85</v>
      </c>
      <c r="Q24" s="247">
        <v>0.53</v>
      </c>
      <c r="R24" s="247">
        <f>16/30</f>
        <v>0.53333333333333333</v>
      </c>
      <c r="S24" s="247">
        <f>1-0.18</f>
        <v>0.82000000000000006</v>
      </c>
      <c r="T24" s="127" t="s">
        <v>92</v>
      </c>
      <c r="U24" s="248" t="s">
        <v>147</v>
      </c>
      <c r="V24" s="127" t="s">
        <v>71</v>
      </c>
      <c r="W24" s="127" t="s">
        <v>56</v>
      </c>
      <c r="X24" s="184" t="s">
        <v>57</v>
      </c>
      <c r="Y24" s="127" t="s">
        <v>72</v>
      </c>
      <c r="Z24" s="127">
        <f t="shared" si="1"/>
        <v>525</v>
      </c>
      <c r="AA24" s="232">
        <v>15</v>
      </c>
      <c r="AB24" s="127">
        <v>35</v>
      </c>
      <c r="AC24" s="127" t="s">
        <v>59</v>
      </c>
      <c r="AD24" s="127" t="s">
        <v>106</v>
      </c>
      <c r="AE24" s="187" t="s">
        <v>95</v>
      </c>
      <c r="AF24" s="60" t="s">
        <v>461</v>
      </c>
      <c r="AG24" s="146" t="s">
        <v>545</v>
      </c>
      <c r="AH24" s="127">
        <v>6.5</v>
      </c>
      <c r="AI24" s="127">
        <v>2.4</v>
      </c>
      <c r="AJ24" s="127">
        <v>10</v>
      </c>
      <c r="AK24" s="127">
        <v>8.6999999999999993</v>
      </c>
      <c r="AL24" s="127">
        <v>2.2000000000000002</v>
      </c>
      <c r="AM24" s="127">
        <v>10</v>
      </c>
      <c r="AN24" s="194" t="s">
        <v>52</v>
      </c>
      <c r="AO24" s="194" t="s">
        <v>52</v>
      </c>
      <c r="AP24" s="194" t="s">
        <v>52</v>
      </c>
      <c r="AQ24" s="194" t="s">
        <v>52</v>
      </c>
      <c r="AR24" s="194"/>
      <c r="AS24" s="194"/>
      <c r="AU24" s="127">
        <v>0</v>
      </c>
    </row>
    <row r="25" spans="1:49" ht="17" customHeight="1">
      <c r="A25" s="117"/>
      <c r="B25" s="117"/>
      <c r="C25" s="132"/>
      <c r="E25" s="89"/>
      <c r="F25" s="132"/>
      <c r="G25" s="89"/>
      <c r="H25" s="286" t="s">
        <v>929</v>
      </c>
      <c r="I25" s="286" t="str">
        <f t="shared" si="0"/>
        <v xml:space="preserve">m </v>
      </c>
      <c r="J25" s="128">
        <v>2</v>
      </c>
      <c r="K25" s="128" t="s">
        <v>149</v>
      </c>
      <c r="L25" s="128" t="s">
        <v>146</v>
      </c>
      <c r="M25" s="249">
        <v>11.3</v>
      </c>
      <c r="N25" s="249">
        <v>1</v>
      </c>
      <c r="O25" s="249" t="s">
        <v>52</v>
      </c>
      <c r="P25" s="249">
        <v>0.85</v>
      </c>
      <c r="Q25" s="249">
        <v>0.53</v>
      </c>
      <c r="R25" s="249">
        <f>16/30</f>
        <v>0.53333333333333333</v>
      </c>
      <c r="S25" s="249">
        <f>1-0.18</f>
        <v>0.82000000000000006</v>
      </c>
      <c r="T25" s="128" t="s">
        <v>92</v>
      </c>
      <c r="U25" s="250" t="s">
        <v>147</v>
      </c>
      <c r="V25" s="128" t="s">
        <v>71</v>
      </c>
      <c r="W25" s="128" t="s">
        <v>56</v>
      </c>
      <c r="X25" s="185" t="s">
        <v>57</v>
      </c>
      <c r="Y25" s="128" t="s">
        <v>72</v>
      </c>
      <c r="Z25" s="128">
        <f t="shared" si="1"/>
        <v>525</v>
      </c>
      <c r="AA25" s="236">
        <v>15</v>
      </c>
      <c r="AB25" s="128">
        <v>35</v>
      </c>
      <c r="AC25" s="128" t="s">
        <v>59</v>
      </c>
      <c r="AD25" s="128" t="s">
        <v>106</v>
      </c>
      <c r="AE25" s="188" t="s">
        <v>95</v>
      </c>
      <c r="AF25" s="60" t="s">
        <v>461</v>
      </c>
      <c r="AG25" s="146" t="s">
        <v>545</v>
      </c>
      <c r="AH25" s="128">
        <v>6.1</v>
      </c>
      <c r="AI25" s="128">
        <v>1.9</v>
      </c>
      <c r="AJ25" s="128">
        <v>10</v>
      </c>
      <c r="AK25" s="128">
        <v>11.6</v>
      </c>
      <c r="AL25" s="128">
        <v>2.7</v>
      </c>
      <c r="AM25" s="128">
        <v>10</v>
      </c>
      <c r="AN25" s="194" t="s">
        <v>52</v>
      </c>
      <c r="AO25" s="194" t="s">
        <v>52</v>
      </c>
      <c r="AP25" s="194" t="s">
        <v>52</v>
      </c>
      <c r="AQ25" s="194" t="s">
        <v>52</v>
      </c>
      <c r="AR25" s="194"/>
      <c r="AS25" s="194"/>
      <c r="AT25" s="128"/>
      <c r="AU25" s="128">
        <v>0</v>
      </c>
      <c r="AV25" s="63"/>
      <c r="AW25" s="63"/>
    </row>
    <row r="26" spans="1:49" ht="17" customHeight="1">
      <c r="A26" s="338" t="s">
        <v>150</v>
      </c>
      <c r="B26" s="338">
        <v>107</v>
      </c>
      <c r="C26" s="130" t="s">
        <v>47</v>
      </c>
      <c r="D26" s="144" t="s">
        <v>454</v>
      </c>
      <c r="E26" s="88" t="s">
        <v>66</v>
      </c>
      <c r="F26" s="130" t="s">
        <v>49</v>
      </c>
      <c r="G26" s="88" t="s">
        <v>50</v>
      </c>
      <c r="H26" s="285" t="s">
        <v>921</v>
      </c>
      <c r="I26" s="285" t="str">
        <f t="shared" si="0"/>
        <v xml:space="preserve">m </v>
      </c>
      <c r="J26" s="127">
        <v>1</v>
      </c>
      <c r="K26" s="127" t="s">
        <v>151</v>
      </c>
      <c r="L26" s="187" t="s">
        <v>68</v>
      </c>
      <c r="M26" s="247">
        <f>AVERAGE(10,14)</f>
        <v>12</v>
      </c>
      <c r="N26" s="247">
        <v>1</v>
      </c>
      <c r="O26" s="247">
        <v>1</v>
      </c>
      <c r="P26" s="247" t="s">
        <v>52</v>
      </c>
      <c r="Q26" s="247" t="s">
        <v>52</v>
      </c>
      <c r="R26" s="247">
        <f>49/75</f>
        <v>0.65333333333333332</v>
      </c>
      <c r="S26" s="247">
        <f>1-0.9</f>
        <v>9.9999999999999978E-2</v>
      </c>
      <c r="T26" s="127" t="s">
        <v>92</v>
      </c>
      <c r="U26" s="248" t="s">
        <v>152</v>
      </c>
      <c r="V26" s="127" t="s">
        <v>71</v>
      </c>
      <c r="W26" s="127" t="s">
        <v>153</v>
      </c>
      <c r="X26" s="251" t="s">
        <v>57</v>
      </c>
      <c r="Y26" s="127" t="s">
        <v>72</v>
      </c>
      <c r="Z26" s="127" t="s">
        <v>154</v>
      </c>
      <c r="AA26" s="232" t="s">
        <v>52</v>
      </c>
      <c r="AB26" s="127" t="s">
        <v>52</v>
      </c>
      <c r="AC26" s="127" t="s">
        <v>148</v>
      </c>
      <c r="AD26" s="127" t="s">
        <v>155</v>
      </c>
      <c r="AE26" s="127" t="s">
        <v>95</v>
      </c>
      <c r="AF26" s="60" t="s">
        <v>461</v>
      </c>
      <c r="AG26" s="148" t="s">
        <v>52</v>
      </c>
      <c r="AH26" s="187">
        <v>5.67</v>
      </c>
      <c r="AI26" s="127">
        <v>3.9</v>
      </c>
      <c r="AJ26" s="127">
        <v>17</v>
      </c>
      <c r="AK26" s="127">
        <v>12.72</v>
      </c>
      <c r="AL26" s="127">
        <v>5.18</v>
      </c>
      <c r="AM26" s="127">
        <v>17</v>
      </c>
      <c r="AN26" s="196" t="s">
        <v>52</v>
      </c>
      <c r="AO26" s="196" t="s">
        <v>52</v>
      </c>
      <c r="AP26" s="196" t="s">
        <v>52</v>
      </c>
      <c r="AQ26" s="196" t="s">
        <v>52</v>
      </c>
      <c r="AR26" s="196"/>
      <c r="AS26" s="196"/>
      <c r="AU26" s="127">
        <v>0</v>
      </c>
      <c r="AV26" s="60" t="s">
        <v>227</v>
      </c>
      <c r="AW26" s="60" t="s">
        <v>226</v>
      </c>
    </row>
    <row r="27" spans="1:49" ht="17" customHeight="1">
      <c r="A27" s="117"/>
      <c r="B27" s="117"/>
      <c r="G27" s="130"/>
      <c r="I27" s="285" t="str">
        <f t="shared" si="0"/>
        <v/>
      </c>
      <c r="AA27" s="232"/>
      <c r="AD27" s="127" t="s">
        <v>156</v>
      </c>
      <c r="AE27" s="127" t="s">
        <v>95</v>
      </c>
      <c r="AF27" s="60" t="s">
        <v>461</v>
      </c>
      <c r="AG27" s="146" t="s">
        <v>52</v>
      </c>
      <c r="AH27" s="187">
        <v>5.67</v>
      </c>
      <c r="AI27" s="127">
        <v>3.9</v>
      </c>
      <c r="AJ27" s="127">
        <v>17</v>
      </c>
      <c r="AK27" s="127">
        <v>13.44</v>
      </c>
      <c r="AL27" s="127">
        <v>4.91</v>
      </c>
      <c r="AM27" s="127">
        <v>17</v>
      </c>
      <c r="AN27" s="194" t="s">
        <v>52</v>
      </c>
      <c r="AO27" s="194" t="s">
        <v>52</v>
      </c>
      <c r="AP27" s="194" t="s">
        <v>52</v>
      </c>
      <c r="AQ27" s="194" t="s">
        <v>52</v>
      </c>
      <c r="AR27" s="194"/>
      <c r="AS27" s="194"/>
      <c r="AU27" s="127">
        <v>0</v>
      </c>
    </row>
    <row r="28" spans="1:49" ht="17" customHeight="1">
      <c r="A28" s="117"/>
      <c r="B28" s="117"/>
      <c r="H28" s="285" t="s">
        <v>921</v>
      </c>
      <c r="I28" s="285" t="str">
        <f t="shared" si="0"/>
        <v xml:space="preserve">m </v>
      </c>
      <c r="J28" s="127">
        <v>2</v>
      </c>
      <c r="K28" s="127" t="s">
        <v>157</v>
      </c>
      <c r="L28" s="187" t="s">
        <v>68</v>
      </c>
      <c r="M28" s="247">
        <f>AVERAGE(10,14)</f>
        <v>12</v>
      </c>
      <c r="N28" s="247">
        <v>1</v>
      </c>
      <c r="O28" s="247">
        <v>1</v>
      </c>
      <c r="P28" s="247" t="s">
        <v>52</v>
      </c>
      <c r="Q28" s="247" t="s">
        <v>52</v>
      </c>
      <c r="R28" s="247">
        <f>49/75</f>
        <v>0.65333333333333332</v>
      </c>
      <c r="S28" s="247">
        <f>1-0.9</f>
        <v>9.9999999999999978E-2</v>
      </c>
      <c r="T28" s="127" t="s">
        <v>92</v>
      </c>
      <c r="U28" s="248" t="s">
        <v>152</v>
      </c>
      <c r="V28" s="127" t="s">
        <v>71</v>
      </c>
      <c r="W28" s="127" t="s">
        <v>153</v>
      </c>
      <c r="X28" s="251" t="s">
        <v>57</v>
      </c>
      <c r="Y28" s="127" t="s">
        <v>72</v>
      </c>
      <c r="Z28" s="127" t="s">
        <v>154</v>
      </c>
      <c r="AA28" s="232" t="s">
        <v>52</v>
      </c>
      <c r="AB28" s="127" t="s">
        <v>52</v>
      </c>
      <c r="AC28" s="127" t="s">
        <v>148</v>
      </c>
      <c r="AD28" s="127" t="s">
        <v>155</v>
      </c>
      <c r="AE28" s="127" t="s">
        <v>95</v>
      </c>
      <c r="AF28" s="60" t="s">
        <v>461</v>
      </c>
      <c r="AG28" s="146" t="s">
        <v>52</v>
      </c>
      <c r="AH28" s="127">
        <v>6.81</v>
      </c>
      <c r="AI28" s="127">
        <v>4.8099999999999996</v>
      </c>
      <c r="AJ28" s="127">
        <v>16</v>
      </c>
      <c r="AK28" s="127">
        <v>11.41</v>
      </c>
      <c r="AL28" s="127">
        <v>6.61</v>
      </c>
      <c r="AM28" s="127">
        <v>16</v>
      </c>
      <c r="AN28" s="194" t="s">
        <v>52</v>
      </c>
      <c r="AO28" s="194" t="s">
        <v>52</v>
      </c>
      <c r="AP28" s="194" t="s">
        <v>52</v>
      </c>
      <c r="AQ28" s="194" t="s">
        <v>52</v>
      </c>
      <c r="AR28" s="194"/>
      <c r="AS28" s="194"/>
      <c r="AU28" s="127">
        <v>0</v>
      </c>
    </row>
    <row r="29" spans="1:49" ht="17" customHeight="1">
      <c r="A29" s="117"/>
      <c r="B29" s="117"/>
      <c r="G29" s="130"/>
      <c r="I29" s="285" t="str">
        <f t="shared" si="0"/>
        <v/>
      </c>
      <c r="AA29" s="232"/>
      <c r="AD29" s="127" t="s">
        <v>156</v>
      </c>
      <c r="AE29" s="127" t="s">
        <v>95</v>
      </c>
      <c r="AF29" s="60" t="s">
        <v>461</v>
      </c>
      <c r="AG29" s="146" t="s">
        <v>52</v>
      </c>
      <c r="AH29" s="127">
        <v>6.81</v>
      </c>
      <c r="AI29" s="127">
        <v>4.8099999999999996</v>
      </c>
      <c r="AJ29" s="127">
        <v>16</v>
      </c>
      <c r="AK29" s="127">
        <v>11.56</v>
      </c>
      <c r="AL29" s="127">
        <v>6.55</v>
      </c>
      <c r="AM29" s="127">
        <v>16</v>
      </c>
      <c r="AN29" s="194" t="s">
        <v>52</v>
      </c>
      <c r="AO29" s="194" t="s">
        <v>52</v>
      </c>
      <c r="AP29" s="194" t="s">
        <v>52</v>
      </c>
      <c r="AQ29" s="194" t="s">
        <v>52</v>
      </c>
      <c r="AR29" s="194"/>
      <c r="AS29" s="194"/>
      <c r="AU29" s="127">
        <v>0</v>
      </c>
    </row>
    <row r="30" spans="1:49" ht="17" customHeight="1">
      <c r="A30" s="117"/>
      <c r="B30" s="117"/>
      <c r="H30" s="285" t="s">
        <v>919</v>
      </c>
      <c r="I30" s="285" t="str">
        <f t="shared" si="0"/>
        <v xml:space="preserve">m </v>
      </c>
      <c r="J30" s="127">
        <v>3</v>
      </c>
      <c r="K30" s="127" t="s">
        <v>158</v>
      </c>
      <c r="L30" s="187" t="s">
        <v>68</v>
      </c>
      <c r="M30" s="247">
        <f>AVERAGE(10,14)</f>
        <v>12</v>
      </c>
      <c r="N30" s="247">
        <v>1</v>
      </c>
      <c r="O30" s="247">
        <v>1</v>
      </c>
      <c r="P30" s="247" t="s">
        <v>52</v>
      </c>
      <c r="Q30" s="247" t="s">
        <v>52</v>
      </c>
      <c r="R30" s="247">
        <f>49/75</f>
        <v>0.65333333333333332</v>
      </c>
      <c r="S30" s="247">
        <f>1-0.9</f>
        <v>9.9999999999999978E-2</v>
      </c>
      <c r="T30" s="127" t="s">
        <v>92</v>
      </c>
      <c r="U30" s="248" t="s">
        <v>152</v>
      </c>
      <c r="V30" s="127" t="s">
        <v>71</v>
      </c>
      <c r="W30" s="127" t="s">
        <v>153</v>
      </c>
      <c r="X30" s="251" t="s">
        <v>57</v>
      </c>
      <c r="Y30" s="127" t="s">
        <v>72</v>
      </c>
      <c r="Z30" s="127" t="s">
        <v>154</v>
      </c>
      <c r="AA30" s="232" t="s">
        <v>52</v>
      </c>
      <c r="AB30" s="127" t="s">
        <v>52</v>
      </c>
      <c r="AC30" s="127" t="s">
        <v>148</v>
      </c>
      <c r="AD30" s="127" t="s">
        <v>155</v>
      </c>
      <c r="AE30" s="127" t="s">
        <v>95</v>
      </c>
      <c r="AF30" s="60" t="s">
        <v>461</v>
      </c>
      <c r="AG30" s="146" t="s">
        <v>52</v>
      </c>
      <c r="AH30" s="127">
        <v>7</v>
      </c>
      <c r="AI30" s="127">
        <v>3.84</v>
      </c>
      <c r="AJ30" s="127">
        <v>19</v>
      </c>
      <c r="AK30" s="127">
        <v>9.73</v>
      </c>
      <c r="AL30" s="127">
        <v>4.49</v>
      </c>
      <c r="AM30" s="127">
        <v>19</v>
      </c>
      <c r="AN30" s="194" t="s">
        <v>52</v>
      </c>
      <c r="AO30" s="194" t="s">
        <v>52</v>
      </c>
      <c r="AP30" s="194" t="s">
        <v>52</v>
      </c>
      <c r="AQ30" s="194" t="s">
        <v>52</v>
      </c>
      <c r="AR30" s="194"/>
      <c r="AS30" s="194"/>
      <c r="AU30" s="127">
        <v>0</v>
      </c>
    </row>
    <row r="31" spans="1:49" ht="17" customHeight="1">
      <c r="A31" s="117"/>
      <c r="B31" s="117"/>
      <c r="G31" s="130"/>
      <c r="I31" s="285" t="str">
        <f t="shared" si="0"/>
        <v/>
      </c>
      <c r="AA31" s="232"/>
      <c r="AD31" s="127" t="s">
        <v>156</v>
      </c>
      <c r="AE31" s="127" t="s">
        <v>95</v>
      </c>
      <c r="AF31" s="60" t="s">
        <v>461</v>
      </c>
      <c r="AG31" s="146" t="s">
        <v>52</v>
      </c>
      <c r="AH31" s="127">
        <v>7</v>
      </c>
      <c r="AI31" s="127">
        <v>3.84</v>
      </c>
      <c r="AJ31" s="127">
        <v>19</v>
      </c>
      <c r="AK31" s="127">
        <v>9.36</v>
      </c>
      <c r="AL31" s="127">
        <v>5.62</v>
      </c>
      <c r="AM31" s="127">
        <v>19</v>
      </c>
      <c r="AN31" s="194" t="s">
        <v>52</v>
      </c>
      <c r="AO31" s="194" t="s">
        <v>52</v>
      </c>
      <c r="AP31" s="194" t="s">
        <v>52</v>
      </c>
      <c r="AQ31" s="194" t="s">
        <v>52</v>
      </c>
      <c r="AR31" s="194"/>
      <c r="AS31" s="194"/>
      <c r="AU31" s="127">
        <v>0</v>
      </c>
    </row>
    <row r="32" spans="1:49" ht="17" customHeight="1">
      <c r="A32" s="117"/>
      <c r="B32" s="117"/>
      <c r="H32" s="285" t="s">
        <v>919</v>
      </c>
      <c r="I32" s="285" t="str">
        <f t="shared" si="0"/>
        <v xml:space="preserve">m </v>
      </c>
      <c r="J32" s="127">
        <v>0</v>
      </c>
      <c r="K32" s="127" t="s">
        <v>159</v>
      </c>
      <c r="L32" s="187" t="s">
        <v>68</v>
      </c>
      <c r="M32" s="247">
        <f>AVERAGE(10,14)</f>
        <v>12</v>
      </c>
      <c r="N32" s="247">
        <v>1</v>
      </c>
      <c r="O32" s="247">
        <v>1</v>
      </c>
      <c r="P32" s="247" t="s">
        <v>52</v>
      </c>
      <c r="Q32" s="247" t="s">
        <v>52</v>
      </c>
      <c r="R32" s="247">
        <f>49/75</f>
        <v>0.65333333333333332</v>
      </c>
      <c r="S32" s="247">
        <f>1-0.9</f>
        <v>9.9999999999999978E-2</v>
      </c>
      <c r="T32" s="127" t="s">
        <v>92</v>
      </c>
      <c r="U32" s="248" t="s">
        <v>160</v>
      </c>
      <c r="V32" s="127" t="s">
        <v>71</v>
      </c>
      <c r="W32" s="127" t="s">
        <v>153</v>
      </c>
      <c r="X32" s="251" t="s">
        <v>57</v>
      </c>
      <c r="Y32" s="127" t="s">
        <v>72</v>
      </c>
      <c r="Z32" s="127" t="s">
        <v>154</v>
      </c>
      <c r="AA32" s="232" t="s">
        <v>52</v>
      </c>
      <c r="AB32" s="127" t="s">
        <v>52</v>
      </c>
      <c r="AC32" s="127" t="s">
        <v>148</v>
      </c>
      <c r="AD32" s="127" t="s">
        <v>155</v>
      </c>
      <c r="AE32" s="127" t="s">
        <v>95</v>
      </c>
      <c r="AF32" s="60" t="s">
        <v>461</v>
      </c>
      <c r="AG32" s="146" t="s">
        <v>52</v>
      </c>
      <c r="AH32" s="127">
        <v>7.9</v>
      </c>
      <c r="AI32" s="127">
        <v>3.99</v>
      </c>
      <c r="AJ32" s="127">
        <v>21</v>
      </c>
      <c r="AK32" s="127">
        <v>9.81</v>
      </c>
      <c r="AL32" s="127">
        <v>5.34</v>
      </c>
      <c r="AM32" s="127">
        <v>21</v>
      </c>
      <c r="AN32" s="194" t="s">
        <v>52</v>
      </c>
      <c r="AO32" s="194" t="s">
        <v>52</v>
      </c>
      <c r="AP32" s="194" t="s">
        <v>52</v>
      </c>
      <c r="AQ32" s="194" t="s">
        <v>52</v>
      </c>
      <c r="AR32" s="194"/>
      <c r="AS32" s="194"/>
      <c r="AU32" s="127">
        <v>0</v>
      </c>
    </row>
    <row r="33" spans="1:49" ht="17" customHeight="1">
      <c r="A33" s="123"/>
      <c r="B33" s="123"/>
      <c r="C33" s="132"/>
      <c r="D33" s="89"/>
      <c r="E33" s="89"/>
      <c r="F33" s="132"/>
      <c r="G33" s="132"/>
      <c r="H33" s="286"/>
      <c r="I33" s="286" t="str">
        <f t="shared" si="0"/>
        <v/>
      </c>
      <c r="J33" s="128"/>
      <c r="K33" s="128"/>
      <c r="L33" s="128"/>
      <c r="M33" s="249"/>
      <c r="N33" s="249"/>
      <c r="O33" s="249"/>
      <c r="P33" s="249"/>
      <c r="Q33" s="249"/>
      <c r="R33" s="249"/>
      <c r="S33" s="249"/>
      <c r="T33" s="128"/>
      <c r="U33" s="250"/>
      <c r="V33" s="128"/>
      <c r="W33" s="128"/>
      <c r="X33" s="128"/>
      <c r="Y33" s="128"/>
      <c r="Z33" s="128"/>
      <c r="AA33" s="236"/>
      <c r="AB33" s="128"/>
      <c r="AC33" s="128"/>
      <c r="AD33" s="128" t="s">
        <v>156</v>
      </c>
      <c r="AE33" s="128" t="s">
        <v>95</v>
      </c>
      <c r="AF33" s="60" t="s">
        <v>461</v>
      </c>
      <c r="AG33" s="147" t="s">
        <v>52</v>
      </c>
      <c r="AH33" s="128">
        <v>7.9</v>
      </c>
      <c r="AI33" s="128">
        <v>3.99</v>
      </c>
      <c r="AJ33" s="128">
        <v>21</v>
      </c>
      <c r="AK33" s="128">
        <v>8.66</v>
      </c>
      <c r="AL33" s="128">
        <v>3.95</v>
      </c>
      <c r="AM33" s="128">
        <v>21</v>
      </c>
      <c r="AN33" s="195" t="s">
        <v>52</v>
      </c>
      <c r="AO33" s="195" t="s">
        <v>52</v>
      </c>
      <c r="AP33" s="195" t="s">
        <v>52</v>
      </c>
      <c r="AQ33" s="195" t="s">
        <v>52</v>
      </c>
      <c r="AR33" s="195"/>
      <c r="AS33" s="195"/>
      <c r="AT33" s="128"/>
      <c r="AU33" s="128">
        <v>0</v>
      </c>
      <c r="AV33" s="63"/>
      <c r="AW33" s="63"/>
    </row>
    <row r="34" spans="1:49" ht="17" customHeight="1">
      <c r="A34" s="117" t="s">
        <v>161</v>
      </c>
      <c r="B34" s="117">
        <v>108</v>
      </c>
      <c r="C34" s="130" t="s">
        <v>47</v>
      </c>
      <c r="D34" s="88" t="s">
        <v>454</v>
      </c>
      <c r="E34" s="88" t="s">
        <v>66</v>
      </c>
      <c r="F34" s="130" t="s">
        <v>49</v>
      </c>
      <c r="G34" s="88" t="s">
        <v>50</v>
      </c>
      <c r="H34" s="285" t="s">
        <v>922</v>
      </c>
      <c r="I34" s="285" t="str">
        <f t="shared" si="0"/>
        <v>cm</v>
      </c>
      <c r="J34" s="127">
        <v>1</v>
      </c>
      <c r="K34" s="127" t="s">
        <v>162</v>
      </c>
      <c r="L34" s="202">
        <v>6</v>
      </c>
      <c r="M34" s="247">
        <v>11.5</v>
      </c>
      <c r="N34" s="247">
        <v>1</v>
      </c>
      <c r="O34" s="247">
        <f>(102+51)/462</f>
        <v>0.33116883116883117</v>
      </c>
      <c r="P34" s="247">
        <f>314/462</f>
        <v>0.67965367965367962</v>
      </c>
      <c r="Q34" s="247" t="s">
        <v>52</v>
      </c>
      <c r="R34" s="247">
        <f>269/462</f>
        <v>0.58225108225108224</v>
      </c>
      <c r="S34" s="247">
        <f>58/462</f>
        <v>0.12554112554112554</v>
      </c>
      <c r="T34" s="187" t="s">
        <v>53</v>
      </c>
      <c r="U34" s="248" t="s">
        <v>199</v>
      </c>
      <c r="V34" s="127" t="s">
        <v>71</v>
      </c>
      <c r="W34" s="127" t="s">
        <v>153</v>
      </c>
      <c r="X34" s="127" t="s">
        <v>163</v>
      </c>
      <c r="Y34" s="127" t="s">
        <v>58</v>
      </c>
      <c r="Z34" s="239">
        <f>36*5*AB34</f>
        <v>7448.1</v>
      </c>
      <c r="AA34" s="232">
        <v>540</v>
      </c>
      <c r="AB34" s="112">
        <f>55*AVERAGE(0.585,0.8,0.872)</f>
        <v>41.378333333333337</v>
      </c>
      <c r="AC34" s="127" t="s">
        <v>59</v>
      </c>
      <c r="AD34" s="127" t="s">
        <v>164</v>
      </c>
      <c r="AE34" s="127" t="s">
        <v>61</v>
      </c>
      <c r="AF34" s="60" t="s">
        <v>461</v>
      </c>
      <c r="AG34" s="146" t="s">
        <v>580</v>
      </c>
      <c r="AH34" s="127" t="s">
        <v>52</v>
      </c>
      <c r="AI34" s="127" t="s">
        <v>52</v>
      </c>
      <c r="AJ34" s="127" t="s">
        <v>52</v>
      </c>
      <c r="AK34" s="127">
        <v>32.1</v>
      </c>
      <c r="AL34" s="127">
        <v>14.33</v>
      </c>
      <c r="AM34" s="127">
        <v>462</v>
      </c>
      <c r="AN34" s="194" t="s">
        <v>52</v>
      </c>
      <c r="AO34" s="194" t="s">
        <v>52</v>
      </c>
      <c r="AP34" s="194" t="s">
        <v>52</v>
      </c>
      <c r="AQ34" s="194" t="s">
        <v>52</v>
      </c>
      <c r="AR34" s="194"/>
      <c r="AS34" s="194"/>
      <c r="AU34" s="127">
        <v>0</v>
      </c>
      <c r="AV34" s="60" t="s">
        <v>86</v>
      </c>
      <c r="AW34" s="60" t="s">
        <v>86</v>
      </c>
    </row>
    <row r="35" spans="1:49" ht="17" customHeight="1">
      <c r="A35" s="117"/>
      <c r="B35" s="117"/>
      <c r="C35" s="132"/>
      <c r="E35" s="89"/>
      <c r="F35" s="132"/>
      <c r="G35" s="89"/>
      <c r="H35" s="286" t="s">
        <v>919</v>
      </c>
      <c r="I35" s="286" t="str">
        <f t="shared" si="0"/>
        <v>.</v>
      </c>
      <c r="J35" s="128">
        <v>0</v>
      </c>
      <c r="K35" s="128" t="s">
        <v>165</v>
      </c>
      <c r="L35" s="128">
        <v>6</v>
      </c>
      <c r="M35" s="249">
        <v>11.5</v>
      </c>
      <c r="N35" s="249">
        <v>1</v>
      </c>
      <c r="O35" s="249">
        <f>(69+33)/389</f>
        <v>0.26221079691516708</v>
      </c>
      <c r="P35" s="249">
        <f>255/389</f>
        <v>0.65552699228791778</v>
      </c>
      <c r="Q35" s="249" t="s">
        <v>52</v>
      </c>
      <c r="R35" s="249">
        <f>225/389</f>
        <v>0.57840616966580982</v>
      </c>
      <c r="S35" s="249">
        <f>56/389</f>
        <v>0.14395886889460155</v>
      </c>
      <c r="T35" s="128" t="s">
        <v>78</v>
      </c>
      <c r="U35" s="250" t="s">
        <v>201</v>
      </c>
      <c r="V35" s="128" t="s">
        <v>71</v>
      </c>
      <c r="W35" s="128" t="s">
        <v>78</v>
      </c>
      <c r="X35" s="128" t="s">
        <v>78</v>
      </c>
      <c r="Y35" s="128" t="s">
        <v>78</v>
      </c>
      <c r="Z35" s="113" t="s">
        <v>78</v>
      </c>
      <c r="AA35" s="236"/>
      <c r="AB35" s="113" t="s">
        <v>78</v>
      </c>
      <c r="AC35" s="128" t="s">
        <v>78</v>
      </c>
      <c r="AD35" s="128" t="s">
        <v>164</v>
      </c>
      <c r="AE35" s="128" t="s">
        <v>61</v>
      </c>
      <c r="AF35" s="60" t="s">
        <v>461</v>
      </c>
      <c r="AG35" s="146" t="s">
        <v>580</v>
      </c>
      <c r="AH35" s="128" t="s">
        <v>52</v>
      </c>
      <c r="AI35" s="128" t="s">
        <v>52</v>
      </c>
      <c r="AJ35" s="128" t="s">
        <v>52</v>
      </c>
      <c r="AK35" s="128">
        <v>31.6</v>
      </c>
      <c r="AL35" s="128">
        <v>14.11</v>
      </c>
      <c r="AM35" s="128">
        <v>389</v>
      </c>
      <c r="AN35" s="194" t="s">
        <v>52</v>
      </c>
      <c r="AO35" s="194" t="s">
        <v>52</v>
      </c>
      <c r="AP35" s="194" t="s">
        <v>52</v>
      </c>
      <c r="AQ35" s="194" t="s">
        <v>52</v>
      </c>
      <c r="AR35" s="194"/>
      <c r="AS35" s="194"/>
      <c r="AT35" s="128"/>
      <c r="AU35" s="128">
        <v>0</v>
      </c>
      <c r="AV35" s="63"/>
      <c r="AW35" s="63"/>
    </row>
    <row r="36" spans="1:49" ht="17" customHeight="1">
      <c r="A36" s="338" t="s">
        <v>166</v>
      </c>
      <c r="B36" s="338">
        <v>109.1</v>
      </c>
      <c r="C36" s="130" t="s">
        <v>47</v>
      </c>
      <c r="D36" s="144" t="s">
        <v>454</v>
      </c>
      <c r="E36" s="88" t="s">
        <v>66</v>
      </c>
      <c r="F36" s="130" t="s">
        <v>49</v>
      </c>
      <c r="G36" s="88" t="s">
        <v>50</v>
      </c>
      <c r="H36" s="285" t="s">
        <v>922</v>
      </c>
      <c r="I36" s="285" t="str">
        <f t="shared" si="0"/>
        <v>cm</v>
      </c>
      <c r="J36" s="127">
        <v>1</v>
      </c>
      <c r="K36" s="127" t="s">
        <v>168</v>
      </c>
      <c r="L36" s="127">
        <v>6</v>
      </c>
      <c r="M36" s="247">
        <v>11.5</v>
      </c>
      <c r="N36" s="247">
        <v>1</v>
      </c>
      <c r="O36" s="247">
        <f>1-404/605</f>
        <v>0.33223140495867765</v>
      </c>
      <c r="P36" s="247">
        <f>418/605</f>
        <v>0.69090909090909092</v>
      </c>
      <c r="Q36" s="252" t="s">
        <v>52</v>
      </c>
      <c r="R36" s="247">
        <f>360/605</f>
        <v>0.5950413223140496</v>
      </c>
      <c r="S36" s="247">
        <f>1-526/605</f>
        <v>0.13057851239669427</v>
      </c>
      <c r="T36" s="187" t="s">
        <v>53</v>
      </c>
      <c r="U36" s="248" t="s">
        <v>203</v>
      </c>
      <c r="V36" s="127" t="s">
        <v>71</v>
      </c>
      <c r="W36" s="127" t="s">
        <v>153</v>
      </c>
      <c r="X36" s="127" t="s">
        <v>163</v>
      </c>
      <c r="Y36" s="127" t="s">
        <v>58</v>
      </c>
      <c r="Z36" s="239">
        <f>36*5*AB36</f>
        <v>9519.5250000000015</v>
      </c>
      <c r="AA36" s="232">
        <v>720</v>
      </c>
      <c r="AB36" s="112">
        <f>AVERAGE(45,90)*AVERAGE(0.585,0.8,0.872,0.877)</f>
        <v>52.886250000000004</v>
      </c>
      <c r="AC36" s="127" t="s">
        <v>59</v>
      </c>
      <c r="AD36" s="127" t="s">
        <v>169</v>
      </c>
      <c r="AE36" s="127" t="s">
        <v>61</v>
      </c>
      <c r="AF36" s="60" t="s">
        <v>461</v>
      </c>
      <c r="AG36" s="148" t="s">
        <v>580</v>
      </c>
      <c r="AH36" s="127">
        <v>21.11</v>
      </c>
      <c r="AI36" s="127">
        <v>9.49</v>
      </c>
      <c r="AJ36" s="127">
        <v>605</v>
      </c>
      <c r="AK36" s="127">
        <v>32.299999999999997</v>
      </c>
      <c r="AL36" s="127">
        <v>13.92</v>
      </c>
      <c r="AM36" s="127">
        <v>605</v>
      </c>
      <c r="AN36" s="196" t="s">
        <v>52</v>
      </c>
      <c r="AO36" s="196" t="s">
        <v>52</v>
      </c>
      <c r="AP36" s="196" t="s">
        <v>52</v>
      </c>
      <c r="AQ36" s="196" t="s">
        <v>52</v>
      </c>
      <c r="AR36" s="196"/>
      <c r="AS36" s="196"/>
      <c r="AU36" s="127">
        <v>1</v>
      </c>
      <c r="AV36" s="60" t="s">
        <v>86</v>
      </c>
      <c r="AW36" s="60" t="s">
        <v>86</v>
      </c>
    </row>
    <row r="37" spans="1:49" ht="17" customHeight="1">
      <c r="A37" s="117"/>
      <c r="B37" s="117"/>
      <c r="H37" s="285" t="s">
        <v>919</v>
      </c>
      <c r="I37" s="285" t="str">
        <f t="shared" si="0"/>
        <v>.</v>
      </c>
      <c r="J37" s="127">
        <v>0</v>
      </c>
      <c r="K37" s="127" t="s">
        <v>171</v>
      </c>
      <c r="L37" s="127">
        <v>6</v>
      </c>
      <c r="M37" s="247">
        <v>11.5</v>
      </c>
      <c r="N37" s="247">
        <v>1</v>
      </c>
      <c r="O37" s="247">
        <f>1-379/530</f>
        <v>0.28490566037735854</v>
      </c>
      <c r="P37" s="247">
        <f>358/530</f>
        <v>0.67547169811320751</v>
      </c>
      <c r="Q37" s="247" t="s">
        <v>52</v>
      </c>
      <c r="R37" s="247">
        <f>309/530</f>
        <v>0.58301886792452828</v>
      </c>
      <c r="S37" s="247">
        <f>1-456/530</f>
        <v>0.13962264150943393</v>
      </c>
      <c r="T37" s="127" t="s">
        <v>78</v>
      </c>
      <c r="U37" s="248" t="s">
        <v>205</v>
      </c>
      <c r="V37" s="127" t="s">
        <v>80</v>
      </c>
      <c r="W37" s="127" t="s">
        <v>78</v>
      </c>
      <c r="X37" s="127" t="s">
        <v>78</v>
      </c>
      <c r="Y37" s="127" t="s">
        <v>78</v>
      </c>
      <c r="Z37" s="112" t="s">
        <v>78</v>
      </c>
      <c r="AA37" s="232"/>
      <c r="AB37" s="112" t="s">
        <v>78</v>
      </c>
      <c r="AC37" s="127" t="s">
        <v>78</v>
      </c>
      <c r="AD37" s="127" t="s">
        <v>169</v>
      </c>
      <c r="AE37" s="127" t="s">
        <v>61</v>
      </c>
      <c r="AF37" s="60" t="s">
        <v>461</v>
      </c>
      <c r="AG37" s="146" t="s">
        <v>580</v>
      </c>
      <c r="AH37" s="127">
        <v>21.66</v>
      </c>
      <c r="AI37" s="127">
        <v>9.32</v>
      </c>
      <c r="AJ37" s="127">
        <v>530</v>
      </c>
      <c r="AK37" s="127">
        <v>30.7</v>
      </c>
      <c r="AL37" s="127">
        <v>13.86</v>
      </c>
      <c r="AM37" s="127">
        <v>530</v>
      </c>
      <c r="AN37" s="194" t="s">
        <v>52</v>
      </c>
      <c r="AO37" s="194" t="s">
        <v>52</v>
      </c>
      <c r="AP37" s="194" t="s">
        <v>52</v>
      </c>
      <c r="AQ37" s="194" t="s">
        <v>52</v>
      </c>
      <c r="AR37" s="194"/>
      <c r="AS37" s="194"/>
      <c r="AU37" s="127">
        <v>1</v>
      </c>
    </row>
    <row r="38" spans="1:49" ht="17" customHeight="1">
      <c r="A38" s="338" t="s">
        <v>166</v>
      </c>
      <c r="B38" s="338">
        <v>109.2</v>
      </c>
      <c r="C38" s="130" t="s">
        <v>47</v>
      </c>
      <c r="D38" s="88" t="s">
        <v>454</v>
      </c>
      <c r="E38" s="88" t="s">
        <v>66</v>
      </c>
      <c r="F38" s="130" t="s">
        <v>49</v>
      </c>
      <c r="G38" s="88" t="s">
        <v>50</v>
      </c>
      <c r="H38" s="285" t="s">
        <v>922</v>
      </c>
      <c r="I38" s="285" t="str">
        <f t="shared" si="0"/>
        <v>cm</v>
      </c>
      <c r="J38" s="127">
        <v>1</v>
      </c>
      <c r="K38" s="127" t="s">
        <v>173</v>
      </c>
      <c r="L38" s="127">
        <v>9</v>
      </c>
      <c r="M38" s="247">
        <v>14.5</v>
      </c>
      <c r="N38" s="247">
        <v>1</v>
      </c>
      <c r="O38" s="247">
        <f>1-417/593</f>
        <v>0.29679595278246207</v>
      </c>
      <c r="P38" s="247">
        <f>371/593</f>
        <v>0.62563237774030356</v>
      </c>
      <c r="Q38" s="247" t="s">
        <v>52</v>
      </c>
      <c r="R38" s="247">
        <f>348/593</f>
        <v>0.58684654300168637</v>
      </c>
      <c r="S38" s="247">
        <f>1-524/593</f>
        <v>0.11635750421585156</v>
      </c>
      <c r="T38" s="187" t="s">
        <v>53</v>
      </c>
      <c r="U38" s="248" t="s">
        <v>203</v>
      </c>
      <c r="V38" s="127" t="s">
        <v>71</v>
      </c>
      <c r="W38" s="127" t="s">
        <v>153</v>
      </c>
      <c r="X38" s="127" t="s">
        <v>163</v>
      </c>
      <c r="Y38" s="127" t="s">
        <v>58</v>
      </c>
      <c r="Z38" s="239">
        <f>36*5*AB38</f>
        <v>9519.5250000000015</v>
      </c>
      <c r="AA38" s="232">
        <v>720</v>
      </c>
      <c r="AB38" s="112">
        <f>AVERAGE(45,90)*AVERAGE(0.585,0.8,0.872,0.877)</f>
        <v>52.886250000000004</v>
      </c>
      <c r="AC38" s="127" t="s">
        <v>59</v>
      </c>
      <c r="AD38" s="127" t="s">
        <v>169</v>
      </c>
      <c r="AE38" s="127" t="s">
        <v>61</v>
      </c>
      <c r="AF38" s="60" t="s">
        <v>461</v>
      </c>
      <c r="AG38" s="146" t="s">
        <v>580</v>
      </c>
      <c r="AH38" s="127">
        <v>23.59</v>
      </c>
      <c r="AI38" s="127">
        <v>8.0500000000000007</v>
      </c>
      <c r="AJ38" s="127">
        <v>593</v>
      </c>
      <c r="AK38" s="127">
        <v>33.700000000000003</v>
      </c>
      <c r="AL38" s="127">
        <v>14.87</v>
      </c>
      <c r="AM38" s="127">
        <v>593</v>
      </c>
      <c r="AN38" s="194" t="s">
        <v>52</v>
      </c>
      <c r="AO38" s="194" t="s">
        <v>52</v>
      </c>
      <c r="AP38" s="194" t="s">
        <v>52</v>
      </c>
      <c r="AQ38" s="194" t="s">
        <v>52</v>
      </c>
      <c r="AR38" s="194"/>
      <c r="AS38" s="194"/>
      <c r="AU38" s="127">
        <v>0</v>
      </c>
    </row>
    <row r="39" spans="1:49" ht="17" customHeight="1">
      <c r="A39" s="123"/>
      <c r="B39" s="123"/>
      <c r="C39" s="132"/>
      <c r="D39" s="89"/>
      <c r="E39" s="89"/>
      <c r="F39" s="132"/>
      <c r="G39" s="89"/>
      <c r="H39" s="286" t="s">
        <v>919</v>
      </c>
      <c r="I39" s="286" t="str">
        <f t="shared" si="0"/>
        <v>.</v>
      </c>
      <c r="J39" s="128">
        <v>0</v>
      </c>
      <c r="K39" s="128" t="s">
        <v>175</v>
      </c>
      <c r="L39" s="128">
        <v>9</v>
      </c>
      <c r="M39" s="249">
        <v>14.5</v>
      </c>
      <c r="N39" s="249">
        <v>1</v>
      </c>
      <c r="O39" s="249">
        <f>1-411/535</f>
        <v>0.23177570093457944</v>
      </c>
      <c r="P39" s="249">
        <f>327/535</f>
        <v>0.61121495327102804</v>
      </c>
      <c r="Q39" s="249" t="s">
        <v>52</v>
      </c>
      <c r="R39" s="249">
        <f>295/535</f>
        <v>0.55140186915887845</v>
      </c>
      <c r="S39" s="249">
        <f>1-464/535</f>
        <v>0.13271028037383181</v>
      </c>
      <c r="T39" s="128" t="s">
        <v>78</v>
      </c>
      <c r="U39" s="250" t="s">
        <v>205</v>
      </c>
      <c r="V39" s="128" t="s">
        <v>80</v>
      </c>
      <c r="W39" s="128" t="s">
        <v>78</v>
      </c>
      <c r="X39" s="128" t="s">
        <v>78</v>
      </c>
      <c r="Y39" s="128" t="s">
        <v>78</v>
      </c>
      <c r="Z39" s="128" t="s">
        <v>78</v>
      </c>
      <c r="AA39" s="236"/>
      <c r="AB39" s="128" t="s">
        <v>78</v>
      </c>
      <c r="AC39" s="128" t="s">
        <v>78</v>
      </c>
      <c r="AD39" s="128" t="s">
        <v>169</v>
      </c>
      <c r="AE39" s="128" t="s">
        <v>61</v>
      </c>
      <c r="AF39" s="60" t="s">
        <v>461</v>
      </c>
      <c r="AG39" s="147" t="s">
        <v>580</v>
      </c>
      <c r="AH39" s="128">
        <v>23.56</v>
      </c>
      <c r="AI39" s="128">
        <v>8.34</v>
      </c>
      <c r="AJ39" s="128">
        <v>535</v>
      </c>
      <c r="AK39" s="128">
        <v>32.299999999999997</v>
      </c>
      <c r="AL39" s="128">
        <v>13.83</v>
      </c>
      <c r="AM39" s="128">
        <v>535</v>
      </c>
      <c r="AN39" s="195" t="s">
        <v>52</v>
      </c>
      <c r="AO39" s="195" t="s">
        <v>52</v>
      </c>
      <c r="AP39" s="195" t="s">
        <v>52</v>
      </c>
      <c r="AQ39" s="195" t="s">
        <v>52</v>
      </c>
      <c r="AR39" s="195"/>
      <c r="AS39" s="195"/>
      <c r="AT39" s="128"/>
      <c r="AU39" s="128">
        <v>0</v>
      </c>
      <c r="AV39" s="63"/>
      <c r="AW39" s="63"/>
    </row>
    <row r="40" spans="1:49" ht="17" customHeight="1">
      <c r="A40" s="117" t="s">
        <v>176</v>
      </c>
      <c r="B40" s="117">
        <v>110</v>
      </c>
      <c r="C40" s="130" t="s">
        <v>177</v>
      </c>
      <c r="D40" s="88" t="s">
        <v>454</v>
      </c>
      <c r="E40" s="88" t="s">
        <v>66</v>
      </c>
      <c r="F40" s="130" t="s">
        <v>49</v>
      </c>
      <c r="G40" s="88" t="s">
        <v>50</v>
      </c>
      <c r="H40" s="288" t="s">
        <v>930</v>
      </c>
      <c r="I40" s="285" t="str">
        <f t="shared" si="0"/>
        <v xml:space="preserve">m </v>
      </c>
      <c r="J40" s="127">
        <v>1</v>
      </c>
      <c r="K40" s="127" t="s">
        <v>178</v>
      </c>
      <c r="L40" s="127">
        <v>5</v>
      </c>
      <c r="M40" s="247">
        <v>9.57</v>
      </c>
      <c r="N40" s="247">
        <v>1</v>
      </c>
      <c r="O40" s="247" t="s">
        <v>52</v>
      </c>
      <c r="P40" s="247">
        <v>1</v>
      </c>
      <c r="Q40" s="247" t="s">
        <v>52</v>
      </c>
      <c r="R40" s="247">
        <f>40/76</f>
        <v>0.52631578947368418</v>
      </c>
      <c r="S40" s="247" t="s">
        <v>52</v>
      </c>
      <c r="T40" s="127" t="s">
        <v>92</v>
      </c>
      <c r="U40" s="248" t="s">
        <v>179</v>
      </c>
      <c r="V40" s="127" t="s">
        <v>71</v>
      </c>
      <c r="W40" s="184" t="s">
        <v>153</v>
      </c>
      <c r="X40" s="127" t="s">
        <v>163</v>
      </c>
      <c r="Y40" s="127" t="s">
        <v>58</v>
      </c>
      <c r="Z40" s="239">
        <f>6*5*AB40+2*30</f>
        <v>1860</v>
      </c>
      <c r="AA40" s="232">
        <v>6</v>
      </c>
      <c r="AB40" s="127">
        <v>60</v>
      </c>
      <c r="AC40" s="127" t="s">
        <v>148</v>
      </c>
      <c r="AD40" s="127" t="s">
        <v>180</v>
      </c>
      <c r="AE40" s="127" t="s">
        <v>61</v>
      </c>
      <c r="AF40" s="60" t="s">
        <v>461</v>
      </c>
      <c r="AG40" s="146" t="s">
        <v>52</v>
      </c>
      <c r="AH40" s="202">
        <v>21</v>
      </c>
      <c r="AI40" s="202">
        <v>3.35</v>
      </c>
      <c r="AJ40" s="253">
        <f>76/3</f>
        <v>25.333333333333332</v>
      </c>
      <c r="AK40" s="202">
        <v>24.54</v>
      </c>
      <c r="AL40" s="202">
        <v>2.98</v>
      </c>
      <c r="AM40" s="253">
        <f>76/3</f>
        <v>25.333333333333332</v>
      </c>
      <c r="AN40" s="194" t="s">
        <v>52</v>
      </c>
      <c r="AO40" s="194" t="s">
        <v>52</v>
      </c>
      <c r="AP40" s="194" t="s">
        <v>52</v>
      </c>
      <c r="AQ40" s="194" t="s">
        <v>52</v>
      </c>
      <c r="AR40" s="194"/>
      <c r="AS40" s="194"/>
      <c r="AU40" s="202">
        <v>0</v>
      </c>
      <c r="AV40" s="60" t="s">
        <v>225</v>
      </c>
      <c r="AW40" s="60" t="s">
        <v>211</v>
      </c>
    </row>
    <row r="41" spans="1:49" ht="17" customHeight="1">
      <c r="A41" s="117"/>
      <c r="B41" s="117"/>
      <c r="G41" s="130"/>
      <c r="I41" s="285" t="str">
        <f t="shared" si="0"/>
        <v/>
      </c>
      <c r="AA41" s="232"/>
      <c r="AD41" s="127" t="s">
        <v>181</v>
      </c>
      <c r="AE41" s="127" t="s">
        <v>95</v>
      </c>
      <c r="AF41" s="60" t="s">
        <v>461</v>
      </c>
      <c r="AG41" s="146" t="s">
        <v>581</v>
      </c>
      <c r="AH41" s="127">
        <v>34.67</v>
      </c>
      <c r="AI41" s="127">
        <v>24.15</v>
      </c>
      <c r="AJ41" s="184">
        <f>76/3</f>
        <v>25.333333333333332</v>
      </c>
      <c r="AK41" s="127">
        <v>66.63</v>
      </c>
      <c r="AL41" s="127">
        <v>30.28</v>
      </c>
      <c r="AM41" s="184">
        <f>76/3</f>
        <v>25.333333333333332</v>
      </c>
      <c r="AN41" s="194" t="s">
        <v>52</v>
      </c>
      <c r="AO41" s="194" t="s">
        <v>52</v>
      </c>
      <c r="AP41" s="194" t="s">
        <v>52</v>
      </c>
      <c r="AQ41" s="194" t="s">
        <v>52</v>
      </c>
      <c r="AR41" s="194"/>
      <c r="AS41" s="194"/>
      <c r="AU41" s="127">
        <v>0</v>
      </c>
    </row>
    <row r="42" spans="1:49" ht="17" customHeight="1">
      <c r="A42" s="117"/>
      <c r="B42" s="117"/>
      <c r="H42" s="285" t="s">
        <v>919</v>
      </c>
      <c r="I42" s="285" t="str">
        <f t="shared" si="0"/>
        <v xml:space="preserve">m </v>
      </c>
      <c r="J42" s="127">
        <v>2</v>
      </c>
      <c r="K42" s="127" t="s">
        <v>182</v>
      </c>
      <c r="L42" s="127">
        <v>5</v>
      </c>
      <c r="M42" s="247">
        <v>9.57</v>
      </c>
      <c r="N42" s="247">
        <v>1</v>
      </c>
      <c r="O42" s="247" t="s">
        <v>52</v>
      </c>
      <c r="P42" s="247">
        <v>1</v>
      </c>
      <c r="Q42" s="247" t="s">
        <v>52</v>
      </c>
      <c r="R42" s="247">
        <f>40/76</f>
        <v>0.52631578947368418</v>
      </c>
      <c r="S42" s="247" t="s">
        <v>52</v>
      </c>
      <c r="T42" s="127" t="s">
        <v>92</v>
      </c>
      <c r="U42" s="248" t="s">
        <v>179</v>
      </c>
      <c r="V42" s="127" t="s">
        <v>71</v>
      </c>
      <c r="W42" s="184" t="s">
        <v>153</v>
      </c>
      <c r="X42" s="127" t="s">
        <v>163</v>
      </c>
      <c r="Y42" s="127" t="s">
        <v>58</v>
      </c>
      <c r="Z42" s="239">
        <f>6*5*AB42</f>
        <v>1800</v>
      </c>
      <c r="AA42" s="232">
        <v>6</v>
      </c>
      <c r="AB42" s="127">
        <v>60</v>
      </c>
      <c r="AC42" s="127" t="s">
        <v>148</v>
      </c>
      <c r="AD42" s="127" t="s">
        <v>180</v>
      </c>
      <c r="AE42" s="127" t="s">
        <v>61</v>
      </c>
      <c r="AF42" s="60" t="s">
        <v>461</v>
      </c>
      <c r="AG42" s="146" t="s">
        <v>52</v>
      </c>
      <c r="AH42" s="127">
        <v>17.13</v>
      </c>
      <c r="AI42" s="127">
        <v>7.93</v>
      </c>
      <c r="AJ42" s="184">
        <f t="shared" ref="AJ42:AJ45" si="2">76/3</f>
        <v>25.333333333333332</v>
      </c>
      <c r="AK42" s="127">
        <v>21.65</v>
      </c>
      <c r="AL42" s="127">
        <v>6.14</v>
      </c>
      <c r="AM42" s="184">
        <f t="shared" ref="AM42:AM45" si="3">76/3</f>
        <v>25.333333333333332</v>
      </c>
      <c r="AN42" s="194" t="s">
        <v>52</v>
      </c>
      <c r="AO42" s="194" t="s">
        <v>52</v>
      </c>
      <c r="AP42" s="194" t="s">
        <v>52</v>
      </c>
      <c r="AQ42" s="194" t="s">
        <v>52</v>
      </c>
      <c r="AR42" s="194"/>
      <c r="AS42" s="194"/>
      <c r="AU42" s="127">
        <v>0</v>
      </c>
    </row>
    <row r="43" spans="1:49" ht="17" customHeight="1">
      <c r="A43" s="117"/>
      <c r="B43" s="117"/>
      <c r="G43" s="130"/>
      <c r="I43" s="285" t="str">
        <f t="shared" si="0"/>
        <v/>
      </c>
      <c r="AA43" s="232"/>
      <c r="AD43" s="127" t="s">
        <v>181</v>
      </c>
      <c r="AE43" s="127" t="s">
        <v>95</v>
      </c>
      <c r="AF43" s="60" t="s">
        <v>461</v>
      </c>
      <c r="AG43" s="146" t="s">
        <v>581</v>
      </c>
      <c r="AH43" s="127">
        <v>13.84</v>
      </c>
      <c r="AI43" s="127">
        <v>13.17</v>
      </c>
      <c r="AJ43" s="184">
        <f t="shared" si="2"/>
        <v>25.333333333333332</v>
      </c>
      <c r="AK43" s="127">
        <v>30.32</v>
      </c>
      <c r="AL43" s="127">
        <v>22.26</v>
      </c>
      <c r="AM43" s="184">
        <f t="shared" si="3"/>
        <v>25.333333333333332</v>
      </c>
      <c r="AN43" s="194" t="s">
        <v>52</v>
      </c>
      <c r="AO43" s="194" t="s">
        <v>52</v>
      </c>
      <c r="AP43" s="194" t="s">
        <v>52</v>
      </c>
      <c r="AQ43" s="194" t="s">
        <v>52</v>
      </c>
      <c r="AR43" s="194"/>
      <c r="AS43" s="194"/>
      <c r="AU43" s="127">
        <v>0</v>
      </c>
    </row>
    <row r="44" spans="1:49" ht="17" customHeight="1">
      <c r="A44" s="117"/>
      <c r="B44" s="117"/>
      <c r="H44" s="285" t="s">
        <v>919</v>
      </c>
      <c r="I44" s="285" t="str">
        <f t="shared" si="0"/>
        <v>.</v>
      </c>
      <c r="J44" s="127">
        <v>0</v>
      </c>
      <c r="K44" s="127" t="s">
        <v>63</v>
      </c>
      <c r="L44" s="127">
        <v>5</v>
      </c>
      <c r="M44" s="247">
        <v>9.57</v>
      </c>
      <c r="N44" s="247">
        <v>1</v>
      </c>
      <c r="O44" s="247" t="s">
        <v>52</v>
      </c>
      <c r="P44" s="247">
        <v>1</v>
      </c>
      <c r="Q44" s="247" t="s">
        <v>52</v>
      </c>
      <c r="R44" s="247">
        <f>40/76</f>
        <v>0.52631578947368418</v>
      </c>
      <c r="S44" s="247" t="s">
        <v>52</v>
      </c>
      <c r="T44" s="127" t="s">
        <v>78</v>
      </c>
      <c r="U44" s="248" t="s">
        <v>183</v>
      </c>
      <c r="V44" s="127" t="s">
        <v>80</v>
      </c>
      <c r="W44" s="127" t="s">
        <v>78</v>
      </c>
      <c r="X44" s="127" t="s">
        <v>78</v>
      </c>
      <c r="Y44" s="127" t="s">
        <v>78</v>
      </c>
      <c r="Z44" s="127" t="s">
        <v>78</v>
      </c>
      <c r="AA44" s="232" t="s">
        <v>78</v>
      </c>
      <c r="AB44" s="127" t="s">
        <v>78</v>
      </c>
      <c r="AC44" s="127" t="s">
        <v>78</v>
      </c>
      <c r="AD44" s="127" t="s">
        <v>180</v>
      </c>
      <c r="AE44" s="127" t="s">
        <v>61</v>
      </c>
      <c r="AF44" s="60" t="s">
        <v>461</v>
      </c>
      <c r="AG44" s="146" t="s">
        <v>52</v>
      </c>
      <c r="AH44" s="127">
        <v>18.05</v>
      </c>
      <c r="AI44" s="127">
        <v>4.9400000000000004</v>
      </c>
      <c r="AJ44" s="184">
        <f t="shared" si="2"/>
        <v>25.333333333333332</v>
      </c>
      <c r="AK44" s="127">
        <v>17.8</v>
      </c>
      <c r="AL44" s="127">
        <v>4.93</v>
      </c>
      <c r="AM44" s="184">
        <f t="shared" si="3"/>
        <v>25.333333333333332</v>
      </c>
      <c r="AN44" s="194" t="s">
        <v>52</v>
      </c>
      <c r="AO44" s="194" t="s">
        <v>52</v>
      </c>
      <c r="AP44" s="194" t="s">
        <v>52</v>
      </c>
      <c r="AQ44" s="194" t="s">
        <v>52</v>
      </c>
      <c r="AR44" s="194"/>
      <c r="AS44" s="194"/>
      <c r="AU44" s="127">
        <v>0</v>
      </c>
    </row>
    <row r="45" spans="1:49" ht="17" customHeight="1">
      <c r="A45" s="123"/>
      <c r="B45" s="123"/>
      <c r="C45" s="132"/>
      <c r="D45" s="89"/>
      <c r="E45" s="89"/>
      <c r="F45" s="132"/>
      <c r="G45" s="132"/>
      <c r="H45" s="286"/>
      <c r="I45" s="286" t="str">
        <f t="shared" si="0"/>
        <v/>
      </c>
      <c r="J45" s="128"/>
      <c r="K45" s="128"/>
      <c r="L45" s="128"/>
      <c r="M45" s="249"/>
      <c r="N45" s="249"/>
      <c r="O45" s="249"/>
      <c r="P45" s="249"/>
      <c r="Q45" s="249"/>
      <c r="R45" s="249"/>
      <c r="S45" s="249"/>
      <c r="T45" s="128"/>
      <c r="U45" s="250"/>
      <c r="V45" s="128"/>
      <c r="W45" s="128"/>
      <c r="X45" s="128"/>
      <c r="Y45" s="128"/>
      <c r="Z45" s="128"/>
      <c r="AA45" s="236"/>
      <c r="AB45" s="128"/>
      <c r="AC45" s="128"/>
      <c r="AD45" s="128" t="s">
        <v>181</v>
      </c>
      <c r="AE45" s="128" t="s">
        <v>95</v>
      </c>
      <c r="AF45" s="60" t="s">
        <v>461</v>
      </c>
      <c r="AG45" s="147" t="s">
        <v>581</v>
      </c>
      <c r="AH45" s="128">
        <v>30.81</v>
      </c>
      <c r="AI45" s="128">
        <v>28.05</v>
      </c>
      <c r="AJ45" s="185">
        <f t="shared" si="2"/>
        <v>25.333333333333332</v>
      </c>
      <c r="AK45" s="128">
        <v>45.08</v>
      </c>
      <c r="AL45" s="128">
        <v>35.479999999999997</v>
      </c>
      <c r="AM45" s="185">
        <f t="shared" si="3"/>
        <v>25.333333333333332</v>
      </c>
      <c r="AN45" s="204" t="s">
        <v>52</v>
      </c>
      <c r="AO45" s="204" t="s">
        <v>52</v>
      </c>
      <c r="AP45" s="204" t="s">
        <v>52</v>
      </c>
      <c r="AQ45" s="204" t="s">
        <v>52</v>
      </c>
      <c r="AR45" s="195"/>
      <c r="AS45" s="195"/>
      <c r="AT45" s="128"/>
      <c r="AU45" s="128">
        <v>0</v>
      </c>
      <c r="AV45" s="63"/>
      <c r="AW45" s="63"/>
    </row>
    <row r="46" spans="1:49" ht="17" customHeight="1">
      <c r="A46" s="117" t="s">
        <v>237</v>
      </c>
      <c r="B46" s="117">
        <v>111</v>
      </c>
      <c r="C46" s="130" t="s">
        <v>238</v>
      </c>
      <c r="D46" s="88" t="s">
        <v>454</v>
      </c>
      <c r="E46" s="88" t="s">
        <v>66</v>
      </c>
      <c r="F46" s="130" t="s">
        <v>49</v>
      </c>
      <c r="G46" s="88" t="s">
        <v>239</v>
      </c>
      <c r="H46" s="288" t="s">
        <v>924</v>
      </c>
      <c r="I46" s="285" t="str">
        <f t="shared" si="0"/>
        <v xml:space="preserve">m </v>
      </c>
      <c r="J46" s="127">
        <v>1</v>
      </c>
      <c r="K46" s="127" t="s">
        <v>240</v>
      </c>
      <c r="L46" s="127">
        <v>5</v>
      </c>
      <c r="M46" s="247">
        <v>11</v>
      </c>
      <c r="N46" s="247" t="s">
        <v>52</v>
      </c>
      <c r="O46" s="247" t="s">
        <v>52</v>
      </c>
      <c r="P46" s="230">
        <v>1</v>
      </c>
      <c r="Q46" s="247">
        <v>1</v>
      </c>
      <c r="R46" s="247">
        <v>0</v>
      </c>
      <c r="S46" s="247" t="s">
        <v>52</v>
      </c>
      <c r="T46" s="127" t="s">
        <v>92</v>
      </c>
      <c r="U46" s="248" t="s">
        <v>241</v>
      </c>
      <c r="V46" s="127" t="s">
        <v>55</v>
      </c>
      <c r="W46" s="254" t="s">
        <v>153</v>
      </c>
      <c r="X46" s="127" t="s">
        <v>163</v>
      </c>
      <c r="Y46" s="127" t="s">
        <v>58</v>
      </c>
      <c r="Z46" s="187">
        <f>16*5*AB46</f>
        <v>4000</v>
      </c>
      <c r="AA46" s="232">
        <v>80</v>
      </c>
      <c r="AB46" s="127">
        <v>50</v>
      </c>
      <c r="AC46" s="127" t="s">
        <v>148</v>
      </c>
      <c r="AD46" s="127" t="s">
        <v>242</v>
      </c>
      <c r="AE46" s="127" t="s">
        <v>95</v>
      </c>
      <c r="AF46" s="60" t="s">
        <v>461</v>
      </c>
      <c r="AG46" s="146" t="s">
        <v>52</v>
      </c>
      <c r="AH46" s="202" t="s">
        <v>52</v>
      </c>
      <c r="AI46" s="202" t="s">
        <v>52</v>
      </c>
      <c r="AJ46" s="202" t="s">
        <v>52</v>
      </c>
      <c r="AK46" s="127">
        <v>82.22</v>
      </c>
      <c r="AL46" s="127">
        <v>18.12</v>
      </c>
      <c r="AM46" s="127">
        <v>32</v>
      </c>
      <c r="AN46" s="203" t="s">
        <v>52</v>
      </c>
      <c r="AO46" s="203" t="s">
        <v>52</v>
      </c>
      <c r="AP46" s="203" t="s">
        <v>52</v>
      </c>
      <c r="AQ46" s="203" t="s">
        <v>52</v>
      </c>
      <c r="AR46" s="194"/>
      <c r="AS46" s="194"/>
      <c r="AU46" s="127">
        <v>0</v>
      </c>
      <c r="AV46" s="60" t="s">
        <v>243</v>
      </c>
      <c r="AW46" s="127"/>
    </row>
    <row r="47" spans="1:49" s="128" customFormat="1" ht="17" customHeight="1">
      <c r="A47" s="117"/>
      <c r="B47" s="117"/>
      <c r="C47" s="132"/>
      <c r="D47" s="88"/>
      <c r="E47" s="89"/>
      <c r="F47" s="132"/>
      <c r="G47" s="89"/>
      <c r="H47" s="286" t="s">
        <v>919</v>
      </c>
      <c r="I47" s="286" t="str">
        <f t="shared" si="0"/>
        <v>.</v>
      </c>
      <c r="J47" s="128">
        <v>0</v>
      </c>
      <c r="K47" s="128" t="s">
        <v>126</v>
      </c>
      <c r="L47" s="128">
        <v>5</v>
      </c>
      <c r="M47" s="249">
        <v>11</v>
      </c>
      <c r="N47" s="249" t="s">
        <v>52</v>
      </c>
      <c r="O47" s="249" t="s">
        <v>52</v>
      </c>
      <c r="P47" s="234">
        <v>1</v>
      </c>
      <c r="Q47" s="249">
        <v>1</v>
      </c>
      <c r="R47" s="249">
        <v>0</v>
      </c>
      <c r="S47" s="249" t="s">
        <v>52</v>
      </c>
      <c r="T47" s="128" t="s">
        <v>78</v>
      </c>
      <c r="U47" s="250" t="s">
        <v>244</v>
      </c>
      <c r="V47" s="128" t="s">
        <v>80</v>
      </c>
      <c r="W47" s="128" t="s">
        <v>78</v>
      </c>
      <c r="X47" s="128" t="s">
        <v>78</v>
      </c>
      <c r="Y47" s="128" t="s">
        <v>78</v>
      </c>
      <c r="Z47" s="128" t="s">
        <v>78</v>
      </c>
      <c r="AA47" s="236" t="s">
        <v>78</v>
      </c>
      <c r="AB47" s="128" t="s">
        <v>78</v>
      </c>
      <c r="AC47" s="128" t="s">
        <v>78</v>
      </c>
      <c r="AD47" s="128" t="s">
        <v>242</v>
      </c>
      <c r="AE47" s="128" t="s">
        <v>95</v>
      </c>
      <c r="AF47" s="60" t="s">
        <v>461</v>
      </c>
      <c r="AG47" s="146" t="s">
        <v>52</v>
      </c>
      <c r="AH47" s="128" t="s">
        <v>52</v>
      </c>
      <c r="AI47" s="128" t="s">
        <v>52</v>
      </c>
      <c r="AJ47" s="128" t="s">
        <v>52</v>
      </c>
      <c r="AK47" s="128">
        <v>47.18</v>
      </c>
      <c r="AL47" s="128">
        <v>23.85</v>
      </c>
      <c r="AM47" s="128">
        <v>34</v>
      </c>
      <c r="AN47" s="203" t="s">
        <v>52</v>
      </c>
      <c r="AO47" s="203" t="s">
        <v>52</v>
      </c>
      <c r="AP47" s="203" t="s">
        <v>52</v>
      </c>
      <c r="AQ47" s="203" t="s">
        <v>52</v>
      </c>
      <c r="AR47" s="194"/>
      <c r="AS47" s="194"/>
      <c r="AU47" s="128">
        <v>0</v>
      </c>
      <c r="AV47" s="63"/>
    </row>
    <row r="48" spans="1:49" ht="17" customHeight="1">
      <c r="A48" s="338" t="s">
        <v>274</v>
      </c>
      <c r="B48" s="338">
        <v>112</v>
      </c>
      <c r="C48" s="130" t="s">
        <v>245</v>
      </c>
      <c r="D48" s="144" t="s">
        <v>535</v>
      </c>
      <c r="E48" s="88" t="s">
        <v>66</v>
      </c>
      <c r="F48" s="130" t="s">
        <v>49</v>
      </c>
      <c r="G48" s="88" t="s">
        <v>239</v>
      </c>
      <c r="H48" s="285" t="s">
        <v>922</v>
      </c>
      <c r="I48" s="285" t="str">
        <f t="shared" si="0"/>
        <v xml:space="preserve">m </v>
      </c>
      <c r="J48" s="127">
        <v>1</v>
      </c>
      <c r="K48" s="127" t="s">
        <v>246</v>
      </c>
      <c r="L48" s="127">
        <v>3</v>
      </c>
      <c r="M48" s="252">
        <v>8.5</v>
      </c>
      <c r="N48" s="252" t="s">
        <v>52</v>
      </c>
      <c r="O48" s="252" t="s">
        <v>52</v>
      </c>
      <c r="P48" s="255" t="s">
        <v>52</v>
      </c>
      <c r="Q48" s="252" t="s">
        <v>52</v>
      </c>
      <c r="R48" s="252" t="s">
        <v>52</v>
      </c>
      <c r="S48" s="252">
        <v>0.1</v>
      </c>
      <c r="T48" s="127" t="s">
        <v>92</v>
      </c>
      <c r="U48" s="248" t="s">
        <v>247</v>
      </c>
      <c r="V48" s="127" t="s">
        <v>71</v>
      </c>
      <c r="W48" s="127" t="s">
        <v>56</v>
      </c>
      <c r="X48" s="127" t="s">
        <v>163</v>
      </c>
      <c r="Y48" s="127" t="s">
        <v>58</v>
      </c>
      <c r="Z48" s="127" t="s">
        <v>290</v>
      </c>
      <c r="AA48" s="232">
        <v>40</v>
      </c>
      <c r="AB48" s="127" t="s">
        <v>248</v>
      </c>
      <c r="AC48" s="127" t="s">
        <v>59</v>
      </c>
      <c r="AD48" s="127" t="s">
        <v>249</v>
      </c>
      <c r="AE48" s="127" t="s">
        <v>61</v>
      </c>
      <c r="AF48" s="60" t="s">
        <v>461</v>
      </c>
      <c r="AG48" s="148" t="s">
        <v>582</v>
      </c>
      <c r="AH48" s="127">
        <v>17.8</v>
      </c>
      <c r="AI48" s="127">
        <v>5.58</v>
      </c>
      <c r="AJ48" s="198">
        <v>155</v>
      </c>
      <c r="AK48" s="198">
        <v>21.47</v>
      </c>
      <c r="AL48" s="198">
        <v>5.75</v>
      </c>
      <c r="AM48" s="198">
        <v>155</v>
      </c>
      <c r="AN48" s="211" t="s">
        <v>52</v>
      </c>
      <c r="AO48" s="211" t="s">
        <v>52</v>
      </c>
      <c r="AP48" s="211" t="s">
        <v>52</v>
      </c>
      <c r="AQ48" s="211" t="s">
        <v>52</v>
      </c>
      <c r="AR48" s="196"/>
      <c r="AS48" s="196"/>
      <c r="AU48" s="127">
        <v>0</v>
      </c>
      <c r="AV48" s="60" t="s">
        <v>74</v>
      </c>
      <c r="AW48" s="127"/>
    </row>
    <row r="49" spans="1:50" s="128" customFormat="1" ht="17" customHeight="1">
      <c r="A49" s="123"/>
      <c r="B49" s="123"/>
      <c r="C49" s="132"/>
      <c r="D49" s="89"/>
      <c r="E49" s="89"/>
      <c r="F49" s="132"/>
      <c r="G49" s="89"/>
      <c r="H49" s="286" t="s">
        <v>919</v>
      </c>
      <c r="I49" s="286" t="str">
        <f t="shared" si="0"/>
        <v xml:space="preserve">m </v>
      </c>
      <c r="J49" s="128">
        <v>0</v>
      </c>
      <c r="K49" s="128" t="s">
        <v>250</v>
      </c>
      <c r="L49" s="128">
        <v>3</v>
      </c>
      <c r="M49" s="249">
        <v>8.5</v>
      </c>
      <c r="N49" s="249" t="s">
        <v>52</v>
      </c>
      <c r="O49" s="249" t="s">
        <v>52</v>
      </c>
      <c r="P49" s="234" t="s">
        <v>52</v>
      </c>
      <c r="Q49" s="249" t="s">
        <v>52</v>
      </c>
      <c r="R49" s="249" t="s">
        <v>52</v>
      </c>
      <c r="S49" s="249">
        <v>0.1</v>
      </c>
      <c r="T49" s="128" t="s">
        <v>92</v>
      </c>
      <c r="U49" s="250" t="s">
        <v>251</v>
      </c>
      <c r="V49" s="128" t="s">
        <v>80</v>
      </c>
      <c r="W49" s="128" t="s">
        <v>78</v>
      </c>
      <c r="X49" s="128" t="s">
        <v>78</v>
      </c>
      <c r="Y49" s="128" t="s">
        <v>78</v>
      </c>
      <c r="Z49" s="128" t="s">
        <v>78</v>
      </c>
      <c r="AA49" s="236" t="s">
        <v>78</v>
      </c>
      <c r="AB49" s="128" t="s">
        <v>78</v>
      </c>
      <c r="AC49" s="128" t="s">
        <v>78</v>
      </c>
      <c r="AD49" s="128" t="s">
        <v>249</v>
      </c>
      <c r="AE49" s="128" t="s">
        <v>61</v>
      </c>
      <c r="AF49" s="60" t="s">
        <v>461</v>
      </c>
      <c r="AG49" s="147" t="s">
        <v>582</v>
      </c>
      <c r="AH49" s="128">
        <v>18.18</v>
      </c>
      <c r="AI49" s="128">
        <v>5.88</v>
      </c>
      <c r="AJ49" s="113">
        <v>172</v>
      </c>
      <c r="AK49" s="113">
        <v>21.66</v>
      </c>
      <c r="AL49" s="113">
        <v>6.02</v>
      </c>
      <c r="AM49" s="113">
        <v>172</v>
      </c>
      <c r="AN49" s="204" t="s">
        <v>52</v>
      </c>
      <c r="AO49" s="204" t="s">
        <v>52</v>
      </c>
      <c r="AP49" s="204" t="s">
        <v>52</v>
      </c>
      <c r="AQ49" s="204" t="s">
        <v>52</v>
      </c>
      <c r="AR49" s="195"/>
      <c r="AS49" s="195"/>
      <c r="AU49" s="128">
        <v>0</v>
      </c>
      <c r="AV49" s="63"/>
    </row>
    <row r="50" spans="1:50" ht="17" customHeight="1">
      <c r="A50" s="339" t="s">
        <v>252</v>
      </c>
      <c r="B50" s="339">
        <v>113</v>
      </c>
      <c r="C50" s="130" t="s">
        <v>47</v>
      </c>
      <c r="D50" s="88" t="s">
        <v>454</v>
      </c>
      <c r="E50" s="88" t="s">
        <v>66</v>
      </c>
      <c r="F50" s="130" t="s">
        <v>49</v>
      </c>
      <c r="G50" s="88" t="s">
        <v>239</v>
      </c>
      <c r="H50" s="288" t="s">
        <v>924</v>
      </c>
      <c r="I50" s="285" t="str">
        <f t="shared" si="0"/>
        <v xml:space="preserve">m </v>
      </c>
      <c r="J50" s="127">
        <v>1</v>
      </c>
      <c r="K50" s="127" t="s">
        <v>253</v>
      </c>
      <c r="L50" s="127">
        <v>4</v>
      </c>
      <c r="M50" s="247">
        <v>9.5</v>
      </c>
      <c r="N50" s="247" t="s">
        <v>52</v>
      </c>
      <c r="O50" s="247" t="s">
        <v>52</v>
      </c>
      <c r="P50" s="230" t="s">
        <v>52</v>
      </c>
      <c r="Q50" s="247" t="s">
        <v>52</v>
      </c>
      <c r="R50" s="247" t="s">
        <v>52</v>
      </c>
      <c r="S50" s="247">
        <f>1-0.68</f>
        <v>0.31999999999999995</v>
      </c>
      <c r="T50" s="127" t="s">
        <v>92</v>
      </c>
      <c r="U50" s="248" t="s">
        <v>254</v>
      </c>
      <c r="V50" s="127" t="s">
        <v>55</v>
      </c>
      <c r="W50" s="127" t="s">
        <v>153</v>
      </c>
      <c r="X50" s="127" t="s">
        <v>163</v>
      </c>
      <c r="Y50" s="127" t="s">
        <v>58</v>
      </c>
      <c r="Z50" s="127">
        <f>12*5*AB50</f>
        <v>5400</v>
      </c>
      <c r="AA50" s="232">
        <v>60</v>
      </c>
      <c r="AB50" s="127">
        <v>90</v>
      </c>
      <c r="AC50" s="127" t="s">
        <v>59</v>
      </c>
      <c r="AD50" s="127" t="s">
        <v>255</v>
      </c>
      <c r="AE50" s="127" t="s">
        <v>61</v>
      </c>
      <c r="AF50" s="118" t="s">
        <v>461</v>
      </c>
      <c r="AG50" s="149" t="s">
        <v>52</v>
      </c>
      <c r="AH50" s="202" t="s">
        <v>52</v>
      </c>
      <c r="AI50" s="202" t="s">
        <v>52</v>
      </c>
      <c r="AJ50" s="127" t="s">
        <v>52</v>
      </c>
      <c r="AK50" s="79">
        <v>516.6</v>
      </c>
      <c r="AL50" s="79">
        <v>28.39</v>
      </c>
      <c r="AM50" s="112">
        <f>492*(5/(5+7+3))</f>
        <v>164</v>
      </c>
      <c r="AN50" s="203" t="s">
        <v>52</v>
      </c>
      <c r="AO50" s="203" t="s">
        <v>52</v>
      </c>
      <c r="AP50" s="203" t="s">
        <v>52</v>
      </c>
      <c r="AQ50" s="203" t="s">
        <v>52</v>
      </c>
      <c r="AR50" s="197"/>
      <c r="AS50" s="197"/>
      <c r="AU50" s="127">
        <v>0</v>
      </c>
      <c r="AV50" s="60" t="s">
        <v>256</v>
      </c>
      <c r="AW50" s="127"/>
    </row>
    <row r="51" spans="1:50" ht="17" customHeight="1">
      <c r="A51" s="339"/>
      <c r="B51" s="339"/>
      <c r="D51" s="145"/>
      <c r="G51" s="130"/>
      <c r="I51" s="285" t="str">
        <f t="shared" si="0"/>
        <v/>
      </c>
      <c r="P51" s="230"/>
      <c r="AA51" s="232"/>
      <c r="AD51" s="127" t="s">
        <v>257</v>
      </c>
      <c r="AE51" s="127" t="s">
        <v>95</v>
      </c>
      <c r="AF51" s="118" t="s">
        <v>461</v>
      </c>
      <c r="AG51" s="149" t="s">
        <v>583</v>
      </c>
      <c r="AH51" s="127" t="s">
        <v>52</v>
      </c>
      <c r="AI51" s="127" t="s">
        <v>52</v>
      </c>
      <c r="AJ51" s="127" t="s">
        <v>52</v>
      </c>
      <c r="AK51" s="79">
        <v>4.3</v>
      </c>
      <c r="AL51" s="79">
        <v>0.67</v>
      </c>
      <c r="AM51" s="112">
        <f>492*(5/(5+7+3))</f>
        <v>164</v>
      </c>
      <c r="AN51" s="203" t="s">
        <v>52</v>
      </c>
      <c r="AO51" s="203" t="s">
        <v>52</v>
      </c>
      <c r="AP51" s="203" t="s">
        <v>52</v>
      </c>
      <c r="AQ51" s="203" t="s">
        <v>52</v>
      </c>
      <c r="AR51" s="197"/>
      <c r="AS51" s="197"/>
      <c r="AU51" s="127">
        <v>0</v>
      </c>
      <c r="AV51" s="60" t="s">
        <v>74</v>
      </c>
      <c r="AW51" s="127"/>
    </row>
    <row r="52" spans="1:50" ht="17" customHeight="1">
      <c r="A52" s="339"/>
      <c r="B52" s="339"/>
      <c r="D52" s="145"/>
      <c r="H52" s="285" t="s">
        <v>919</v>
      </c>
      <c r="I52" s="285" t="str">
        <f t="shared" si="0"/>
        <v xml:space="preserve">m </v>
      </c>
      <c r="J52" s="127">
        <v>2</v>
      </c>
      <c r="K52" s="127" t="s">
        <v>258</v>
      </c>
      <c r="L52" s="127">
        <v>4</v>
      </c>
      <c r="M52" s="247">
        <v>9.5</v>
      </c>
      <c r="N52" s="247" t="s">
        <v>52</v>
      </c>
      <c r="O52" s="247" t="s">
        <v>52</v>
      </c>
      <c r="P52" s="230" t="s">
        <v>52</v>
      </c>
      <c r="Q52" s="247" t="s">
        <v>52</v>
      </c>
      <c r="R52" s="247" t="s">
        <v>52</v>
      </c>
      <c r="S52" s="247">
        <f>1-0.68</f>
        <v>0.31999999999999995</v>
      </c>
      <c r="T52" s="127" t="s">
        <v>92</v>
      </c>
      <c r="U52" s="248" t="s">
        <v>259</v>
      </c>
      <c r="V52" s="127" t="s">
        <v>55</v>
      </c>
      <c r="W52" s="127" t="s">
        <v>153</v>
      </c>
      <c r="X52" s="127" t="s">
        <v>163</v>
      </c>
      <c r="Y52" s="127" t="s">
        <v>58</v>
      </c>
      <c r="Z52" s="127">
        <f>12*5*AB52</f>
        <v>5400</v>
      </c>
      <c r="AA52" s="232">
        <v>60</v>
      </c>
      <c r="AB52" s="127">
        <v>90</v>
      </c>
      <c r="AC52" s="127" t="s">
        <v>59</v>
      </c>
      <c r="AD52" s="127" t="s">
        <v>255</v>
      </c>
      <c r="AE52" s="127" t="s">
        <v>61</v>
      </c>
      <c r="AF52" s="118" t="s">
        <v>461</v>
      </c>
      <c r="AG52" s="149" t="s">
        <v>52</v>
      </c>
      <c r="AH52" s="127" t="s">
        <v>52</v>
      </c>
      <c r="AI52" s="127" t="s">
        <v>52</v>
      </c>
      <c r="AJ52" s="127" t="s">
        <v>52</v>
      </c>
      <c r="AK52" s="79">
        <v>484.86</v>
      </c>
      <c r="AL52" s="79">
        <v>16.78</v>
      </c>
      <c r="AM52" s="112">
        <f>492*(7/(5+7+3))</f>
        <v>229.6</v>
      </c>
      <c r="AN52" s="203" t="s">
        <v>52</v>
      </c>
      <c r="AO52" s="203" t="s">
        <v>52</v>
      </c>
      <c r="AP52" s="203" t="s">
        <v>52</v>
      </c>
      <c r="AQ52" s="203" t="s">
        <v>52</v>
      </c>
      <c r="AR52" s="197"/>
      <c r="AS52" s="197"/>
      <c r="AU52" s="127">
        <v>0</v>
      </c>
      <c r="AV52" s="60" t="s">
        <v>260</v>
      </c>
      <c r="AW52" s="127"/>
    </row>
    <row r="53" spans="1:50" ht="17" customHeight="1">
      <c r="A53" s="339"/>
      <c r="B53" s="339"/>
      <c r="D53" s="145"/>
      <c r="G53" s="130"/>
      <c r="I53" s="285" t="str">
        <f t="shared" si="0"/>
        <v/>
      </c>
      <c r="P53" s="230"/>
      <c r="AA53" s="232"/>
      <c r="AD53" s="127" t="s">
        <v>257</v>
      </c>
      <c r="AE53" s="127" t="s">
        <v>95</v>
      </c>
      <c r="AF53" s="118" t="s">
        <v>461</v>
      </c>
      <c r="AG53" s="149" t="s">
        <v>583</v>
      </c>
      <c r="AH53" s="127" t="s">
        <v>52</v>
      </c>
      <c r="AI53" s="127" t="s">
        <v>52</v>
      </c>
      <c r="AJ53" s="127" t="s">
        <v>52</v>
      </c>
      <c r="AK53" s="79">
        <v>3</v>
      </c>
      <c r="AL53" s="79">
        <v>0</v>
      </c>
      <c r="AM53" s="112">
        <f>492*(7/(5+7+3))</f>
        <v>229.6</v>
      </c>
      <c r="AN53" s="203" t="s">
        <v>52</v>
      </c>
      <c r="AO53" s="203" t="s">
        <v>52</v>
      </c>
      <c r="AP53" s="203" t="s">
        <v>52</v>
      </c>
      <c r="AQ53" s="203" t="s">
        <v>52</v>
      </c>
      <c r="AR53" s="197"/>
      <c r="AS53" s="197"/>
      <c r="AU53" s="127">
        <v>0</v>
      </c>
      <c r="AW53" s="127"/>
    </row>
    <row r="54" spans="1:50" ht="17" customHeight="1">
      <c r="A54" s="339"/>
      <c r="B54" s="339"/>
      <c r="D54" s="145"/>
      <c r="H54" s="285" t="s">
        <v>919</v>
      </c>
      <c r="I54" s="285" t="str">
        <f t="shared" si="0"/>
        <v>.</v>
      </c>
      <c r="J54" s="127">
        <v>0</v>
      </c>
      <c r="K54" s="127" t="s">
        <v>261</v>
      </c>
      <c r="L54" s="127">
        <v>4</v>
      </c>
      <c r="M54" s="247">
        <v>9.5</v>
      </c>
      <c r="N54" s="247" t="s">
        <v>52</v>
      </c>
      <c r="O54" s="247" t="s">
        <v>52</v>
      </c>
      <c r="P54" s="230" t="s">
        <v>52</v>
      </c>
      <c r="Q54" s="247" t="s">
        <v>52</v>
      </c>
      <c r="R54" s="247" t="s">
        <v>52</v>
      </c>
      <c r="S54" s="247">
        <f>1-0.68</f>
        <v>0.31999999999999995</v>
      </c>
      <c r="T54" s="127" t="s">
        <v>78</v>
      </c>
      <c r="U54" s="248" t="s">
        <v>262</v>
      </c>
      <c r="V54" s="127" t="s">
        <v>80</v>
      </c>
      <c r="W54" s="127" t="s">
        <v>78</v>
      </c>
      <c r="X54" s="127" t="s">
        <v>78</v>
      </c>
      <c r="Y54" s="127" t="s">
        <v>78</v>
      </c>
      <c r="Z54" s="127" t="s">
        <v>78</v>
      </c>
      <c r="AA54" s="232" t="s">
        <v>78</v>
      </c>
      <c r="AB54" s="127" t="s">
        <v>78</v>
      </c>
      <c r="AC54" s="127" t="s">
        <v>78</v>
      </c>
      <c r="AD54" s="127" t="s">
        <v>255</v>
      </c>
      <c r="AE54" s="127" t="s">
        <v>61</v>
      </c>
      <c r="AF54" s="118" t="s">
        <v>461</v>
      </c>
      <c r="AG54" s="149" t="s">
        <v>52</v>
      </c>
      <c r="AH54" s="127" t="s">
        <v>52</v>
      </c>
      <c r="AI54" s="127" t="s">
        <v>52</v>
      </c>
      <c r="AJ54" s="127" t="s">
        <v>52</v>
      </c>
      <c r="AK54" s="79">
        <v>484</v>
      </c>
      <c r="AL54" s="79">
        <v>8.7200000000000006</v>
      </c>
      <c r="AM54" s="112">
        <f>492*(3/(5+7+3))</f>
        <v>98.4</v>
      </c>
      <c r="AN54" s="203" t="s">
        <v>52</v>
      </c>
      <c r="AO54" s="203" t="s">
        <v>52</v>
      </c>
      <c r="AP54" s="203" t="s">
        <v>52</v>
      </c>
      <c r="AQ54" s="203" t="s">
        <v>52</v>
      </c>
      <c r="AR54" s="197"/>
      <c r="AS54" s="197"/>
      <c r="AU54" s="127">
        <v>0</v>
      </c>
      <c r="AW54" s="127"/>
    </row>
    <row r="55" spans="1:50" s="128" customFormat="1" ht="17" customHeight="1">
      <c r="A55" s="339"/>
      <c r="B55" s="339"/>
      <c r="C55" s="132"/>
      <c r="D55" s="145"/>
      <c r="E55" s="89"/>
      <c r="F55" s="132"/>
      <c r="G55" s="132"/>
      <c r="H55" s="286"/>
      <c r="I55" s="286" t="str">
        <f t="shared" si="0"/>
        <v/>
      </c>
      <c r="M55" s="249"/>
      <c r="N55" s="249"/>
      <c r="O55" s="249"/>
      <c r="P55" s="234"/>
      <c r="Q55" s="249"/>
      <c r="R55" s="249"/>
      <c r="S55" s="249"/>
      <c r="U55" s="250"/>
      <c r="AA55" s="236"/>
      <c r="AD55" s="128" t="s">
        <v>257</v>
      </c>
      <c r="AE55" s="128" t="s">
        <v>95</v>
      </c>
      <c r="AF55" s="118" t="s">
        <v>461</v>
      </c>
      <c r="AG55" s="149" t="s">
        <v>583</v>
      </c>
      <c r="AH55" s="128" t="s">
        <v>52</v>
      </c>
      <c r="AI55" s="128" t="s">
        <v>52</v>
      </c>
      <c r="AJ55" s="128" t="s">
        <v>52</v>
      </c>
      <c r="AK55" s="80">
        <v>2.67</v>
      </c>
      <c r="AL55" s="80">
        <v>0.57999999999999996</v>
      </c>
      <c r="AM55" s="113">
        <f>492*(3/(5+7+3))</f>
        <v>98.4</v>
      </c>
      <c r="AN55" s="203" t="s">
        <v>52</v>
      </c>
      <c r="AO55" s="203" t="s">
        <v>52</v>
      </c>
      <c r="AP55" s="203" t="s">
        <v>52</v>
      </c>
      <c r="AQ55" s="203" t="s">
        <v>52</v>
      </c>
      <c r="AR55" s="197"/>
      <c r="AS55" s="197"/>
      <c r="AU55" s="128">
        <v>0</v>
      </c>
      <c r="AV55" s="63"/>
    </row>
    <row r="56" spans="1:50" ht="17" customHeight="1">
      <c r="A56" s="338" t="s">
        <v>288</v>
      </c>
      <c r="B56" s="338">
        <v>114</v>
      </c>
      <c r="C56" s="130" t="s">
        <v>263</v>
      </c>
      <c r="D56" s="144" t="s">
        <v>571</v>
      </c>
      <c r="E56" s="88" t="s">
        <v>66</v>
      </c>
      <c r="F56" s="130" t="s">
        <v>49</v>
      </c>
      <c r="G56" s="99" t="s">
        <v>239</v>
      </c>
      <c r="H56" s="285" t="s">
        <v>922</v>
      </c>
      <c r="I56" s="285" t="str">
        <f t="shared" si="0"/>
        <v>cm</v>
      </c>
      <c r="J56" s="127">
        <v>1</v>
      </c>
      <c r="K56" s="127" t="s">
        <v>264</v>
      </c>
      <c r="L56" s="127">
        <v>1</v>
      </c>
      <c r="M56" s="245">
        <f>7+6/12</f>
        <v>7.5</v>
      </c>
      <c r="N56" s="247">
        <v>0</v>
      </c>
      <c r="O56" s="247">
        <v>0</v>
      </c>
      <c r="P56" s="247">
        <v>0</v>
      </c>
      <c r="Q56" s="256">
        <v>0</v>
      </c>
      <c r="R56" s="247">
        <f>13/29</f>
        <v>0.44827586206896552</v>
      </c>
      <c r="S56" s="256">
        <v>0</v>
      </c>
      <c r="T56" s="257" t="s">
        <v>53</v>
      </c>
      <c r="U56" s="248" t="s">
        <v>265</v>
      </c>
      <c r="V56" s="257" t="s">
        <v>71</v>
      </c>
      <c r="W56" s="127" t="s">
        <v>153</v>
      </c>
      <c r="X56" s="127" t="s">
        <v>163</v>
      </c>
      <c r="Y56" s="127" t="s">
        <v>58</v>
      </c>
      <c r="Z56" s="127">
        <f>(4*6)*(5*2)*AB56</f>
        <v>10800</v>
      </c>
      <c r="AA56" s="232">
        <v>120</v>
      </c>
      <c r="AB56" s="184">
        <v>45</v>
      </c>
      <c r="AC56" s="127" t="s">
        <v>148</v>
      </c>
      <c r="AD56" s="127" t="s">
        <v>266</v>
      </c>
      <c r="AE56" s="127" t="s">
        <v>61</v>
      </c>
      <c r="AF56" s="60" t="s">
        <v>461</v>
      </c>
      <c r="AG56" s="148" t="s">
        <v>584</v>
      </c>
      <c r="AH56" s="127" t="s">
        <v>52</v>
      </c>
      <c r="AI56" s="127" t="s">
        <v>52</v>
      </c>
      <c r="AJ56" s="127" t="s">
        <v>52</v>
      </c>
      <c r="AK56" s="127">
        <v>84.55</v>
      </c>
      <c r="AL56" s="127">
        <v>8.77</v>
      </c>
      <c r="AM56" s="127">
        <v>29</v>
      </c>
      <c r="AN56" s="196" t="s">
        <v>52</v>
      </c>
      <c r="AO56" s="196" t="s">
        <v>52</v>
      </c>
      <c r="AP56" s="196" t="s">
        <v>52</v>
      </c>
      <c r="AQ56" s="196" t="s">
        <v>52</v>
      </c>
      <c r="AR56" s="196"/>
      <c r="AS56" s="196"/>
      <c r="AU56" s="127">
        <v>0</v>
      </c>
      <c r="AV56" s="60" t="s">
        <v>267</v>
      </c>
      <c r="AW56" s="127"/>
    </row>
    <row r="57" spans="1:50" s="128" customFormat="1" ht="17" customHeight="1">
      <c r="A57" s="340"/>
      <c r="B57" s="123"/>
      <c r="C57" s="132"/>
      <c r="D57" s="89"/>
      <c r="E57" s="89"/>
      <c r="F57" s="132"/>
      <c r="G57" s="89"/>
      <c r="H57" s="286" t="s">
        <v>919</v>
      </c>
      <c r="I57" s="286" t="str">
        <f t="shared" si="0"/>
        <v>.</v>
      </c>
      <c r="J57" s="128">
        <v>0</v>
      </c>
      <c r="K57" s="128" t="s">
        <v>268</v>
      </c>
      <c r="L57" s="128">
        <v>1</v>
      </c>
      <c r="M57" s="246">
        <f>7+6/12</f>
        <v>7.5</v>
      </c>
      <c r="N57" s="249">
        <v>0</v>
      </c>
      <c r="O57" s="249">
        <v>0</v>
      </c>
      <c r="P57" s="249">
        <v>0</v>
      </c>
      <c r="Q57" s="258">
        <v>0</v>
      </c>
      <c r="R57" s="249">
        <f>10/29</f>
        <v>0.34482758620689657</v>
      </c>
      <c r="S57" s="258">
        <v>0</v>
      </c>
      <c r="T57" s="128" t="s">
        <v>78</v>
      </c>
      <c r="U57" s="250" t="s">
        <v>269</v>
      </c>
      <c r="V57" s="128" t="s">
        <v>80</v>
      </c>
      <c r="W57" s="128" t="s">
        <v>78</v>
      </c>
      <c r="X57" s="128" t="s">
        <v>78</v>
      </c>
      <c r="Y57" s="128" t="s">
        <v>78</v>
      </c>
      <c r="Z57" s="128" t="s">
        <v>78</v>
      </c>
      <c r="AA57" s="236" t="s">
        <v>78</v>
      </c>
      <c r="AB57" s="128" t="s">
        <v>78</v>
      </c>
      <c r="AC57" s="128" t="s">
        <v>78</v>
      </c>
      <c r="AD57" s="128" t="s">
        <v>266</v>
      </c>
      <c r="AE57" s="128" t="s">
        <v>61</v>
      </c>
      <c r="AF57" s="60" t="s">
        <v>461</v>
      </c>
      <c r="AG57" s="147" t="s">
        <v>584</v>
      </c>
      <c r="AH57" s="128" t="s">
        <v>52</v>
      </c>
      <c r="AI57" s="128" t="s">
        <v>52</v>
      </c>
      <c r="AJ57" s="128" t="s">
        <v>52</v>
      </c>
      <c r="AK57" s="128">
        <v>60.67</v>
      </c>
      <c r="AL57" s="128">
        <v>22.73</v>
      </c>
      <c r="AM57" s="128">
        <v>29</v>
      </c>
      <c r="AN57" s="195" t="s">
        <v>52</v>
      </c>
      <c r="AO57" s="195" t="s">
        <v>52</v>
      </c>
      <c r="AP57" s="195" t="s">
        <v>52</v>
      </c>
      <c r="AQ57" s="195" t="s">
        <v>52</v>
      </c>
      <c r="AR57" s="195"/>
      <c r="AS57" s="195"/>
      <c r="AU57" s="128">
        <v>0</v>
      </c>
      <c r="AV57" s="63"/>
    </row>
    <row r="58" spans="1:50" ht="17" customHeight="1">
      <c r="A58" s="117" t="s">
        <v>344</v>
      </c>
      <c r="B58" s="117">
        <v>115</v>
      </c>
      <c r="C58" s="130" t="s">
        <v>294</v>
      </c>
      <c r="D58" s="88" t="s">
        <v>572</v>
      </c>
      <c r="E58" s="88" t="s">
        <v>66</v>
      </c>
      <c r="F58" s="130" t="s">
        <v>49</v>
      </c>
      <c r="G58" s="88" t="s">
        <v>239</v>
      </c>
      <c r="H58" s="285" t="s">
        <v>922</v>
      </c>
      <c r="I58" s="285" t="str">
        <f t="shared" si="0"/>
        <v xml:space="preserve">m </v>
      </c>
      <c r="J58" s="127">
        <v>1</v>
      </c>
      <c r="K58" s="127" t="s">
        <v>295</v>
      </c>
      <c r="L58" s="247" t="s">
        <v>146</v>
      </c>
      <c r="M58" s="247">
        <v>10.5</v>
      </c>
      <c r="N58" s="247" t="s">
        <v>316</v>
      </c>
      <c r="O58" s="247">
        <f>5/103</f>
        <v>4.8543689320388349E-2</v>
      </c>
      <c r="P58" s="247">
        <v>0</v>
      </c>
      <c r="Q58" s="247">
        <f>12/103</f>
        <v>0.11650485436893204</v>
      </c>
      <c r="R58" s="247">
        <f>48/(48+55)</f>
        <v>0.46601941747572817</v>
      </c>
      <c r="S58" s="229" t="s">
        <v>52</v>
      </c>
      <c r="T58" s="127" t="s">
        <v>92</v>
      </c>
      <c r="U58" s="248" t="s">
        <v>296</v>
      </c>
      <c r="V58" s="184" t="s">
        <v>71</v>
      </c>
      <c r="W58" s="127" t="s">
        <v>153</v>
      </c>
      <c r="X58" s="127" t="s">
        <v>163</v>
      </c>
      <c r="Y58" s="127" t="s">
        <v>58</v>
      </c>
      <c r="Z58" s="127">
        <f>AA58*AB58</f>
        <v>4050</v>
      </c>
      <c r="AA58" s="127">
        <f>18*5</f>
        <v>90</v>
      </c>
      <c r="AB58" s="127">
        <f>45</f>
        <v>45</v>
      </c>
      <c r="AC58" s="127" t="s">
        <v>59</v>
      </c>
      <c r="AD58" s="127" t="s">
        <v>297</v>
      </c>
      <c r="AE58" s="127" t="s">
        <v>61</v>
      </c>
      <c r="AF58" s="60" t="s">
        <v>461</v>
      </c>
      <c r="AG58" s="146" t="s">
        <v>585</v>
      </c>
      <c r="AH58" s="259">
        <v>15.47</v>
      </c>
      <c r="AI58" s="259">
        <v>4.43</v>
      </c>
      <c r="AJ58" s="259">
        <f>55+48</f>
        <v>103</v>
      </c>
      <c r="AK58" s="259" t="s">
        <v>52</v>
      </c>
      <c r="AL58" s="259" t="s">
        <v>52</v>
      </c>
      <c r="AM58" s="259" t="s">
        <v>52</v>
      </c>
      <c r="AN58" s="194" t="s">
        <v>52</v>
      </c>
      <c r="AO58" s="194" t="s">
        <v>52</v>
      </c>
      <c r="AP58" s="194" t="s">
        <v>52</v>
      </c>
      <c r="AQ58" s="194" t="s">
        <v>52</v>
      </c>
      <c r="AR58" s="194"/>
      <c r="AS58" s="194"/>
      <c r="AT58" s="260"/>
      <c r="AU58" s="127">
        <v>0</v>
      </c>
      <c r="AV58" s="127"/>
      <c r="AX58" s="60"/>
    </row>
    <row r="59" spans="1:50" ht="17" customHeight="1">
      <c r="A59" s="117"/>
      <c r="B59" s="117"/>
      <c r="G59" s="130"/>
      <c r="I59" s="285" t="str">
        <f t="shared" si="0"/>
        <v/>
      </c>
      <c r="L59" s="247"/>
      <c r="N59" s="260"/>
      <c r="AD59" s="127" t="s">
        <v>298</v>
      </c>
      <c r="AE59" s="127" t="s">
        <v>95</v>
      </c>
      <c r="AF59" s="60" t="s">
        <v>461</v>
      </c>
      <c r="AG59" s="146" t="s">
        <v>586</v>
      </c>
      <c r="AH59" s="127" t="s">
        <v>52</v>
      </c>
      <c r="AI59" s="127" t="s">
        <v>52</v>
      </c>
      <c r="AJ59" s="127" t="s">
        <v>52</v>
      </c>
      <c r="AK59" s="127">
        <v>22.04</v>
      </c>
      <c r="AL59" s="127">
        <v>7.19</v>
      </c>
      <c r="AM59" s="157">
        <v>89</v>
      </c>
      <c r="AN59" s="194" t="s">
        <v>52</v>
      </c>
      <c r="AO59" s="194" t="s">
        <v>52</v>
      </c>
      <c r="AP59" s="194" t="s">
        <v>52</v>
      </c>
      <c r="AQ59" s="194" t="s">
        <v>52</v>
      </c>
      <c r="AR59" s="194"/>
      <c r="AS59" s="194"/>
      <c r="AT59" s="260"/>
      <c r="AU59" s="127">
        <v>0</v>
      </c>
      <c r="AV59" s="127"/>
      <c r="AX59" s="60"/>
    </row>
    <row r="60" spans="1:50" ht="17" customHeight="1">
      <c r="A60" s="117"/>
      <c r="B60" s="117"/>
      <c r="G60" s="130"/>
      <c r="I60" s="285" t="str">
        <f t="shared" si="0"/>
        <v/>
      </c>
      <c r="L60" s="247"/>
      <c r="N60" s="260"/>
      <c r="AD60" s="127" t="s">
        <v>299</v>
      </c>
      <c r="AE60" s="127" t="s">
        <v>61</v>
      </c>
      <c r="AF60" s="60" t="s">
        <v>461</v>
      </c>
      <c r="AG60" s="146" t="s">
        <v>587</v>
      </c>
      <c r="AH60" s="127" t="s">
        <v>52</v>
      </c>
      <c r="AI60" s="127" t="s">
        <v>52</v>
      </c>
      <c r="AJ60" s="127" t="s">
        <v>52</v>
      </c>
      <c r="AK60" s="127">
        <v>6.01</v>
      </c>
      <c r="AL60" s="127">
        <v>2.13</v>
      </c>
      <c r="AM60" s="157">
        <v>89</v>
      </c>
      <c r="AN60" s="194" t="s">
        <v>52</v>
      </c>
      <c r="AO60" s="194" t="s">
        <v>52</v>
      </c>
      <c r="AP60" s="194" t="s">
        <v>52</v>
      </c>
      <c r="AQ60" s="194" t="s">
        <v>52</v>
      </c>
      <c r="AR60" s="194"/>
      <c r="AS60" s="194"/>
      <c r="AT60" s="260"/>
      <c r="AU60" s="127">
        <v>0</v>
      </c>
      <c r="AV60" s="127"/>
      <c r="AX60" s="60"/>
    </row>
    <row r="61" spans="1:50" ht="17" customHeight="1">
      <c r="A61" s="117"/>
      <c r="B61" s="117"/>
      <c r="G61" s="130"/>
      <c r="I61" s="285" t="str">
        <f t="shared" si="0"/>
        <v/>
      </c>
      <c r="L61" s="247"/>
      <c r="N61" s="260"/>
      <c r="AD61" s="127" t="s">
        <v>300</v>
      </c>
      <c r="AE61" s="127" t="s">
        <v>95</v>
      </c>
      <c r="AF61" s="60" t="s">
        <v>461</v>
      </c>
      <c r="AG61" s="146" t="s">
        <v>586</v>
      </c>
      <c r="AH61" s="127" t="s">
        <v>52</v>
      </c>
      <c r="AI61" s="127" t="s">
        <v>52</v>
      </c>
      <c r="AJ61" s="127" t="s">
        <v>52</v>
      </c>
      <c r="AK61" s="127">
        <v>6.24</v>
      </c>
      <c r="AL61" s="127">
        <v>3.09</v>
      </c>
      <c r="AM61" s="157">
        <v>89</v>
      </c>
      <c r="AN61" s="194" t="s">
        <v>52</v>
      </c>
      <c r="AO61" s="194" t="s">
        <v>52</v>
      </c>
      <c r="AP61" s="194" t="s">
        <v>52</v>
      </c>
      <c r="AQ61" s="194" t="s">
        <v>52</v>
      </c>
      <c r="AR61" s="194"/>
      <c r="AS61" s="194"/>
      <c r="AT61" s="260"/>
      <c r="AU61" s="127">
        <v>0</v>
      </c>
      <c r="AV61" s="127"/>
      <c r="AX61" s="60"/>
    </row>
    <row r="62" spans="1:50" ht="17" customHeight="1">
      <c r="A62" s="117"/>
      <c r="B62" s="117"/>
      <c r="H62" s="285" t="s">
        <v>919</v>
      </c>
      <c r="I62" s="285" t="str">
        <f t="shared" si="0"/>
        <v>.</v>
      </c>
      <c r="J62" s="127">
        <v>0</v>
      </c>
      <c r="K62" s="127" t="s">
        <v>301</v>
      </c>
      <c r="L62" s="247" t="s">
        <v>146</v>
      </c>
      <c r="M62" s="247">
        <v>10.5</v>
      </c>
      <c r="N62" s="247" t="s">
        <v>316</v>
      </c>
      <c r="O62" s="247">
        <v>1.7699115044247787E-2</v>
      </c>
      <c r="P62" s="247">
        <v>0</v>
      </c>
      <c r="Q62" s="247">
        <v>1.7699115044247787E-2</v>
      </c>
      <c r="R62" s="247">
        <f>49/(49+64)</f>
        <v>0.4336283185840708</v>
      </c>
      <c r="S62" s="229" t="s">
        <v>52</v>
      </c>
      <c r="T62" s="127" t="s">
        <v>78</v>
      </c>
      <c r="U62" s="248" t="s">
        <v>302</v>
      </c>
      <c r="V62" s="261" t="s">
        <v>351</v>
      </c>
      <c r="W62" s="127" t="s">
        <v>78</v>
      </c>
      <c r="X62" s="127" t="s">
        <v>78</v>
      </c>
      <c r="Y62" s="127" t="s">
        <v>78</v>
      </c>
      <c r="Z62" s="127" t="s">
        <v>78</v>
      </c>
      <c r="AA62" s="127" t="s">
        <v>78</v>
      </c>
      <c r="AB62" s="127" t="s">
        <v>78</v>
      </c>
      <c r="AC62" s="127" t="s">
        <v>78</v>
      </c>
      <c r="AD62" s="127" t="s">
        <v>303</v>
      </c>
      <c r="AE62" s="127" t="s">
        <v>61</v>
      </c>
      <c r="AF62" s="60" t="s">
        <v>461</v>
      </c>
      <c r="AG62" s="146" t="s">
        <v>585</v>
      </c>
      <c r="AH62" s="259">
        <v>16.46</v>
      </c>
      <c r="AI62" s="259">
        <v>5.28</v>
      </c>
      <c r="AJ62" s="259">
        <f>64+49</f>
        <v>113</v>
      </c>
      <c r="AK62" s="259" t="s">
        <v>52</v>
      </c>
      <c r="AL62" s="259" t="s">
        <v>52</v>
      </c>
      <c r="AM62" s="259" t="s">
        <v>52</v>
      </c>
      <c r="AN62" s="194" t="s">
        <v>52</v>
      </c>
      <c r="AO62" s="194" t="s">
        <v>52</v>
      </c>
      <c r="AP62" s="194" t="s">
        <v>52</v>
      </c>
      <c r="AQ62" s="194" t="s">
        <v>52</v>
      </c>
      <c r="AR62" s="194"/>
      <c r="AS62" s="194"/>
      <c r="AT62" s="260"/>
      <c r="AU62" s="127">
        <v>0</v>
      </c>
      <c r="AV62" s="127"/>
      <c r="AX62" s="60"/>
    </row>
    <row r="63" spans="1:50" ht="17" customHeight="1">
      <c r="A63" s="117"/>
      <c r="B63" s="117"/>
      <c r="G63" s="130"/>
      <c r="I63" s="285" t="str">
        <f t="shared" si="0"/>
        <v/>
      </c>
      <c r="L63" s="247"/>
      <c r="N63" s="260"/>
      <c r="AD63" s="127" t="s">
        <v>298</v>
      </c>
      <c r="AE63" s="127" t="s">
        <v>95</v>
      </c>
      <c r="AF63" s="60" t="s">
        <v>461</v>
      </c>
      <c r="AG63" s="146" t="s">
        <v>586</v>
      </c>
      <c r="AH63" s="127" t="s">
        <v>52</v>
      </c>
      <c r="AI63" s="127" t="s">
        <v>52</v>
      </c>
      <c r="AJ63" s="127" t="s">
        <v>52</v>
      </c>
      <c r="AK63" s="127">
        <v>23.21</v>
      </c>
      <c r="AL63" s="127">
        <v>7.33</v>
      </c>
      <c r="AM63" s="157">
        <v>90</v>
      </c>
      <c r="AN63" s="194" t="s">
        <v>52</v>
      </c>
      <c r="AO63" s="194" t="s">
        <v>52</v>
      </c>
      <c r="AP63" s="194" t="s">
        <v>52</v>
      </c>
      <c r="AQ63" s="194" t="s">
        <v>52</v>
      </c>
      <c r="AR63" s="194"/>
      <c r="AS63" s="194"/>
      <c r="AT63" s="260"/>
      <c r="AU63" s="127">
        <v>0</v>
      </c>
      <c r="AV63" s="127"/>
      <c r="AX63" s="60"/>
    </row>
    <row r="64" spans="1:50" ht="17" customHeight="1">
      <c r="A64" s="117"/>
      <c r="B64" s="117"/>
      <c r="G64" s="130"/>
      <c r="I64" s="285" t="str">
        <f t="shared" si="0"/>
        <v/>
      </c>
      <c r="L64" s="260"/>
      <c r="N64" s="260"/>
      <c r="R64" s="260"/>
      <c r="AD64" s="127" t="s">
        <v>299</v>
      </c>
      <c r="AE64" s="127" t="s">
        <v>61</v>
      </c>
      <c r="AF64" s="60" t="s">
        <v>461</v>
      </c>
      <c r="AG64" s="146" t="s">
        <v>587</v>
      </c>
      <c r="AH64" s="127" t="s">
        <v>52</v>
      </c>
      <c r="AI64" s="127" t="s">
        <v>52</v>
      </c>
      <c r="AJ64" s="127" t="s">
        <v>52</v>
      </c>
      <c r="AK64" s="127">
        <v>6.25</v>
      </c>
      <c r="AL64" s="127">
        <v>1.98</v>
      </c>
      <c r="AM64" s="157">
        <v>90</v>
      </c>
      <c r="AN64" s="194" t="s">
        <v>52</v>
      </c>
      <c r="AO64" s="194" t="s">
        <v>52</v>
      </c>
      <c r="AP64" s="194" t="s">
        <v>52</v>
      </c>
      <c r="AQ64" s="194" t="s">
        <v>52</v>
      </c>
      <c r="AR64" s="194"/>
      <c r="AS64" s="194"/>
      <c r="AT64" s="260"/>
      <c r="AU64" s="127">
        <v>0</v>
      </c>
      <c r="AV64" s="127"/>
      <c r="AX64" s="60"/>
    </row>
    <row r="65" spans="1:50" s="128" customFormat="1" ht="17" customHeight="1">
      <c r="A65" s="117"/>
      <c r="B65" s="117"/>
      <c r="C65" s="132"/>
      <c r="D65" s="88"/>
      <c r="E65" s="89"/>
      <c r="F65" s="132"/>
      <c r="G65" s="132"/>
      <c r="H65" s="286"/>
      <c r="I65" s="286" t="str">
        <f t="shared" si="0"/>
        <v/>
      </c>
      <c r="L65" s="262"/>
      <c r="M65" s="249"/>
      <c r="N65" s="262"/>
      <c r="O65" s="249"/>
      <c r="P65" s="249"/>
      <c r="Q65" s="249"/>
      <c r="R65" s="262"/>
      <c r="S65" s="249"/>
      <c r="AD65" s="128" t="s">
        <v>300</v>
      </c>
      <c r="AE65" s="128" t="s">
        <v>95</v>
      </c>
      <c r="AF65" s="60" t="s">
        <v>461</v>
      </c>
      <c r="AG65" s="147" t="s">
        <v>586</v>
      </c>
      <c r="AH65" s="128" t="s">
        <v>52</v>
      </c>
      <c r="AI65" s="128" t="s">
        <v>52</v>
      </c>
      <c r="AJ65" s="128" t="s">
        <v>52</v>
      </c>
      <c r="AK65" s="128">
        <v>5.89</v>
      </c>
      <c r="AL65" s="128">
        <v>2.92</v>
      </c>
      <c r="AM65" s="158">
        <v>90</v>
      </c>
      <c r="AN65" s="194" t="s">
        <v>52</v>
      </c>
      <c r="AO65" s="194" t="s">
        <v>52</v>
      </c>
      <c r="AP65" s="194" t="s">
        <v>52</v>
      </c>
      <c r="AQ65" s="194" t="s">
        <v>52</v>
      </c>
      <c r="AR65" s="194"/>
      <c r="AS65" s="194"/>
      <c r="AT65" s="262"/>
      <c r="AU65" s="128">
        <v>0</v>
      </c>
      <c r="AW65" s="63"/>
      <c r="AX65" s="63"/>
    </row>
    <row r="66" spans="1:50" s="318" customFormat="1" ht="17" customHeight="1">
      <c r="A66" s="338" t="s">
        <v>352</v>
      </c>
      <c r="B66" s="338">
        <v>116</v>
      </c>
      <c r="C66" s="318" t="s">
        <v>47</v>
      </c>
      <c r="D66" s="317" t="s">
        <v>454</v>
      </c>
      <c r="E66" s="317" t="s">
        <v>66</v>
      </c>
      <c r="F66" s="318" t="s">
        <v>49</v>
      </c>
      <c r="G66" s="317" t="s">
        <v>50</v>
      </c>
      <c r="J66" s="318">
        <v>1</v>
      </c>
      <c r="K66" s="318" t="s">
        <v>304</v>
      </c>
      <c r="L66" s="319" t="s">
        <v>354</v>
      </c>
      <c r="M66" s="319">
        <v>16</v>
      </c>
      <c r="N66" s="319">
        <v>0</v>
      </c>
      <c r="O66" s="319">
        <v>0</v>
      </c>
      <c r="P66" s="319">
        <v>0.6</v>
      </c>
      <c r="Q66" s="319">
        <v>0</v>
      </c>
      <c r="R66" s="319">
        <f>1-0.46</f>
        <v>0.54</v>
      </c>
      <c r="S66" s="319">
        <f>1-0.21</f>
        <v>0.79</v>
      </c>
      <c r="T66" s="318" t="s">
        <v>92</v>
      </c>
      <c r="U66" s="320" t="s">
        <v>305</v>
      </c>
      <c r="V66" s="318" t="s">
        <v>71</v>
      </c>
      <c r="W66" s="318" t="s">
        <v>153</v>
      </c>
      <c r="X66" s="318" t="s">
        <v>163</v>
      </c>
      <c r="Y66" s="318" t="s">
        <v>58</v>
      </c>
      <c r="Z66" s="318">
        <f>AA66*AB66</f>
        <v>840</v>
      </c>
      <c r="AA66" s="318">
        <v>14</v>
      </c>
      <c r="AB66" s="318">
        <v>60</v>
      </c>
      <c r="AD66" s="318" t="s">
        <v>306</v>
      </c>
      <c r="AE66" s="318" t="s">
        <v>61</v>
      </c>
      <c r="AF66" s="317" t="s">
        <v>461</v>
      </c>
      <c r="AG66" s="321" t="s">
        <v>52</v>
      </c>
      <c r="AH66" s="322" t="s">
        <v>52</v>
      </c>
      <c r="AI66" s="322" t="s">
        <v>52</v>
      </c>
      <c r="AJ66" s="322" t="s">
        <v>52</v>
      </c>
      <c r="AK66" s="322">
        <v>560.97</v>
      </c>
      <c r="AL66" s="322">
        <v>20.68</v>
      </c>
      <c r="AM66" s="322">
        <v>38</v>
      </c>
      <c r="AN66" s="323" t="s">
        <v>52</v>
      </c>
      <c r="AO66" s="323" t="s">
        <v>52</v>
      </c>
      <c r="AP66" s="323" t="s">
        <v>52</v>
      </c>
      <c r="AQ66" s="323" t="s">
        <v>52</v>
      </c>
      <c r="AR66" s="323"/>
      <c r="AS66" s="323"/>
      <c r="AT66" s="324"/>
      <c r="AU66" s="318">
        <v>0</v>
      </c>
      <c r="AW66" s="317"/>
      <c r="AX66" s="317"/>
    </row>
    <row r="67" spans="1:50" s="318" customFormat="1" ht="17" customHeight="1">
      <c r="A67" s="117"/>
      <c r="B67" s="117"/>
      <c r="D67" s="317"/>
      <c r="E67" s="317"/>
      <c r="I67" s="318" t="str">
        <f t="shared" si="0"/>
        <v/>
      </c>
      <c r="L67" s="319"/>
      <c r="M67" s="319"/>
      <c r="N67" s="319"/>
      <c r="O67" s="319"/>
      <c r="P67" s="319"/>
      <c r="Q67" s="319"/>
      <c r="R67" s="319"/>
      <c r="S67" s="319"/>
      <c r="U67" s="320"/>
      <c r="AD67" s="318" t="s">
        <v>307</v>
      </c>
      <c r="AE67" s="318" t="s">
        <v>95</v>
      </c>
      <c r="AF67" s="317" t="s">
        <v>461</v>
      </c>
      <c r="AG67" s="321" t="s">
        <v>52</v>
      </c>
      <c r="AH67" s="318" t="s">
        <v>52</v>
      </c>
      <c r="AI67" s="318" t="s">
        <v>52</v>
      </c>
      <c r="AJ67" s="318" t="s">
        <v>52</v>
      </c>
      <c r="AK67" s="318">
        <v>68.39</v>
      </c>
      <c r="AL67" s="318">
        <v>13.56</v>
      </c>
      <c r="AM67" s="318">
        <v>31</v>
      </c>
      <c r="AN67" s="325" t="s">
        <v>52</v>
      </c>
      <c r="AO67" s="325" t="s">
        <v>52</v>
      </c>
      <c r="AP67" s="325" t="s">
        <v>52</v>
      </c>
      <c r="AQ67" s="325" t="s">
        <v>52</v>
      </c>
      <c r="AR67" s="325"/>
      <c r="AS67" s="325"/>
      <c r="AT67" s="324"/>
      <c r="AU67" s="318">
        <v>0</v>
      </c>
      <c r="AW67" s="317"/>
      <c r="AX67" s="317"/>
    </row>
    <row r="68" spans="1:50" s="318" customFormat="1" ht="17" customHeight="1">
      <c r="A68" s="117"/>
      <c r="B68" s="117"/>
      <c r="D68" s="317"/>
      <c r="E68" s="317"/>
      <c r="I68" s="318" t="str">
        <f t="shared" ref="I68:I131" si="4">IF(T68="BAU",".",LEFT(T68,2))</f>
        <v/>
      </c>
      <c r="L68" s="319"/>
      <c r="M68" s="319"/>
      <c r="N68" s="319"/>
      <c r="O68" s="319"/>
      <c r="P68" s="319"/>
      <c r="Q68" s="319"/>
      <c r="R68" s="319"/>
      <c r="S68" s="319"/>
      <c r="U68" s="320"/>
      <c r="AD68" s="318" t="s">
        <v>308</v>
      </c>
      <c r="AE68" s="318" t="s">
        <v>95</v>
      </c>
      <c r="AF68" s="317" t="s">
        <v>461</v>
      </c>
      <c r="AG68" s="321" t="s">
        <v>52</v>
      </c>
      <c r="AH68" s="318" t="s">
        <v>52</v>
      </c>
      <c r="AI68" s="318" t="s">
        <v>52</v>
      </c>
      <c r="AJ68" s="318" t="s">
        <v>52</v>
      </c>
      <c r="AK68" s="318">
        <v>82.1</v>
      </c>
      <c r="AL68" s="318">
        <v>13.02</v>
      </c>
      <c r="AM68" s="318">
        <v>31</v>
      </c>
      <c r="AN68" s="325" t="s">
        <v>52</v>
      </c>
      <c r="AO68" s="325" t="s">
        <v>52</v>
      </c>
      <c r="AP68" s="325" t="s">
        <v>52</v>
      </c>
      <c r="AQ68" s="325" t="s">
        <v>52</v>
      </c>
      <c r="AR68" s="325"/>
      <c r="AS68" s="325"/>
      <c r="AT68" s="324"/>
      <c r="AU68" s="318">
        <v>0</v>
      </c>
      <c r="AW68" s="317"/>
      <c r="AX68" s="317"/>
    </row>
    <row r="69" spans="1:50" s="318" customFormat="1" ht="17" customHeight="1">
      <c r="A69" s="117"/>
      <c r="B69" s="117"/>
      <c r="D69" s="317"/>
      <c r="E69" s="317"/>
      <c r="I69" s="318" t="str">
        <f t="shared" si="4"/>
        <v/>
      </c>
      <c r="L69" s="319"/>
      <c r="M69" s="319"/>
      <c r="N69" s="319"/>
      <c r="O69" s="319"/>
      <c r="P69" s="319"/>
      <c r="Q69" s="319"/>
      <c r="R69" s="319"/>
      <c r="S69" s="319"/>
      <c r="U69" s="320"/>
      <c r="AD69" s="318" t="s">
        <v>309</v>
      </c>
      <c r="AE69" s="318" t="s">
        <v>95</v>
      </c>
      <c r="AF69" s="317" t="s">
        <v>461</v>
      </c>
      <c r="AG69" s="321" t="s">
        <v>52</v>
      </c>
      <c r="AH69" s="318" t="s">
        <v>52</v>
      </c>
      <c r="AI69" s="318" t="s">
        <v>52</v>
      </c>
      <c r="AJ69" s="318" t="s">
        <v>52</v>
      </c>
      <c r="AK69" s="318">
        <v>81.94</v>
      </c>
      <c r="AL69" s="318">
        <v>13.58</v>
      </c>
      <c r="AM69" s="318">
        <v>31</v>
      </c>
      <c r="AN69" s="325" t="s">
        <v>52</v>
      </c>
      <c r="AO69" s="325" t="s">
        <v>52</v>
      </c>
      <c r="AP69" s="325" t="s">
        <v>52</v>
      </c>
      <c r="AQ69" s="325" t="s">
        <v>52</v>
      </c>
      <c r="AR69" s="325"/>
      <c r="AS69" s="325"/>
      <c r="AT69" s="324"/>
      <c r="AU69" s="318">
        <v>0</v>
      </c>
      <c r="AW69" s="317"/>
      <c r="AX69" s="317"/>
    </row>
    <row r="70" spans="1:50" s="318" customFormat="1" ht="17" customHeight="1">
      <c r="A70" s="117"/>
      <c r="B70" s="117"/>
      <c r="D70" s="317"/>
      <c r="E70" s="317"/>
      <c r="I70" s="318" t="str">
        <f t="shared" si="4"/>
        <v/>
      </c>
      <c r="L70" s="319"/>
      <c r="M70" s="319"/>
      <c r="N70" s="319"/>
      <c r="O70" s="319"/>
      <c r="P70" s="319"/>
      <c r="Q70" s="319"/>
      <c r="R70" s="319"/>
      <c r="S70" s="319"/>
      <c r="U70" s="320"/>
      <c r="AD70" s="318" t="s">
        <v>310</v>
      </c>
      <c r="AE70" s="318" t="s">
        <v>95</v>
      </c>
      <c r="AF70" s="317" t="s">
        <v>461</v>
      </c>
      <c r="AG70" s="321" t="s">
        <v>52</v>
      </c>
      <c r="AH70" s="318" t="s">
        <v>52</v>
      </c>
      <c r="AI70" s="318" t="s">
        <v>52</v>
      </c>
      <c r="AJ70" s="318" t="s">
        <v>52</v>
      </c>
      <c r="AK70" s="318">
        <v>66.290000000000006</v>
      </c>
      <c r="AL70" s="318">
        <v>15.49</v>
      </c>
      <c r="AM70" s="318">
        <v>31</v>
      </c>
      <c r="AN70" s="325" t="s">
        <v>52</v>
      </c>
      <c r="AO70" s="325" t="s">
        <v>52</v>
      </c>
      <c r="AP70" s="325" t="s">
        <v>52</v>
      </c>
      <c r="AQ70" s="325" t="s">
        <v>52</v>
      </c>
      <c r="AR70" s="325"/>
      <c r="AS70" s="325"/>
      <c r="AT70" s="324"/>
      <c r="AU70" s="318">
        <v>0</v>
      </c>
      <c r="AW70" s="317"/>
      <c r="AX70" s="317"/>
    </row>
    <row r="71" spans="1:50" s="318" customFormat="1" ht="17" customHeight="1">
      <c r="A71" s="117"/>
      <c r="B71" s="117"/>
      <c r="D71" s="317"/>
      <c r="E71" s="317"/>
      <c r="G71" s="317"/>
      <c r="J71" s="318">
        <v>2</v>
      </c>
      <c r="K71" s="318" t="s">
        <v>311</v>
      </c>
      <c r="L71" s="319" t="s">
        <v>354</v>
      </c>
      <c r="M71" s="319">
        <v>16</v>
      </c>
      <c r="N71" s="319">
        <v>0</v>
      </c>
      <c r="O71" s="319">
        <v>0</v>
      </c>
      <c r="P71" s="319">
        <v>0.6</v>
      </c>
      <c r="Q71" s="319">
        <v>0</v>
      </c>
      <c r="R71" s="319">
        <f>1-0.46</f>
        <v>0.54</v>
      </c>
      <c r="S71" s="319">
        <f>1-0.21</f>
        <v>0.79</v>
      </c>
      <c r="T71" s="318" t="s">
        <v>92</v>
      </c>
      <c r="U71" s="320" t="s">
        <v>312</v>
      </c>
      <c r="V71" s="318" t="s">
        <v>71</v>
      </c>
      <c r="W71" s="318" t="s">
        <v>153</v>
      </c>
      <c r="X71" s="318" t="s">
        <v>163</v>
      </c>
      <c r="Y71" s="318" t="s">
        <v>58</v>
      </c>
      <c r="Z71" s="318">
        <f>AA71*AB71</f>
        <v>840</v>
      </c>
      <c r="AA71" s="318">
        <v>14</v>
      </c>
      <c r="AB71" s="318">
        <v>60</v>
      </c>
      <c r="AD71" s="318" t="s">
        <v>306</v>
      </c>
      <c r="AE71" s="318" t="s">
        <v>61</v>
      </c>
      <c r="AF71" s="317" t="s">
        <v>461</v>
      </c>
      <c r="AG71" s="321" t="s">
        <v>52</v>
      </c>
      <c r="AH71" s="322" t="s">
        <v>52</v>
      </c>
      <c r="AI71" s="322" t="s">
        <v>52</v>
      </c>
      <c r="AJ71" s="322" t="s">
        <v>52</v>
      </c>
      <c r="AK71" s="322">
        <v>561.75</v>
      </c>
      <c r="AL71" s="322">
        <v>19.93</v>
      </c>
      <c r="AM71" s="322">
        <v>24</v>
      </c>
      <c r="AN71" s="325" t="s">
        <v>52</v>
      </c>
      <c r="AO71" s="325" t="s">
        <v>52</v>
      </c>
      <c r="AP71" s="325" t="s">
        <v>52</v>
      </c>
      <c r="AQ71" s="325" t="s">
        <v>52</v>
      </c>
      <c r="AR71" s="325"/>
      <c r="AS71" s="325"/>
      <c r="AT71" s="324"/>
      <c r="AU71" s="318">
        <v>0</v>
      </c>
      <c r="AW71" s="317"/>
      <c r="AX71" s="317"/>
    </row>
    <row r="72" spans="1:50" s="318" customFormat="1" ht="17" customHeight="1">
      <c r="A72" s="117"/>
      <c r="B72" s="117"/>
      <c r="D72" s="317"/>
      <c r="E72" s="317"/>
      <c r="I72" s="318" t="str">
        <f t="shared" si="4"/>
        <v/>
      </c>
      <c r="L72" s="319"/>
      <c r="M72" s="319"/>
      <c r="N72" s="319"/>
      <c r="O72" s="319"/>
      <c r="P72" s="319"/>
      <c r="Q72" s="319"/>
      <c r="R72" s="319"/>
      <c r="S72" s="319"/>
      <c r="U72" s="320"/>
      <c r="AD72" s="318" t="s">
        <v>307</v>
      </c>
      <c r="AE72" s="318" t="s">
        <v>95</v>
      </c>
      <c r="AF72" s="317" t="s">
        <v>461</v>
      </c>
      <c r="AG72" s="321" t="s">
        <v>52</v>
      </c>
      <c r="AH72" s="318" t="s">
        <v>52</v>
      </c>
      <c r="AI72" s="318" t="s">
        <v>52</v>
      </c>
      <c r="AJ72" s="318" t="s">
        <v>52</v>
      </c>
      <c r="AK72" s="318">
        <v>79.47</v>
      </c>
      <c r="AL72" s="318">
        <v>6.85</v>
      </c>
      <c r="AM72" s="318">
        <v>19</v>
      </c>
      <c r="AN72" s="325" t="s">
        <v>52</v>
      </c>
      <c r="AO72" s="325" t="s">
        <v>52</v>
      </c>
      <c r="AP72" s="325" t="s">
        <v>52</v>
      </c>
      <c r="AQ72" s="325" t="s">
        <v>52</v>
      </c>
      <c r="AR72" s="325"/>
      <c r="AS72" s="325"/>
      <c r="AT72" s="324"/>
      <c r="AU72" s="318">
        <v>0</v>
      </c>
      <c r="AW72" s="317"/>
      <c r="AX72" s="317"/>
    </row>
    <row r="73" spans="1:50" s="318" customFormat="1" ht="17" customHeight="1">
      <c r="A73" s="117"/>
      <c r="B73" s="117"/>
      <c r="D73" s="317"/>
      <c r="E73" s="317"/>
      <c r="I73" s="318" t="str">
        <f t="shared" si="4"/>
        <v/>
      </c>
      <c r="L73" s="319"/>
      <c r="M73" s="319"/>
      <c r="N73" s="319"/>
      <c r="O73" s="319"/>
      <c r="P73" s="319"/>
      <c r="Q73" s="319"/>
      <c r="R73" s="319"/>
      <c r="S73" s="319"/>
      <c r="U73" s="320"/>
      <c r="AD73" s="318" t="s">
        <v>308</v>
      </c>
      <c r="AE73" s="318" t="s">
        <v>95</v>
      </c>
      <c r="AF73" s="317" t="s">
        <v>461</v>
      </c>
      <c r="AG73" s="321" t="s">
        <v>52</v>
      </c>
      <c r="AH73" s="318" t="s">
        <v>52</v>
      </c>
      <c r="AI73" s="318" t="s">
        <v>52</v>
      </c>
      <c r="AJ73" s="318" t="s">
        <v>52</v>
      </c>
      <c r="AK73" s="318">
        <v>82.63</v>
      </c>
      <c r="AL73" s="318">
        <v>12.18</v>
      </c>
      <c r="AM73" s="318">
        <v>19</v>
      </c>
      <c r="AN73" s="325" t="s">
        <v>52</v>
      </c>
      <c r="AO73" s="325" t="s">
        <v>52</v>
      </c>
      <c r="AP73" s="325" t="s">
        <v>52</v>
      </c>
      <c r="AQ73" s="325" t="s">
        <v>52</v>
      </c>
      <c r="AR73" s="325"/>
      <c r="AS73" s="325"/>
      <c r="AT73" s="324"/>
      <c r="AU73" s="318">
        <v>0</v>
      </c>
      <c r="AW73" s="317"/>
      <c r="AX73" s="317"/>
    </row>
    <row r="74" spans="1:50" s="318" customFormat="1" ht="17" customHeight="1">
      <c r="A74" s="117"/>
      <c r="B74" s="117"/>
      <c r="D74" s="317"/>
      <c r="E74" s="317"/>
      <c r="I74" s="318" t="str">
        <f t="shared" si="4"/>
        <v/>
      </c>
      <c r="L74" s="319"/>
      <c r="M74" s="319"/>
      <c r="N74" s="319"/>
      <c r="O74" s="319"/>
      <c r="P74" s="319"/>
      <c r="Q74" s="319"/>
      <c r="R74" s="319"/>
      <c r="S74" s="319"/>
      <c r="U74" s="320"/>
      <c r="AD74" s="318" t="s">
        <v>309</v>
      </c>
      <c r="AE74" s="318" t="s">
        <v>95</v>
      </c>
      <c r="AF74" s="317" t="s">
        <v>461</v>
      </c>
      <c r="AG74" s="321" t="s">
        <v>52</v>
      </c>
      <c r="AH74" s="318" t="s">
        <v>52</v>
      </c>
      <c r="AI74" s="318" t="s">
        <v>52</v>
      </c>
      <c r="AJ74" s="318" t="s">
        <v>52</v>
      </c>
      <c r="AK74" s="318">
        <v>90.53</v>
      </c>
      <c r="AL74" s="318">
        <v>10.26</v>
      </c>
      <c r="AM74" s="318">
        <v>19</v>
      </c>
      <c r="AN74" s="325" t="s">
        <v>52</v>
      </c>
      <c r="AO74" s="325" t="s">
        <v>52</v>
      </c>
      <c r="AP74" s="325" t="s">
        <v>52</v>
      </c>
      <c r="AQ74" s="325" t="s">
        <v>52</v>
      </c>
      <c r="AR74" s="325"/>
      <c r="AS74" s="325"/>
      <c r="AT74" s="324"/>
      <c r="AU74" s="318">
        <v>0</v>
      </c>
      <c r="AW74" s="317"/>
      <c r="AX74" s="317"/>
    </row>
    <row r="75" spans="1:50" s="318" customFormat="1" ht="17" customHeight="1">
      <c r="A75" s="117"/>
      <c r="B75" s="117"/>
      <c r="D75" s="317"/>
      <c r="E75" s="317"/>
      <c r="I75" s="318" t="str">
        <f t="shared" si="4"/>
        <v/>
      </c>
      <c r="L75" s="319"/>
      <c r="M75" s="319"/>
      <c r="N75" s="319"/>
      <c r="O75" s="319"/>
      <c r="P75" s="319"/>
      <c r="Q75" s="319"/>
      <c r="R75" s="319"/>
      <c r="S75" s="319"/>
      <c r="U75" s="320"/>
      <c r="AD75" s="318" t="s">
        <v>310</v>
      </c>
      <c r="AE75" s="318" t="s">
        <v>95</v>
      </c>
      <c r="AF75" s="317" t="s">
        <v>461</v>
      </c>
      <c r="AG75" s="321" t="s">
        <v>52</v>
      </c>
      <c r="AH75" s="318" t="s">
        <v>52</v>
      </c>
      <c r="AI75" s="318" t="s">
        <v>52</v>
      </c>
      <c r="AJ75" s="318" t="s">
        <v>52</v>
      </c>
      <c r="AK75" s="318">
        <v>68.42</v>
      </c>
      <c r="AL75" s="318">
        <v>14.63</v>
      </c>
      <c r="AM75" s="318">
        <v>19</v>
      </c>
      <c r="AN75" s="325" t="s">
        <v>52</v>
      </c>
      <c r="AO75" s="325" t="s">
        <v>52</v>
      </c>
      <c r="AP75" s="325" t="s">
        <v>52</v>
      </c>
      <c r="AQ75" s="325" t="s">
        <v>52</v>
      </c>
      <c r="AR75" s="325"/>
      <c r="AS75" s="325"/>
      <c r="AT75" s="324"/>
      <c r="AU75" s="318">
        <v>0</v>
      </c>
      <c r="AW75" s="317"/>
      <c r="AX75" s="317"/>
    </row>
    <row r="76" spans="1:50" s="318" customFormat="1" ht="17" customHeight="1">
      <c r="A76" s="117"/>
      <c r="B76" s="117"/>
      <c r="D76" s="317"/>
      <c r="E76" s="317"/>
      <c r="G76" s="317"/>
      <c r="J76" s="318">
        <v>0</v>
      </c>
      <c r="K76" s="318" t="s">
        <v>313</v>
      </c>
      <c r="L76" s="319" t="s">
        <v>354</v>
      </c>
      <c r="M76" s="319">
        <v>16</v>
      </c>
      <c r="N76" s="319">
        <v>0</v>
      </c>
      <c r="O76" s="319">
        <v>0</v>
      </c>
      <c r="P76" s="319">
        <v>0.6</v>
      </c>
      <c r="Q76" s="319">
        <v>0</v>
      </c>
      <c r="R76" s="319">
        <f>1-0.46</f>
        <v>0.54</v>
      </c>
      <c r="S76" s="319">
        <f>1-0.21</f>
        <v>0.79</v>
      </c>
      <c r="T76" s="318" t="s">
        <v>78</v>
      </c>
      <c r="U76" s="320" t="s">
        <v>314</v>
      </c>
      <c r="V76" s="326" t="s">
        <v>71</v>
      </c>
      <c r="W76" s="318" t="s">
        <v>78</v>
      </c>
      <c r="X76" s="318" t="s">
        <v>78</v>
      </c>
      <c r="Y76" s="318" t="s">
        <v>78</v>
      </c>
      <c r="Z76" s="318" t="s">
        <v>78</v>
      </c>
      <c r="AA76" s="318" t="s">
        <v>78</v>
      </c>
      <c r="AB76" s="318" t="s">
        <v>78</v>
      </c>
      <c r="AC76" s="318" t="s">
        <v>78</v>
      </c>
      <c r="AD76" s="318" t="s">
        <v>306</v>
      </c>
      <c r="AE76" s="318" t="s">
        <v>61</v>
      </c>
      <c r="AF76" s="317" t="s">
        <v>461</v>
      </c>
      <c r="AG76" s="321" t="s">
        <v>52</v>
      </c>
      <c r="AH76" s="322" t="s">
        <v>52</v>
      </c>
      <c r="AI76" s="322" t="s">
        <v>52</v>
      </c>
      <c r="AJ76" s="322" t="s">
        <v>52</v>
      </c>
      <c r="AK76" s="322">
        <v>549.12</v>
      </c>
      <c r="AL76" s="322">
        <v>22.19</v>
      </c>
      <c r="AM76" s="322">
        <v>43</v>
      </c>
      <c r="AN76" s="325" t="s">
        <v>52</v>
      </c>
      <c r="AO76" s="325" t="s">
        <v>52</v>
      </c>
      <c r="AP76" s="325" t="s">
        <v>52</v>
      </c>
      <c r="AQ76" s="325" t="s">
        <v>52</v>
      </c>
      <c r="AR76" s="325"/>
      <c r="AS76" s="325"/>
      <c r="AT76" s="324"/>
      <c r="AU76" s="318">
        <v>0</v>
      </c>
      <c r="AW76" s="317"/>
      <c r="AX76" s="317"/>
    </row>
    <row r="77" spans="1:50" s="318" customFormat="1" ht="17" customHeight="1">
      <c r="A77" s="117"/>
      <c r="B77" s="117"/>
      <c r="D77" s="317"/>
      <c r="E77" s="317"/>
      <c r="I77" s="318" t="str">
        <f t="shared" si="4"/>
        <v/>
      </c>
      <c r="L77" s="319"/>
      <c r="M77" s="319"/>
      <c r="N77" s="319"/>
      <c r="O77" s="319"/>
      <c r="P77" s="319"/>
      <c r="Q77" s="319"/>
      <c r="R77" s="319"/>
      <c r="S77" s="319"/>
      <c r="U77" s="320"/>
      <c r="AD77" s="318" t="s">
        <v>307</v>
      </c>
      <c r="AE77" s="318" t="s">
        <v>95</v>
      </c>
      <c r="AF77" s="317" t="s">
        <v>461</v>
      </c>
      <c r="AG77" s="321" t="s">
        <v>52</v>
      </c>
      <c r="AH77" s="318" t="s">
        <v>52</v>
      </c>
      <c r="AI77" s="318" t="s">
        <v>52</v>
      </c>
      <c r="AJ77" s="318" t="s">
        <v>52</v>
      </c>
      <c r="AK77" s="318">
        <v>64.64</v>
      </c>
      <c r="AL77" s="318">
        <v>17.71</v>
      </c>
      <c r="AM77" s="318">
        <v>56</v>
      </c>
      <c r="AN77" s="325" t="s">
        <v>52</v>
      </c>
      <c r="AO77" s="325" t="s">
        <v>52</v>
      </c>
      <c r="AP77" s="325" t="s">
        <v>52</v>
      </c>
      <c r="AQ77" s="325" t="s">
        <v>52</v>
      </c>
      <c r="AR77" s="325"/>
      <c r="AS77" s="325"/>
      <c r="AT77" s="324"/>
      <c r="AU77" s="318">
        <v>0</v>
      </c>
      <c r="AW77" s="317"/>
      <c r="AX77" s="317"/>
    </row>
    <row r="78" spans="1:50" s="318" customFormat="1" ht="17" customHeight="1">
      <c r="A78" s="117"/>
      <c r="B78" s="117"/>
      <c r="D78" s="317"/>
      <c r="E78" s="317"/>
      <c r="I78" s="318" t="str">
        <f t="shared" si="4"/>
        <v/>
      </c>
      <c r="L78" s="324"/>
      <c r="M78" s="319"/>
      <c r="N78" s="324"/>
      <c r="O78" s="319"/>
      <c r="P78" s="319"/>
      <c r="Q78" s="319"/>
      <c r="R78" s="324"/>
      <c r="S78" s="319"/>
      <c r="AD78" s="318" t="s">
        <v>308</v>
      </c>
      <c r="AE78" s="318" t="s">
        <v>95</v>
      </c>
      <c r="AF78" s="317" t="s">
        <v>461</v>
      </c>
      <c r="AG78" s="321" t="s">
        <v>52</v>
      </c>
      <c r="AH78" s="318" t="s">
        <v>52</v>
      </c>
      <c r="AI78" s="318" t="s">
        <v>52</v>
      </c>
      <c r="AJ78" s="318" t="s">
        <v>52</v>
      </c>
      <c r="AK78" s="318">
        <v>78.13</v>
      </c>
      <c r="AL78" s="318">
        <v>18.43</v>
      </c>
      <c r="AM78" s="318">
        <v>56</v>
      </c>
      <c r="AN78" s="325" t="s">
        <v>52</v>
      </c>
      <c r="AO78" s="325" t="s">
        <v>52</v>
      </c>
      <c r="AP78" s="325" t="s">
        <v>52</v>
      </c>
      <c r="AQ78" s="325" t="s">
        <v>52</v>
      </c>
      <c r="AR78" s="325"/>
      <c r="AS78" s="325"/>
      <c r="AT78" s="324"/>
      <c r="AU78" s="318">
        <v>0</v>
      </c>
      <c r="AW78" s="317"/>
      <c r="AX78" s="317"/>
    </row>
    <row r="79" spans="1:50" s="318" customFormat="1" ht="17" customHeight="1">
      <c r="A79" s="117"/>
      <c r="B79" s="117"/>
      <c r="D79" s="317"/>
      <c r="E79" s="317"/>
      <c r="I79" s="318" t="str">
        <f t="shared" si="4"/>
        <v/>
      </c>
      <c r="L79" s="324"/>
      <c r="M79" s="319"/>
      <c r="N79" s="324"/>
      <c r="O79" s="319"/>
      <c r="P79" s="319"/>
      <c r="Q79" s="319"/>
      <c r="R79" s="324"/>
      <c r="S79" s="319"/>
      <c r="AD79" s="318" t="s">
        <v>309</v>
      </c>
      <c r="AE79" s="318" t="s">
        <v>95</v>
      </c>
      <c r="AF79" s="317" t="s">
        <v>461</v>
      </c>
      <c r="AG79" s="321" t="s">
        <v>52</v>
      </c>
      <c r="AH79" s="318" t="s">
        <v>52</v>
      </c>
      <c r="AI79" s="318" t="s">
        <v>52</v>
      </c>
      <c r="AJ79" s="318" t="s">
        <v>52</v>
      </c>
      <c r="AK79" s="318">
        <v>75.45</v>
      </c>
      <c r="AL79" s="318">
        <v>21.69</v>
      </c>
      <c r="AM79" s="318">
        <v>56</v>
      </c>
      <c r="AN79" s="325" t="s">
        <v>52</v>
      </c>
      <c r="AO79" s="325" t="s">
        <v>52</v>
      </c>
      <c r="AP79" s="325" t="s">
        <v>52</v>
      </c>
      <c r="AQ79" s="325" t="s">
        <v>52</v>
      </c>
      <c r="AR79" s="325"/>
      <c r="AS79" s="325"/>
      <c r="AT79" s="324"/>
      <c r="AU79" s="318">
        <v>0</v>
      </c>
      <c r="AW79" s="317"/>
      <c r="AX79" s="317"/>
    </row>
    <row r="80" spans="1:50" s="327" customFormat="1" ht="17" customHeight="1">
      <c r="A80" s="123"/>
      <c r="B80" s="123"/>
      <c r="D80" s="328"/>
      <c r="E80" s="328"/>
      <c r="I80" s="327" t="str">
        <f t="shared" si="4"/>
        <v/>
      </c>
      <c r="L80" s="329"/>
      <c r="M80" s="330"/>
      <c r="N80" s="329"/>
      <c r="O80" s="330"/>
      <c r="P80" s="330"/>
      <c r="Q80" s="330"/>
      <c r="R80" s="329"/>
      <c r="S80" s="330"/>
      <c r="AD80" s="327" t="s">
        <v>310</v>
      </c>
      <c r="AE80" s="327" t="s">
        <v>95</v>
      </c>
      <c r="AF80" s="317" t="s">
        <v>461</v>
      </c>
      <c r="AG80" s="331" t="s">
        <v>52</v>
      </c>
      <c r="AH80" s="327" t="s">
        <v>52</v>
      </c>
      <c r="AI80" s="327" t="s">
        <v>52</v>
      </c>
      <c r="AJ80" s="327" t="s">
        <v>52</v>
      </c>
      <c r="AK80" s="327">
        <v>56.88</v>
      </c>
      <c r="AL80" s="327">
        <v>20.170000000000002</v>
      </c>
      <c r="AM80" s="327">
        <v>56</v>
      </c>
      <c r="AN80" s="332" t="s">
        <v>52</v>
      </c>
      <c r="AO80" s="332" t="s">
        <v>52</v>
      </c>
      <c r="AP80" s="332" t="s">
        <v>52</v>
      </c>
      <c r="AQ80" s="332" t="s">
        <v>52</v>
      </c>
      <c r="AR80" s="332"/>
      <c r="AS80" s="332"/>
      <c r="AT80" s="329"/>
      <c r="AU80" s="327">
        <v>0</v>
      </c>
      <c r="AW80" s="328"/>
      <c r="AX80" s="328"/>
    </row>
    <row r="81" spans="1:50" ht="17" customHeight="1">
      <c r="A81" s="117" t="s">
        <v>364</v>
      </c>
      <c r="B81" s="117">
        <v>117</v>
      </c>
      <c r="C81" s="130" t="s">
        <v>47</v>
      </c>
      <c r="D81" s="88" t="s">
        <v>454</v>
      </c>
      <c r="E81" s="88" t="s">
        <v>66</v>
      </c>
      <c r="F81" s="130" t="s">
        <v>49</v>
      </c>
      <c r="G81" s="88" t="s">
        <v>239</v>
      </c>
      <c r="H81" s="285" t="s">
        <v>924</v>
      </c>
      <c r="I81" s="285" t="str">
        <f t="shared" si="4"/>
        <v xml:space="preserve">m </v>
      </c>
      <c r="J81" s="127">
        <v>1</v>
      </c>
      <c r="K81" s="127" t="s">
        <v>315</v>
      </c>
      <c r="L81" s="247" t="s">
        <v>365</v>
      </c>
      <c r="M81" s="247">
        <v>8.5</v>
      </c>
      <c r="N81" s="247" t="s">
        <v>316</v>
      </c>
      <c r="O81" s="229" t="s">
        <v>52</v>
      </c>
      <c r="P81" s="247">
        <f>27/148</f>
        <v>0.18243243243243243</v>
      </c>
      <c r="Q81" s="247" t="s">
        <v>52</v>
      </c>
      <c r="R81" s="247">
        <f>71/148</f>
        <v>0.47972972972972971</v>
      </c>
      <c r="S81" s="229">
        <f>1-112/148</f>
        <v>0.2432432432432432</v>
      </c>
      <c r="T81" s="247" t="s">
        <v>92</v>
      </c>
      <c r="U81" s="248" t="s">
        <v>317</v>
      </c>
      <c r="V81" s="127" t="s">
        <v>71</v>
      </c>
      <c r="W81" s="127" t="s">
        <v>153</v>
      </c>
      <c r="X81" s="127" t="s">
        <v>163</v>
      </c>
      <c r="Y81" s="127" t="s">
        <v>58</v>
      </c>
      <c r="Z81" s="127">
        <f>AA81*AB81</f>
        <v>5400</v>
      </c>
      <c r="AA81" s="127">
        <f>12*5</f>
        <v>60</v>
      </c>
      <c r="AB81" s="127">
        <v>90</v>
      </c>
      <c r="AC81" s="127" t="s">
        <v>59</v>
      </c>
      <c r="AD81" s="127" t="s">
        <v>318</v>
      </c>
      <c r="AE81" s="127" t="s">
        <v>95</v>
      </c>
      <c r="AF81" s="60" t="s">
        <v>461</v>
      </c>
      <c r="AG81" s="146" t="s">
        <v>588</v>
      </c>
      <c r="AH81" s="127">
        <v>3.13</v>
      </c>
      <c r="AI81" s="127">
        <v>1.1000000000000001</v>
      </c>
      <c r="AJ81" s="127">
        <v>148</v>
      </c>
      <c r="AK81" s="127">
        <v>3.65</v>
      </c>
      <c r="AL81" s="127">
        <v>1.04</v>
      </c>
      <c r="AM81" s="202">
        <v>148</v>
      </c>
      <c r="AN81" s="194" t="s">
        <v>52</v>
      </c>
      <c r="AO81" s="194" t="s">
        <v>52</v>
      </c>
      <c r="AP81" s="194" t="s">
        <v>52</v>
      </c>
      <c r="AQ81" s="194" t="s">
        <v>52</v>
      </c>
      <c r="AR81" s="194"/>
      <c r="AS81" s="194"/>
      <c r="AT81" s="263"/>
      <c r="AU81" s="127">
        <v>0</v>
      </c>
      <c r="AV81" s="60" t="s">
        <v>319</v>
      </c>
      <c r="AW81" s="60" t="s">
        <v>86</v>
      </c>
      <c r="AX81" s="60"/>
    </row>
    <row r="82" spans="1:50" ht="17" customHeight="1">
      <c r="A82" s="117"/>
      <c r="B82" s="117"/>
      <c r="G82" s="130"/>
      <c r="I82" s="285" t="str">
        <f t="shared" si="4"/>
        <v/>
      </c>
      <c r="L82" s="247"/>
      <c r="O82" s="264"/>
      <c r="S82" s="264"/>
      <c r="T82" s="247"/>
      <c r="AD82" s="127" t="s">
        <v>320</v>
      </c>
      <c r="AE82" s="127" t="s">
        <v>95</v>
      </c>
      <c r="AF82" s="60" t="s">
        <v>461</v>
      </c>
      <c r="AG82" s="146" t="s">
        <v>589</v>
      </c>
      <c r="AH82" s="127">
        <v>0.31</v>
      </c>
      <c r="AI82" s="127">
        <v>0.18</v>
      </c>
      <c r="AJ82" s="127">
        <v>148</v>
      </c>
      <c r="AK82" s="127">
        <v>0.56000000000000005</v>
      </c>
      <c r="AL82" s="127">
        <v>0.14000000000000001</v>
      </c>
      <c r="AM82" s="127">
        <v>148</v>
      </c>
      <c r="AN82" s="194" t="s">
        <v>52</v>
      </c>
      <c r="AO82" s="194" t="s">
        <v>52</v>
      </c>
      <c r="AP82" s="194" t="s">
        <v>52</v>
      </c>
      <c r="AQ82" s="194" t="s">
        <v>52</v>
      </c>
      <c r="AR82" s="194"/>
      <c r="AS82" s="194"/>
      <c r="AT82" s="263"/>
      <c r="AU82" s="127">
        <v>0</v>
      </c>
      <c r="AV82"/>
      <c r="AX82" s="60"/>
    </row>
    <row r="83" spans="1:50" ht="17" customHeight="1">
      <c r="A83" s="117"/>
      <c r="B83" s="117"/>
      <c r="H83" s="285" t="s">
        <v>919</v>
      </c>
      <c r="I83" s="285" t="str">
        <f t="shared" si="4"/>
        <v xml:space="preserve">m </v>
      </c>
      <c r="J83" s="127">
        <v>0</v>
      </c>
      <c r="K83" s="127" t="s">
        <v>321</v>
      </c>
      <c r="L83" s="247" t="s">
        <v>365</v>
      </c>
      <c r="M83" s="247">
        <v>8.5</v>
      </c>
      <c r="N83" s="247" t="s">
        <v>316</v>
      </c>
      <c r="O83" s="229" t="s">
        <v>52</v>
      </c>
      <c r="P83" s="247">
        <f>47/213</f>
        <v>0.22065727699530516</v>
      </c>
      <c r="Q83" s="247" t="s">
        <v>52</v>
      </c>
      <c r="R83" s="247">
        <f>102/213</f>
        <v>0.47887323943661969</v>
      </c>
      <c r="S83" s="229">
        <f>1-155/213</f>
        <v>0.27230046948356812</v>
      </c>
      <c r="T83" s="247" t="s">
        <v>92</v>
      </c>
      <c r="U83" s="248" t="s">
        <v>322</v>
      </c>
      <c r="V83" s="127" t="s">
        <v>80</v>
      </c>
      <c r="W83" s="127" t="s">
        <v>153</v>
      </c>
      <c r="X83" s="127" t="s">
        <v>163</v>
      </c>
      <c r="Y83" s="127" t="s">
        <v>58</v>
      </c>
      <c r="Z83" s="127">
        <f>AA83*AB83</f>
        <v>5400</v>
      </c>
      <c r="AA83" s="127">
        <f>12*5</f>
        <v>60</v>
      </c>
      <c r="AB83" s="127">
        <v>90</v>
      </c>
      <c r="AC83" s="127" t="s">
        <v>59</v>
      </c>
      <c r="AD83" s="127" t="s">
        <v>318</v>
      </c>
      <c r="AE83" s="127" t="s">
        <v>95</v>
      </c>
      <c r="AF83" s="60" t="s">
        <v>461</v>
      </c>
      <c r="AG83" s="146" t="s">
        <v>588</v>
      </c>
      <c r="AH83" s="127">
        <v>2.19</v>
      </c>
      <c r="AI83" s="127">
        <v>0.78</v>
      </c>
      <c r="AJ83" s="127">
        <v>213</v>
      </c>
      <c r="AK83" s="127">
        <v>2.87</v>
      </c>
      <c r="AL83" s="127">
        <v>0.51</v>
      </c>
      <c r="AM83" s="127">
        <v>213</v>
      </c>
      <c r="AN83" s="194" t="s">
        <v>52</v>
      </c>
      <c r="AO83" s="194" t="s">
        <v>52</v>
      </c>
      <c r="AP83" s="194" t="s">
        <v>52</v>
      </c>
      <c r="AQ83" s="194" t="s">
        <v>52</v>
      </c>
      <c r="AR83" s="194"/>
      <c r="AS83" s="194"/>
      <c r="AT83" s="263"/>
      <c r="AU83" s="127">
        <v>0</v>
      </c>
      <c r="AV83"/>
      <c r="AW83" s="60" t="s">
        <v>86</v>
      </c>
      <c r="AX83" s="60"/>
    </row>
    <row r="84" spans="1:50" s="128" customFormat="1" ht="17" customHeight="1">
      <c r="A84" s="117"/>
      <c r="B84" s="117"/>
      <c r="C84" s="132"/>
      <c r="D84" s="88"/>
      <c r="E84" s="89"/>
      <c r="F84" s="132"/>
      <c r="G84" s="132"/>
      <c r="H84" s="286"/>
      <c r="I84" s="286" t="str">
        <f t="shared" si="4"/>
        <v/>
      </c>
      <c r="L84" s="249"/>
      <c r="M84" s="249"/>
      <c r="N84" s="249"/>
      <c r="O84" s="249"/>
      <c r="P84" s="249"/>
      <c r="Q84" s="249"/>
      <c r="R84" s="249"/>
      <c r="S84" s="265"/>
      <c r="T84" s="249"/>
      <c r="U84" s="249"/>
      <c r="Y84" s="266"/>
      <c r="Z84" s="266"/>
      <c r="AA84" s="266"/>
      <c r="AD84" s="128" t="s">
        <v>320</v>
      </c>
      <c r="AE84" s="128" t="s">
        <v>95</v>
      </c>
      <c r="AF84" s="60" t="s">
        <v>461</v>
      </c>
      <c r="AG84" s="146" t="s">
        <v>589</v>
      </c>
      <c r="AH84" s="128">
        <v>0.15</v>
      </c>
      <c r="AI84" s="128">
        <v>0.15</v>
      </c>
      <c r="AJ84" s="128">
        <v>213</v>
      </c>
      <c r="AK84" s="128">
        <v>0.31</v>
      </c>
      <c r="AL84" s="128">
        <v>0.16</v>
      </c>
      <c r="AM84" s="128">
        <v>213</v>
      </c>
      <c r="AN84" s="194" t="s">
        <v>52</v>
      </c>
      <c r="AO84" s="194" t="s">
        <v>52</v>
      </c>
      <c r="AP84" s="194" t="s">
        <v>52</v>
      </c>
      <c r="AQ84" s="194" t="s">
        <v>52</v>
      </c>
      <c r="AR84" s="194"/>
      <c r="AS84" s="194"/>
      <c r="AT84" s="266"/>
      <c r="AU84" s="128">
        <v>0</v>
      </c>
      <c r="AV84" s="267"/>
      <c r="AW84" s="63"/>
      <c r="AX84" s="63"/>
    </row>
    <row r="85" spans="1:50" ht="17" customHeight="1">
      <c r="A85" s="338" t="s">
        <v>370</v>
      </c>
      <c r="B85" s="338">
        <v>118</v>
      </c>
      <c r="C85" s="130" t="s">
        <v>47</v>
      </c>
      <c r="D85" s="88" t="s">
        <v>454</v>
      </c>
      <c r="E85" s="88" t="s">
        <v>66</v>
      </c>
      <c r="F85" s="130" t="s">
        <v>49</v>
      </c>
      <c r="G85" s="88" t="s">
        <v>239</v>
      </c>
      <c r="H85" s="285" t="s">
        <v>924</v>
      </c>
      <c r="I85" s="285" t="str">
        <f t="shared" si="4"/>
        <v xml:space="preserve">m </v>
      </c>
      <c r="J85" s="127">
        <v>1</v>
      </c>
      <c r="K85" s="127" t="s">
        <v>323</v>
      </c>
      <c r="L85" s="247" t="s">
        <v>365</v>
      </c>
      <c r="M85" s="247">
        <v>8.5</v>
      </c>
      <c r="N85" s="247" t="s">
        <v>316</v>
      </c>
      <c r="O85" s="247">
        <f>29/184</f>
        <v>0.15760869565217392</v>
      </c>
      <c r="P85" s="247" t="s">
        <v>52</v>
      </c>
      <c r="Q85" s="247">
        <f>4/195</f>
        <v>2.0512820512820513E-2</v>
      </c>
      <c r="R85" s="247">
        <f>108/191</f>
        <v>0.56544502617801051</v>
      </c>
      <c r="S85" s="229">
        <f>1-94/180</f>
        <v>0.47777777777777775</v>
      </c>
      <c r="T85" s="127" t="s">
        <v>92</v>
      </c>
      <c r="U85" s="248" t="s">
        <v>324</v>
      </c>
      <c r="V85" s="127" t="s">
        <v>71</v>
      </c>
      <c r="W85" s="127" t="s">
        <v>153</v>
      </c>
      <c r="X85" s="127" t="s">
        <v>163</v>
      </c>
      <c r="Y85" s="127" t="s">
        <v>58</v>
      </c>
      <c r="Z85" s="127">
        <f>AA85*AB85</f>
        <v>5400</v>
      </c>
      <c r="AA85" s="127">
        <f>12*5</f>
        <v>60</v>
      </c>
      <c r="AB85" s="127">
        <v>90</v>
      </c>
      <c r="AC85" s="127" t="s">
        <v>59</v>
      </c>
      <c r="AD85" s="127" t="s">
        <v>325</v>
      </c>
      <c r="AE85" s="127" t="s">
        <v>95</v>
      </c>
      <c r="AF85" s="60" t="s">
        <v>461</v>
      </c>
      <c r="AG85" s="148" t="s">
        <v>589</v>
      </c>
      <c r="AH85" s="127">
        <v>0.33</v>
      </c>
      <c r="AI85" s="127">
        <v>0.11</v>
      </c>
      <c r="AJ85" s="127">
        <v>191</v>
      </c>
      <c r="AK85" s="127">
        <v>0.46</v>
      </c>
      <c r="AL85" s="127">
        <v>9.8000000000000004E-2</v>
      </c>
      <c r="AM85" s="127">
        <v>191</v>
      </c>
      <c r="AN85" s="196" t="s">
        <v>52</v>
      </c>
      <c r="AO85" s="196" t="s">
        <v>52</v>
      </c>
      <c r="AP85" s="196" t="s">
        <v>52</v>
      </c>
      <c r="AQ85" s="196" t="s">
        <v>52</v>
      </c>
      <c r="AR85" s="196"/>
      <c r="AS85" s="196"/>
      <c r="AT85" s="263"/>
      <c r="AU85" s="127">
        <v>0</v>
      </c>
      <c r="AV85" s="60" t="s">
        <v>319</v>
      </c>
      <c r="AW85" s="60" t="s">
        <v>86</v>
      </c>
      <c r="AX85" s="60"/>
    </row>
    <row r="86" spans="1:50" ht="17" customHeight="1">
      <c r="A86" s="117"/>
      <c r="B86" s="117"/>
      <c r="G86" s="130"/>
      <c r="I86" s="285" t="str">
        <f t="shared" si="4"/>
        <v/>
      </c>
      <c r="L86" s="247"/>
      <c r="Y86" s="263"/>
      <c r="AD86" s="127" t="s">
        <v>326</v>
      </c>
      <c r="AE86" s="127" t="s">
        <v>61</v>
      </c>
      <c r="AF86" s="60" t="s">
        <v>461</v>
      </c>
      <c r="AG86" s="146" t="s">
        <v>52</v>
      </c>
      <c r="AH86" s="127" t="s">
        <v>52</v>
      </c>
      <c r="AI86" s="127" t="s">
        <v>52</v>
      </c>
      <c r="AJ86" s="127" t="s">
        <v>52</v>
      </c>
      <c r="AK86" s="127">
        <v>498.6</v>
      </c>
      <c r="AL86" s="127">
        <v>22.57</v>
      </c>
      <c r="AM86" s="127">
        <v>191</v>
      </c>
      <c r="AN86" s="194" t="s">
        <v>52</v>
      </c>
      <c r="AO86" s="194" t="s">
        <v>52</v>
      </c>
      <c r="AP86" s="194" t="s">
        <v>52</v>
      </c>
      <c r="AQ86" s="194" t="s">
        <v>52</v>
      </c>
      <c r="AR86" s="194"/>
      <c r="AS86" s="194"/>
      <c r="AT86" s="263"/>
      <c r="AU86" s="127">
        <v>0</v>
      </c>
      <c r="AV86" s="127"/>
      <c r="AX86" s="60"/>
    </row>
    <row r="87" spans="1:50" ht="17" customHeight="1">
      <c r="A87" s="117"/>
      <c r="B87" s="117"/>
      <c r="H87" s="285" t="s">
        <v>919</v>
      </c>
      <c r="I87" s="285" t="str">
        <f t="shared" si="4"/>
        <v xml:space="preserve">m </v>
      </c>
      <c r="J87" s="127">
        <v>2</v>
      </c>
      <c r="K87" s="127" t="s">
        <v>327</v>
      </c>
      <c r="L87" s="247" t="s">
        <v>365</v>
      </c>
      <c r="M87" s="247">
        <v>8.5</v>
      </c>
      <c r="N87" s="247" t="s">
        <v>316</v>
      </c>
      <c r="O87" s="268">
        <f>26/248</f>
        <v>0.10483870967741936</v>
      </c>
      <c r="P87" s="247" t="s">
        <v>52</v>
      </c>
      <c r="Q87" s="247">
        <f>7/260</f>
        <v>2.6923076923076925E-2</v>
      </c>
      <c r="R87" s="247">
        <f>129/257</f>
        <v>0.50194552529182879</v>
      </c>
      <c r="S87" s="247">
        <f>109/247</f>
        <v>0.44129554655870445</v>
      </c>
      <c r="T87" s="127" t="s">
        <v>92</v>
      </c>
      <c r="U87" s="248" t="s">
        <v>328</v>
      </c>
      <c r="V87" s="127" t="s">
        <v>80</v>
      </c>
      <c r="W87" s="127" t="s">
        <v>153</v>
      </c>
      <c r="X87" s="127" t="s">
        <v>163</v>
      </c>
      <c r="Y87" s="127" t="s">
        <v>58</v>
      </c>
      <c r="Z87" s="127">
        <f>AA87*AB87</f>
        <v>5400</v>
      </c>
      <c r="AA87" s="127">
        <f>12*5</f>
        <v>60</v>
      </c>
      <c r="AB87" s="127">
        <v>90</v>
      </c>
      <c r="AC87" s="127" t="s">
        <v>59</v>
      </c>
      <c r="AD87" s="127" t="s">
        <v>325</v>
      </c>
      <c r="AE87" s="127" t="s">
        <v>95</v>
      </c>
      <c r="AF87" s="60" t="s">
        <v>461</v>
      </c>
      <c r="AG87" s="146" t="s">
        <v>589</v>
      </c>
      <c r="AH87" s="127">
        <v>0.32</v>
      </c>
      <c r="AI87" s="127">
        <v>7.3999999999999996E-2</v>
      </c>
      <c r="AJ87" s="127">
        <v>257</v>
      </c>
      <c r="AK87" s="127">
        <v>0.38</v>
      </c>
      <c r="AL87" s="127">
        <v>5.3999999999999999E-2</v>
      </c>
      <c r="AM87" s="127">
        <v>257</v>
      </c>
      <c r="AN87" s="194" t="s">
        <v>52</v>
      </c>
      <c r="AO87" s="194" t="s">
        <v>52</v>
      </c>
      <c r="AP87" s="194" t="s">
        <v>52</v>
      </c>
      <c r="AQ87" s="194" t="s">
        <v>52</v>
      </c>
      <c r="AR87" s="194"/>
      <c r="AS87" s="194"/>
      <c r="AT87" s="263"/>
      <c r="AU87" s="127">
        <v>0</v>
      </c>
      <c r="AV87" s="127"/>
      <c r="AW87" s="60" t="s">
        <v>86</v>
      </c>
      <c r="AX87" s="60"/>
    </row>
    <row r="88" spans="1:50" ht="17" customHeight="1">
      <c r="A88" s="117"/>
      <c r="B88" s="117"/>
      <c r="G88" s="130"/>
      <c r="I88" s="285" t="str">
        <f t="shared" si="4"/>
        <v/>
      </c>
      <c r="L88" s="247"/>
      <c r="O88" s="268"/>
      <c r="Y88" s="263"/>
      <c r="Z88" s="263"/>
      <c r="AA88" s="263"/>
      <c r="AD88" s="127" t="s">
        <v>326</v>
      </c>
      <c r="AE88" s="127" t="s">
        <v>61</v>
      </c>
      <c r="AF88" s="60" t="s">
        <v>461</v>
      </c>
      <c r="AG88" s="146" t="s">
        <v>52</v>
      </c>
      <c r="AH88" s="127" t="s">
        <v>52</v>
      </c>
      <c r="AI88" s="127" t="s">
        <v>52</v>
      </c>
      <c r="AJ88" s="127" t="s">
        <v>52</v>
      </c>
      <c r="AK88" s="127">
        <v>468.57</v>
      </c>
      <c r="AL88" s="127">
        <v>15.85</v>
      </c>
      <c r="AM88" s="127">
        <v>257</v>
      </c>
      <c r="AN88" s="194" t="s">
        <v>52</v>
      </c>
      <c r="AO88" s="194" t="s">
        <v>52</v>
      </c>
      <c r="AP88" s="194" t="s">
        <v>52</v>
      </c>
      <c r="AQ88" s="194" t="s">
        <v>52</v>
      </c>
      <c r="AR88" s="194"/>
      <c r="AS88" s="194"/>
      <c r="AT88" s="263"/>
      <c r="AU88" s="127">
        <v>0</v>
      </c>
      <c r="AV88" s="127"/>
      <c r="AW88" s="127"/>
      <c r="AX88" s="60"/>
    </row>
    <row r="89" spans="1:50" ht="17" customHeight="1">
      <c r="A89" s="117"/>
      <c r="B89" s="117"/>
      <c r="H89" s="285" t="s">
        <v>919</v>
      </c>
      <c r="I89" s="285" t="str">
        <f t="shared" si="4"/>
        <v>.</v>
      </c>
      <c r="J89" s="127">
        <v>0</v>
      </c>
      <c r="K89" s="127" t="s">
        <v>329</v>
      </c>
      <c r="L89" s="247" t="s">
        <v>365</v>
      </c>
      <c r="M89" s="247">
        <v>8.5</v>
      </c>
      <c r="N89" s="247" t="s">
        <v>316</v>
      </c>
      <c r="O89" s="247">
        <f>12/59</f>
        <v>0.20338983050847459</v>
      </c>
      <c r="P89" s="247" t="s">
        <v>52</v>
      </c>
      <c r="Q89" s="247">
        <f>0/83</f>
        <v>0</v>
      </c>
      <c r="R89" s="247">
        <f>42/76</f>
        <v>0.55263157894736847</v>
      </c>
      <c r="S89" s="247">
        <f>6/59</f>
        <v>0.10169491525423729</v>
      </c>
      <c r="T89" s="127" t="s">
        <v>78</v>
      </c>
      <c r="U89" s="248" t="s">
        <v>330</v>
      </c>
      <c r="V89" s="127" t="s">
        <v>80</v>
      </c>
      <c r="W89" s="127" t="s">
        <v>153</v>
      </c>
      <c r="X89" s="127" t="s">
        <v>163</v>
      </c>
      <c r="Y89" s="127" t="s">
        <v>58</v>
      </c>
      <c r="Z89" s="127">
        <f>AA89*AB89</f>
        <v>5400</v>
      </c>
      <c r="AA89" s="127">
        <f>12*5</f>
        <v>60</v>
      </c>
      <c r="AB89" s="127">
        <v>90</v>
      </c>
      <c r="AC89" s="127" t="s">
        <v>59</v>
      </c>
      <c r="AD89" s="127" t="s">
        <v>325</v>
      </c>
      <c r="AE89" s="127" t="s">
        <v>95</v>
      </c>
      <c r="AF89" s="60" t="s">
        <v>461</v>
      </c>
      <c r="AG89" s="146" t="s">
        <v>589</v>
      </c>
      <c r="AH89" s="127">
        <v>0.32</v>
      </c>
      <c r="AI89" s="127">
        <v>4.9000000000000002E-2</v>
      </c>
      <c r="AJ89" s="127">
        <v>76</v>
      </c>
      <c r="AK89" s="127">
        <v>0.35</v>
      </c>
      <c r="AL89" s="127">
        <v>0.04</v>
      </c>
      <c r="AM89" s="127">
        <v>76</v>
      </c>
      <c r="AN89" s="194" t="s">
        <v>52</v>
      </c>
      <c r="AO89" s="194" t="s">
        <v>52</v>
      </c>
      <c r="AP89" s="194" t="s">
        <v>52</v>
      </c>
      <c r="AQ89" s="194" t="s">
        <v>52</v>
      </c>
      <c r="AR89" s="194"/>
      <c r="AS89" s="194"/>
      <c r="AT89" s="263"/>
      <c r="AU89" s="127">
        <v>0</v>
      </c>
      <c r="AV89" s="127"/>
      <c r="AW89" s="60" t="s">
        <v>86</v>
      </c>
      <c r="AX89" s="60"/>
    </row>
    <row r="90" spans="1:50" s="128" customFormat="1" ht="17" customHeight="1">
      <c r="A90" s="123"/>
      <c r="B90" s="123"/>
      <c r="C90" s="132"/>
      <c r="D90" s="89"/>
      <c r="E90" s="89"/>
      <c r="F90" s="132"/>
      <c r="G90" s="132"/>
      <c r="H90" s="286"/>
      <c r="I90" s="286" t="str">
        <f t="shared" si="4"/>
        <v/>
      </c>
      <c r="L90" s="234"/>
      <c r="M90" s="234"/>
      <c r="N90" s="234"/>
      <c r="O90" s="234"/>
      <c r="P90" s="234"/>
      <c r="Q90" s="234"/>
      <c r="R90" s="234"/>
      <c r="S90" s="234"/>
      <c r="T90" s="234"/>
      <c r="U90" s="234"/>
      <c r="V90" s="234"/>
      <c r="W90" s="234"/>
      <c r="X90" s="234"/>
      <c r="Y90" s="234"/>
      <c r="Z90" s="234"/>
      <c r="AA90" s="234"/>
      <c r="AB90" s="234"/>
      <c r="AC90" s="234"/>
      <c r="AD90" s="128" t="s">
        <v>326</v>
      </c>
      <c r="AE90" s="128" t="s">
        <v>61</v>
      </c>
      <c r="AF90" s="60" t="s">
        <v>461</v>
      </c>
      <c r="AG90" s="147" t="s">
        <v>52</v>
      </c>
      <c r="AH90" s="128" t="s">
        <v>52</v>
      </c>
      <c r="AI90" s="128" t="s">
        <v>52</v>
      </c>
      <c r="AJ90" s="128" t="s">
        <v>52</v>
      </c>
      <c r="AK90" s="128">
        <v>483.33</v>
      </c>
      <c r="AL90" s="128">
        <v>11.93</v>
      </c>
      <c r="AM90" s="128">
        <v>76</v>
      </c>
      <c r="AN90" s="195" t="s">
        <v>52</v>
      </c>
      <c r="AO90" s="195" t="s">
        <v>52</v>
      </c>
      <c r="AP90" s="195" t="s">
        <v>52</v>
      </c>
      <c r="AQ90" s="195" t="s">
        <v>52</v>
      </c>
      <c r="AR90" s="195"/>
      <c r="AS90" s="195"/>
      <c r="AT90" s="266"/>
      <c r="AU90" s="128">
        <v>0</v>
      </c>
      <c r="AW90" s="63"/>
      <c r="AX90" s="63"/>
    </row>
    <row r="91" spans="1:50" ht="16" customHeight="1">
      <c r="A91" s="117" t="s">
        <v>374</v>
      </c>
      <c r="B91" s="117">
        <v>119</v>
      </c>
      <c r="C91" s="130" t="s">
        <v>331</v>
      </c>
      <c r="D91" s="88" t="s">
        <v>573</v>
      </c>
      <c r="E91" s="88" t="s">
        <v>66</v>
      </c>
      <c r="F91" s="130" t="s">
        <v>49</v>
      </c>
      <c r="G91" s="88" t="s">
        <v>50</v>
      </c>
      <c r="H91" s="285" t="s">
        <v>924</v>
      </c>
      <c r="I91" s="285" t="str">
        <f t="shared" si="4"/>
        <v>cm</v>
      </c>
      <c r="J91" s="127">
        <v>1</v>
      </c>
      <c r="K91" s="127" t="s">
        <v>332</v>
      </c>
      <c r="L91" s="230" t="s">
        <v>83</v>
      </c>
      <c r="M91" s="230">
        <v>10.02</v>
      </c>
      <c r="N91" s="230">
        <v>1</v>
      </c>
      <c r="O91" s="230" t="s">
        <v>52</v>
      </c>
      <c r="P91" s="230" t="s">
        <v>52</v>
      </c>
      <c r="Q91" s="230" t="s">
        <v>52</v>
      </c>
      <c r="R91" s="230">
        <f>22/50</f>
        <v>0.44</v>
      </c>
      <c r="S91" s="230" t="s">
        <v>52</v>
      </c>
      <c r="T91" s="187" t="s">
        <v>53</v>
      </c>
      <c r="U91" s="248" t="s">
        <v>333</v>
      </c>
      <c r="V91" s="230" t="s">
        <v>71</v>
      </c>
      <c r="W91" s="230" t="s">
        <v>153</v>
      </c>
      <c r="X91" s="230" t="s">
        <v>57</v>
      </c>
      <c r="Y91" s="230" t="s">
        <v>58</v>
      </c>
      <c r="Z91" s="127">
        <f>AA91*AB91</f>
        <v>720</v>
      </c>
      <c r="AA91" s="230">
        <v>8</v>
      </c>
      <c r="AB91" s="230">
        <v>90</v>
      </c>
      <c r="AC91" s="127" t="s">
        <v>59</v>
      </c>
      <c r="AD91" s="127" t="s">
        <v>334</v>
      </c>
      <c r="AE91" s="127" t="s">
        <v>95</v>
      </c>
      <c r="AF91" s="60" t="s">
        <v>461</v>
      </c>
      <c r="AG91" s="148" t="s">
        <v>590</v>
      </c>
      <c r="AH91" s="127">
        <v>0.53</v>
      </c>
      <c r="AI91" s="127">
        <f>0.02*SQRT(AJ91)</f>
        <v>0.1414213562373095</v>
      </c>
      <c r="AJ91" s="127">
        <v>50</v>
      </c>
      <c r="AK91" s="127">
        <v>0.56000000000000005</v>
      </c>
      <c r="AL91" s="127">
        <f>0.02*SQRT(AM91)</f>
        <v>0.13114877048604001</v>
      </c>
      <c r="AM91" s="127">
        <v>43</v>
      </c>
      <c r="AN91" s="202">
        <v>0.61</v>
      </c>
      <c r="AO91" s="202">
        <f>0.02/SQRT(AP91)</f>
        <v>2.9172998299578914E-3</v>
      </c>
      <c r="AP91" s="202">
        <v>47</v>
      </c>
      <c r="AQ91" s="127">
        <v>7</v>
      </c>
      <c r="AR91" s="194"/>
      <c r="AS91" s="194"/>
      <c r="AT91" s="263"/>
      <c r="AU91" s="184">
        <v>1</v>
      </c>
      <c r="AV91" s="269" t="s">
        <v>335</v>
      </c>
      <c r="AW91" s="60" t="s">
        <v>376</v>
      </c>
    </row>
    <row r="92" spans="1:50" ht="16" customHeight="1">
      <c r="A92" s="341"/>
      <c r="B92" s="117"/>
      <c r="H92" s="285" t="s">
        <v>922</v>
      </c>
      <c r="I92" s="285" t="str">
        <f t="shared" si="4"/>
        <v>cm</v>
      </c>
      <c r="J92" s="127">
        <v>2</v>
      </c>
      <c r="K92" s="127" t="s">
        <v>336</v>
      </c>
      <c r="L92" s="230" t="s">
        <v>83</v>
      </c>
      <c r="M92" s="230">
        <v>9.89</v>
      </c>
      <c r="N92" s="230">
        <v>1</v>
      </c>
      <c r="O92" s="230" t="s">
        <v>52</v>
      </c>
      <c r="P92" s="230" t="s">
        <v>52</v>
      </c>
      <c r="Q92" s="230" t="s">
        <v>52</v>
      </c>
      <c r="R92" s="230">
        <f>18/49</f>
        <v>0.36734693877551022</v>
      </c>
      <c r="S92" s="230" t="s">
        <v>52</v>
      </c>
      <c r="T92" s="187" t="s">
        <v>53</v>
      </c>
      <c r="U92" s="248" t="s">
        <v>337</v>
      </c>
      <c r="V92" s="230" t="s">
        <v>71</v>
      </c>
      <c r="W92" s="230" t="s">
        <v>153</v>
      </c>
      <c r="X92" s="230" t="s">
        <v>57</v>
      </c>
      <c r="Y92" s="230" t="s">
        <v>58</v>
      </c>
      <c r="Z92" s="127">
        <f>AA92*AB92</f>
        <v>720</v>
      </c>
      <c r="AA92" s="230">
        <v>8</v>
      </c>
      <c r="AB92" s="230">
        <v>90</v>
      </c>
      <c r="AC92" s="127" t="s">
        <v>59</v>
      </c>
      <c r="AD92" s="127" t="s">
        <v>334</v>
      </c>
      <c r="AE92" s="127" t="s">
        <v>95</v>
      </c>
      <c r="AF92" s="60" t="s">
        <v>461</v>
      </c>
      <c r="AG92" s="146" t="s">
        <v>590</v>
      </c>
      <c r="AH92" s="127">
        <v>0.51</v>
      </c>
      <c r="AI92" s="127">
        <f>0.02*SQRT(AJ92)</f>
        <v>0.13856406460551018</v>
      </c>
      <c r="AJ92" s="127">
        <v>48</v>
      </c>
      <c r="AK92" s="127">
        <v>0.56999999999999995</v>
      </c>
      <c r="AL92" s="127">
        <f>0.02*SQRT(AM92)</f>
        <v>0.12328828005937953</v>
      </c>
      <c r="AM92" s="127">
        <v>38</v>
      </c>
      <c r="AN92" s="127">
        <v>0.6</v>
      </c>
      <c r="AO92" s="127">
        <f>0.03/SQRT(AP92)</f>
        <v>4.6852128566581821E-3</v>
      </c>
      <c r="AP92" s="127">
        <v>41</v>
      </c>
      <c r="AQ92" s="127">
        <v>7</v>
      </c>
      <c r="AR92" s="194"/>
      <c r="AS92" s="194"/>
      <c r="AT92" s="263"/>
      <c r="AU92" s="184">
        <v>1</v>
      </c>
      <c r="AV92" s="269" t="s">
        <v>450</v>
      </c>
      <c r="AW92" s="60" t="s">
        <v>376</v>
      </c>
    </row>
    <row r="93" spans="1:50" s="128" customFormat="1" ht="16" customHeight="1">
      <c r="A93" s="117"/>
      <c r="B93" s="117"/>
      <c r="C93" s="132"/>
      <c r="D93" s="88"/>
      <c r="E93" s="89"/>
      <c r="F93" s="132"/>
      <c r="G93" s="89"/>
      <c r="H93" s="286" t="s">
        <v>919</v>
      </c>
      <c r="I93" s="286" t="str">
        <f t="shared" si="4"/>
        <v>.</v>
      </c>
      <c r="J93" s="128">
        <v>0</v>
      </c>
      <c r="K93" s="128" t="s">
        <v>126</v>
      </c>
      <c r="L93" s="234" t="s">
        <v>83</v>
      </c>
      <c r="M93" s="234">
        <v>9.98</v>
      </c>
      <c r="N93" s="234">
        <v>1</v>
      </c>
      <c r="O93" s="234" t="s">
        <v>52</v>
      </c>
      <c r="P93" s="234" t="s">
        <v>52</v>
      </c>
      <c r="Q93" s="234" t="s">
        <v>52</v>
      </c>
      <c r="R93" s="234">
        <f>27/59</f>
        <v>0.4576271186440678</v>
      </c>
      <c r="S93" s="234" t="s">
        <v>52</v>
      </c>
      <c r="T93" s="128" t="s">
        <v>78</v>
      </c>
      <c r="U93" s="250" t="s">
        <v>338</v>
      </c>
      <c r="V93" s="234" t="s">
        <v>80</v>
      </c>
      <c r="W93" s="128" t="s">
        <v>78</v>
      </c>
      <c r="X93" s="128" t="s">
        <v>78</v>
      </c>
      <c r="Y93" s="128" t="s">
        <v>78</v>
      </c>
      <c r="Z93" s="128" t="s">
        <v>78</v>
      </c>
      <c r="AA93" s="128" t="s">
        <v>78</v>
      </c>
      <c r="AB93" s="128" t="s">
        <v>78</v>
      </c>
      <c r="AC93" s="128" t="s">
        <v>78</v>
      </c>
      <c r="AD93" s="128" t="s">
        <v>334</v>
      </c>
      <c r="AE93" s="128" t="s">
        <v>95</v>
      </c>
      <c r="AF93" s="60" t="s">
        <v>461</v>
      </c>
      <c r="AG93" s="147" t="s">
        <v>590</v>
      </c>
      <c r="AH93" s="128">
        <v>0.47</v>
      </c>
      <c r="AI93" s="128">
        <f>0.02*SQRT(AJ93)</f>
        <v>0.15099668870541499</v>
      </c>
      <c r="AJ93" s="128">
        <v>57</v>
      </c>
      <c r="AK93" s="128">
        <v>0.53</v>
      </c>
      <c r="AL93" s="128">
        <f>0.02*SQRT(AM93)</f>
        <v>0.13856406460551018</v>
      </c>
      <c r="AM93" s="128">
        <v>48</v>
      </c>
      <c r="AN93" s="128">
        <v>0.56000000000000005</v>
      </c>
      <c r="AO93" s="128">
        <f t="shared" ref="AO93" si="5">0.02/SQRT(AP93)</f>
        <v>2.8284271247461901E-3</v>
      </c>
      <c r="AP93" s="128">
        <v>50</v>
      </c>
      <c r="AQ93" s="127">
        <v>7</v>
      </c>
      <c r="AR93" s="194"/>
      <c r="AS93" s="194"/>
      <c r="AT93" s="266"/>
      <c r="AU93" s="185">
        <v>1</v>
      </c>
      <c r="AV93" s="63"/>
      <c r="AW93" s="63" t="s">
        <v>376</v>
      </c>
    </row>
    <row r="94" spans="1:50" ht="19" customHeight="1">
      <c r="A94" s="338" t="s">
        <v>379</v>
      </c>
      <c r="B94" s="338">
        <v>120</v>
      </c>
      <c r="C94" s="130" t="s">
        <v>47</v>
      </c>
      <c r="D94" s="144" t="s">
        <v>454</v>
      </c>
      <c r="E94" s="88" t="s">
        <v>66</v>
      </c>
      <c r="F94" s="130" t="s">
        <v>49</v>
      </c>
      <c r="G94" s="294" t="s">
        <v>50</v>
      </c>
      <c r="H94" s="285" t="s">
        <v>924</v>
      </c>
      <c r="I94" s="285" t="str">
        <f t="shared" si="4"/>
        <v xml:space="preserve">m </v>
      </c>
      <c r="J94" s="127">
        <v>1</v>
      </c>
      <c r="K94" s="127" t="s">
        <v>339</v>
      </c>
      <c r="L94" s="230" t="s">
        <v>381</v>
      </c>
      <c r="M94" s="230">
        <v>6.5</v>
      </c>
      <c r="N94" s="230" t="s">
        <v>52</v>
      </c>
      <c r="O94" s="230">
        <f>(18+14)/(18+14+191+221)</f>
        <v>7.2072072072072071E-2</v>
      </c>
      <c r="P94" s="230" t="s">
        <v>52</v>
      </c>
      <c r="Q94" s="230">
        <f>(35+49)/(35+49+174+186)</f>
        <v>0.1891891891891892</v>
      </c>
      <c r="R94" s="230">
        <f>(110+113)/(99+110+122+113)</f>
        <v>0.50225225225225223</v>
      </c>
      <c r="S94" s="230">
        <f>1-(47+41)/(69+19+65+47+9+78+25+81+41+10)</f>
        <v>0.80180180180180183</v>
      </c>
      <c r="T94" s="230" t="s">
        <v>92</v>
      </c>
      <c r="U94" s="248" t="s">
        <v>340</v>
      </c>
      <c r="V94" s="230" t="s">
        <v>55</v>
      </c>
      <c r="W94" s="230" t="s">
        <v>153</v>
      </c>
      <c r="X94" s="230" t="s">
        <v>163</v>
      </c>
      <c r="Y94" s="230" t="s">
        <v>58</v>
      </c>
      <c r="Z94" s="127">
        <f>AA94*AB94</f>
        <v>600</v>
      </c>
      <c r="AA94" s="230">
        <v>10</v>
      </c>
      <c r="AB94" s="230">
        <v>60</v>
      </c>
      <c r="AC94" s="127" t="s">
        <v>59</v>
      </c>
      <c r="AD94" s="127" t="s">
        <v>341</v>
      </c>
      <c r="AE94" s="184" t="s">
        <v>95</v>
      </c>
      <c r="AF94" s="60" t="s">
        <v>461</v>
      </c>
      <c r="AG94" s="146" t="s">
        <v>591</v>
      </c>
      <c r="AH94" s="127">
        <v>171.92</v>
      </c>
      <c r="AI94" s="127">
        <v>15.81</v>
      </c>
      <c r="AJ94" s="127">
        <v>319</v>
      </c>
      <c r="AK94" s="127">
        <v>176.59</v>
      </c>
      <c r="AL94" s="127">
        <v>15.58</v>
      </c>
      <c r="AM94" s="127">
        <v>403</v>
      </c>
      <c r="AN94" s="196" t="s">
        <v>52</v>
      </c>
      <c r="AO94" s="196" t="s">
        <v>52</v>
      </c>
      <c r="AP94" s="196" t="s">
        <v>52</v>
      </c>
      <c r="AQ94" s="196" t="s">
        <v>52</v>
      </c>
      <c r="AR94" s="196"/>
      <c r="AS94" s="196"/>
      <c r="AT94" s="263"/>
      <c r="AU94" s="127">
        <v>0</v>
      </c>
      <c r="AV94" s="127"/>
      <c r="AW94" s="60" t="s">
        <v>86</v>
      </c>
      <c r="AX94" s="269"/>
    </row>
    <row r="95" spans="1:50" ht="19" customHeight="1">
      <c r="A95" s="117"/>
      <c r="B95" s="117"/>
      <c r="G95" s="130"/>
      <c r="I95" s="285" t="str">
        <f t="shared" si="4"/>
        <v/>
      </c>
      <c r="L95" s="230"/>
      <c r="M95" s="230"/>
      <c r="N95" s="230"/>
      <c r="O95" s="230"/>
      <c r="P95" s="230"/>
      <c r="Q95" s="230"/>
      <c r="R95" s="230"/>
      <c r="S95" s="230"/>
      <c r="T95" s="230"/>
      <c r="V95" s="230"/>
      <c r="W95" s="230"/>
      <c r="X95" s="230"/>
      <c r="Y95" s="230"/>
      <c r="AA95" s="230"/>
      <c r="AB95" s="230"/>
      <c r="AD95" s="127" t="s">
        <v>342</v>
      </c>
      <c r="AE95" s="127" t="s">
        <v>61</v>
      </c>
      <c r="AF95" s="60" t="s">
        <v>461</v>
      </c>
      <c r="AG95" s="146" t="s">
        <v>592</v>
      </c>
      <c r="AH95" s="127">
        <v>189.37</v>
      </c>
      <c r="AI95" s="127">
        <v>101.26</v>
      </c>
      <c r="AJ95" s="127">
        <v>425</v>
      </c>
      <c r="AK95" s="127">
        <v>188.05</v>
      </c>
      <c r="AL95" s="127">
        <v>85.78</v>
      </c>
      <c r="AM95" s="127">
        <v>431</v>
      </c>
      <c r="AN95" s="194" t="s">
        <v>52</v>
      </c>
      <c r="AO95" s="194" t="s">
        <v>52</v>
      </c>
      <c r="AP95" s="194" t="s">
        <v>52</v>
      </c>
      <c r="AQ95" s="194" t="s">
        <v>52</v>
      </c>
      <c r="AR95" s="194"/>
      <c r="AS95" s="194"/>
      <c r="AT95" s="263"/>
      <c r="AU95" s="127">
        <v>0</v>
      </c>
      <c r="AV95" s="127"/>
      <c r="AX95" s="269"/>
    </row>
    <row r="96" spans="1:50" ht="19" customHeight="1">
      <c r="A96" s="117"/>
      <c r="B96" s="117"/>
      <c r="H96" s="285" t="s">
        <v>919</v>
      </c>
      <c r="I96" s="285" t="str">
        <f t="shared" si="4"/>
        <v>.</v>
      </c>
      <c r="J96" s="127">
        <v>0</v>
      </c>
      <c r="K96" s="127" t="s">
        <v>281</v>
      </c>
      <c r="L96" s="230" t="s">
        <v>381</v>
      </c>
      <c r="M96" s="230">
        <v>6.5</v>
      </c>
      <c r="N96" s="230" t="s">
        <v>52</v>
      </c>
      <c r="O96" s="230">
        <f>13/(13+205)</f>
        <v>5.9633027522935783E-2</v>
      </c>
      <c r="P96" s="230" t="s">
        <v>52</v>
      </c>
      <c r="Q96" s="230">
        <f>52/(52+166)</f>
        <v>0.23853211009174313</v>
      </c>
      <c r="R96" s="230">
        <f>100/(100+118)</f>
        <v>0.45871559633027525</v>
      </c>
      <c r="S96" s="230">
        <f>1-53/(70+16+75+53+4)</f>
        <v>0.75688073394495414</v>
      </c>
      <c r="T96" s="230" t="s">
        <v>78</v>
      </c>
      <c r="U96" s="248" t="s">
        <v>343</v>
      </c>
      <c r="V96" s="230" t="s">
        <v>55</v>
      </c>
      <c r="W96" s="127" t="s">
        <v>78</v>
      </c>
      <c r="X96" s="127" t="s">
        <v>78</v>
      </c>
      <c r="Y96" s="127" t="s">
        <v>78</v>
      </c>
      <c r="Z96" s="127" t="s">
        <v>78</v>
      </c>
      <c r="AA96" s="127" t="s">
        <v>78</v>
      </c>
      <c r="AB96" s="127" t="s">
        <v>78</v>
      </c>
      <c r="AC96" s="127" t="s">
        <v>78</v>
      </c>
      <c r="AD96" s="127" t="s">
        <v>341</v>
      </c>
      <c r="AE96" s="184" t="s">
        <v>95</v>
      </c>
      <c r="AF96" s="60" t="s">
        <v>461</v>
      </c>
      <c r="AG96" s="146" t="s">
        <v>591</v>
      </c>
      <c r="AH96" s="127">
        <v>173.76</v>
      </c>
      <c r="AI96" s="127">
        <v>15.97</v>
      </c>
      <c r="AJ96" s="127">
        <v>165</v>
      </c>
      <c r="AK96" s="127">
        <v>175.88</v>
      </c>
      <c r="AL96" s="127">
        <v>17.13</v>
      </c>
      <c r="AM96" s="127">
        <v>204</v>
      </c>
      <c r="AN96" s="194" t="s">
        <v>52</v>
      </c>
      <c r="AO96" s="194" t="s">
        <v>52</v>
      </c>
      <c r="AP96" s="194" t="s">
        <v>52</v>
      </c>
      <c r="AQ96" s="194" t="s">
        <v>52</v>
      </c>
      <c r="AR96" s="194"/>
      <c r="AS96" s="194"/>
      <c r="AT96" s="263"/>
      <c r="AU96" s="127">
        <v>0</v>
      </c>
      <c r="AV96" s="127"/>
      <c r="AW96" s="60" t="s">
        <v>86</v>
      </c>
      <c r="AX96" s="269"/>
    </row>
    <row r="97" spans="1:50" s="128" customFormat="1" ht="19" customHeight="1">
      <c r="A97" s="123"/>
      <c r="B97" s="123"/>
      <c r="C97" s="132"/>
      <c r="D97" s="89"/>
      <c r="E97" s="89"/>
      <c r="F97" s="132"/>
      <c r="G97" s="132"/>
      <c r="H97" s="286"/>
      <c r="I97" s="286" t="str">
        <f t="shared" si="4"/>
        <v/>
      </c>
      <c r="L97" s="234"/>
      <c r="M97" s="234"/>
      <c r="N97" s="234"/>
      <c r="O97" s="234"/>
      <c r="P97" s="234"/>
      <c r="Q97" s="234"/>
      <c r="R97" s="234"/>
      <c r="S97" s="234"/>
      <c r="T97" s="234"/>
      <c r="U97" s="250"/>
      <c r="V97" s="234"/>
      <c r="W97" s="234"/>
      <c r="X97" s="234"/>
      <c r="Y97" s="234"/>
      <c r="AA97" s="234"/>
      <c r="AB97" s="234"/>
      <c r="AD97" s="128" t="s">
        <v>342</v>
      </c>
      <c r="AE97" s="128" t="s">
        <v>61</v>
      </c>
      <c r="AF97" s="63" t="s">
        <v>461</v>
      </c>
      <c r="AG97" s="147" t="s">
        <v>592</v>
      </c>
      <c r="AH97" s="128">
        <v>191.19</v>
      </c>
      <c r="AI97" s="185">
        <v>112.27</v>
      </c>
      <c r="AJ97" s="128">
        <v>212</v>
      </c>
      <c r="AK97" s="128">
        <v>186.26</v>
      </c>
      <c r="AL97" s="128">
        <v>93.54</v>
      </c>
      <c r="AM97" s="128">
        <v>214</v>
      </c>
      <c r="AN97" s="195" t="s">
        <v>52</v>
      </c>
      <c r="AO97" s="195" t="s">
        <v>52</v>
      </c>
      <c r="AP97" s="195" t="s">
        <v>52</v>
      </c>
      <c r="AQ97" s="195" t="s">
        <v>52</v>
      </c>
      <c r="AR97" s="195"/>
      <c r="AS97" s="195"/>
      <c r="AT97" s="266"/>
      <c r="AU97" s="128">
        <v>0</v>
      </c>
      <c r="AW97" s="63"/>
      <c r="AX97" s="270"/>
    </row>
    <row r="98" spans="1:50" ht="19" customHeight="1">
      <c r="A98" s="116" t="s">
        <v>386</v>
      </c>
      <c r="B98" s="117">
        <v>121</v>
      </c>
      <c r="C98" s="88" t="s">
        <v>387</v>
      </c>
      <c r="D98" s="143" t="s">
        <v>574</v>
      </c>
      <c r="E98" s="88" t="s">
        <v>66</v>
      </c>
      <c r="F98" s="88" t="s">
        <v>49</v>
      </c>
      <c r="G98" s="88" t="s">
        <v>239</v>
      </c>
      <c r="H98" s="285" t="s">
        <v>924</v>
      </c>
      <c r="I98" s="285" t="str">
        <f t="shared" si="4"/>
        <v xml:space="preserve">m </v>
      </c>
      <c r="J98" s="127">
        <v>1</v>
      </c>
      <c r="K98" s="60" t="s">
        <v>419</v>
      </c>
      <c r="L98" s="90" t="s">
        <v>146</v>
      </c>
      <c r="M98" s="109">
        <v>10.73</v>
      </c>
      <c r="N98" s="247" t="s">
        <v>316</v>
      </c>
      <c r="O98" s="90" t="s">
        <v>52</v>
      </c>
      <c r="P98" s="91">
        <v>0.75</v>
      </c>
      <c r="Q98" s="91">
        <v>0</v>
      </c>
      <c r="R98" s="90">
        <f>44/(44+50)</f>
        <v>0.46808510638297873</v>
      </c>
      <c r="S98" s="91">
        <v>0</v>
      </c>
      <c r="T98" s="60" t="s">
        <v>92</v>
      </c>
      <c r="U98" s="92" t="s">
        <v>420</v>
      </c>
      <c r="V98" s="60" t="s">
        <v>71</v>
      </c>
      <c r="W98" s="60" t="s">
        <v>153</v>
      </c>
      <c r="X98" s="60" t="s">
        <v>57</v>
      </c>
      <c r="Y98" s="60" t="s">
        <v>58</v>
      </c>
      <c r="Z98" s="98">
        <f>AA98*AB98</f>
        <v>300</v>
      </c>
      <c r="AA98" s="98">
        <v>5</v>
      </c>
      <c r="AB98" s="60">
        <v>60</v>
      </c>
      <c r="AC98" s="60" t="s">
        <v>148</v>
      </c>
      <c r="AD98" s="60" t="s">
        <v>439</v>
      </c>
      <c r="AE98" s="60" t="s">
        <v>95</v>
      </c>
      <c r="AF98" s="60" t="s">
        <v>461</v>
      </c>
      <c r="AG98" s="146" t="s">
        <v>593</v>
      </c>
      <c r="AH98" s="60" t="s">
        <v>52</v>
      </c>
      <c r="AI98" s="60" t="s">
        <v>52</v>
      </c>
      <c r="AJ98" s="60" t="s">
        <v>52</v>
      </c>
      <c r="AK98" s="60">
        <v>20.43</v>
      </c>
      <c r="AL98" s="60">
        <v>3.04</v>
      </c>
      <c r="AM98" s="60">
        <v>94</v>
      </c>
      <c r="AN98" s="127">
        <v>19.07</v>
      </c>
      <c r="AO98" s="127">
        <v>3.2919999999999998</v>
      </c>
      <c r="AP98" s="127">
        <v>94</v>
      </c>
      <c r="AQ98" s="127">
        <v>3</v>
      </c>
      <c r="AR98" s="194"/>
      <c r="AS98" s="194"/>
      <c r="AT98" s="60"/>
      <c r="AU98" s="184">
        <v>1</v>
      </c>
      <c r="AV98" s="60" t="s">
        <v>440</v>
      </c>
      <c r="AW98" s="60" t="s">
        <v>97</v>
      </c>
    </row>
    <row r="99" spans="1:50" ht="19" customHeight="1">
      <c r="A99" s="116"/>
      <c r="B99" s="117"/>
      <c r="C99" s="88"/>
      <c r="F99" s="88"/>
      <c r="H99" s="285" t="s">
        <v>922</v>
      </c>
      <c r="I99" s="285" t="str">
        <f t="shared" si="4"/>
        <v xml:space="preserve">m </v>
      </c>
      <c r="J99" s="127">
        <v>2</v>
      </c>
      <c r="K99" s="60" t="s">
        <v>421</v>
      </c>
      <c r="L99" s="90" t="s">
        <v>146</v>
      </c>
      <c r="M99" s="90">
        <v>10.69</v>
      </c>
      <c r="N99" s="247" t="s">
        <v>316</v>
      </c>
      <c r="O99" s="90" t="s">
        <v>52</v>
      </c>
      <c r="P99" s="91">
        <v>0.75</v>
      </c>
      <c r="Q99" s="91">
        <v>0</v>
      </c>
      <c r="R99" s="90">
        <f>54/(54+45)</f>
        <v>0.54545454545454541</v>
      </c>
      <c r="S99" s="91">
        <v>0</v>
      </c>
      <c r="T99" s="60" t="s">
        <v>92</v>
      </c>
      <c r="U99" s="92" t="s">
        <v>422</v>
      </c>
      <c r="V99" s="60" t="s">
        <v>71</v>
      </c>
      <c r="W99" s="60" t="s">
        <v>153</v>
      </c>
      <c r="X99" s="60" t="s">
        <v>57</v>
      </c>
      <c r="Y99" s="60" t="s">
        <v>58</v>
      </c>
      <c r="Z99" s="98">
        <f>AA99*AB99</f>
        <v>300</v>
      </c>
      <c r="AA99" s="98">
        <v>5</v>
      </c>
      <c r="AB99" s="60">
        <v>60</v>
      </c>
      <c r="AC99" s="60" t="s">
        <v>148</v>
      </c>
      <c r="AD99" s="60" t="s">
        <v>439</v>
      </c>
      <c r="AE99" s="60" t="s">
        <v>95</v>
      </c>
      <c r="AF99" s="60" t="s">
        <v>461</v>
      </c>
      <c r="AG99" s="146" t="s">
        <v>593</v>
      </c>
      <c r="AH99" s="60" t="s">
        <v>52</v>
      </c>
      <c r="AI99" s="60" t="s">
        <v>52</v>
      </c>
      <c r="AJ99" s="60" t="s">
        <v>52</v>
      </c>
      <c r="AK99" s="60">
        <v>19.38</v>
      </c>
      <c r="AL99" s="60">
        <v>2.8</v>
      </c>
      <c r="AM99" s="60">
        <v>99</v>
      </c>
      <c r="AN99" s="127">
        <v>19.12</v>
      </c>
      <c r="AO99" s="127">
        <v>3.18</v>
      </c>
      <c r="AP99" s="127">
        <v>99</v>
      </c>
      <c r="AQ99" s="127">
        <v>3</v>
      </c>
      <c r="AR99" s="194"/>
      <c r="AS99" s="194"/>
      <c r="AT99" s="60"/>
      <c r="AU99" s="184">
        <v>1</v>
      </c>
      <c r="AW99" s="60" t="s">
        <v>97</v>
      </c>
    </row>
    <row r="100" spans="1:50" ht="19" customHeight="1">
      <c r="A100" s="116"/>
      <c r="B100" s="117"/>
      <c r="C100" s="89"/>
      <c r="E100" s="89"/>
      <c r="F100" s="89"/>
      <c r="G100" s="89"/>
      <c r="H100" s="286" t="s">
        <v>919</v>
      </c>
      <c r="I100" s="286" t="str">
        <f t="shared" si="4"/>
        <v>.</v>
      </c>
      <c r="J100" s="128">
        <v>0</v>
      </c>
      <c r="K100" s="63" t="s">
        <v>423</v>
      </c>
      <c r="L100" s="93" t="s">
        <v>146</v>
      </c>
      <c r="M100" s="93">
        <v>10.69</v>
      </c>
      <c r="N100" s="249" t="s">
        <v>316</v>
      </c>
      <c r="O100" s="93" t="s">
        <v>52</v>
      </c>
      <c r="P100" s="94">
        <v>0.75</v>
      </c>
      <c r="Q100" s="94">
        <v>0</v>
      </c>
      <c r="R100" s="93">
        <f>43/(43+43)</f>
        <v>0.5</v>
      </c>
      <c r="S100" s="94">
        <v>0</v>
      </c>
      <c r="T100" s="63" t="s">
        <v>78</v>
      </c>
      <c r="U100" s="95" t="s">
        <v>393</v>
      </c>
      <c r="V100" s="128" t="s">
        <v>351</v>
      </c>
      <c r="W100" s="63" t="s">
        <v>78</v>
      </c>
      <c r="X100" s="63" t="s">
        <v>78</v>
      </c>
      <c r="Y100" s="63" t="s">
        <v>78</v>
      </c>
      <c r="Z100" s="63" t="s">
        <v>78</v>
      </c>
      <c r="AA100" s="63" t="s">
        <v>78</v>
      </c>
      <c r="AB100" s="63" t="s">
        <v>78</v>
      </c>
      <c r="AC100" s="63" t="s">
        <v>78</v>
      </c>
      <c r="AD100" s="63" t="s">
        <v>439</v>
      </c>
      <c r="AE100" s="63" t="s">
        <v>95</v>
      </c>
      <c r="AF100" s="63" t="s">
        <v>461</v>
      </c>
      <c r="AG100" s="147" t="s">
        <v>593</v>
      </c>
      <c r="AH100" s="63" t="s">
        <v>52</v>
      </c>
      <c r="AI100" s="63" t="s">
        <v>52</v>
      </c>
      <c r="AJ100" s="63" t="s">
        <v>52</v>
      </c>
      <c r="AK100" s="63">
        <v>18.940000000000001</v>
      </c>
      <c r="AL100" s="63">
        <v>3.62</v>
      </c>
      <c r="AM100" s="63">
        <v>86</v>
      </c>
      <c r="AN100" s="127">
        <v>18.329999999999998</v>
      </c>
      <c r="AO100" s="127">
        <v>3.29</v>
      </c>
      <c r="AP100" s="127">
        <v>96</v>
      </c>
      <c r="AQ100" s="127">
        <v>3</v>
      </c>
      <c r="AR100" s="194"/>
      <c r="AS100" s="194"/>
      <c r="AT100" s="63"/>
      <c r="AU100" s="185">
        <v>1</v>
      </c>
      <c r="AV100" s="63"/>
      <c r="AW100" s="63" t="s">
        <v>97</v>
      </c>
    </row>
    <row r="101" spans="1:50" s="289" customFormat="1" ht="19" customHeight="1">
      <c r="A101" s="143" t="s">
        <v>394</v>
      </c>
      <c r="B101" s="338" t="s">
        <v>931</v>
      </c>
      <c r="C101" s="290" t="s">
        <v>395</v>
      </c>
      <c r="D101" s="295" t="s">
        <v>575</v>
      </c>
      <c r="E101" s="290" t="s">
        <v>66</v>
      </c>
      <c r="F101" s="290" t="s">
        <v>49</v>
      </c>
      <c r="G101" s="290" t="s">
        <v>50</v>
      </c>
      <c r="J101" s="289">
        <v>1</v>
      </c>
      <c r="K101" s="290" t="s">
        <v>424</v>
      </c>
      <c r="L101" s="296" t="s">
        <v>365</v>
      </c>
      <c r="M101" s="296">
        <v>9.1999999999999993</v>
      </c>
      <c r="N101" s="296" t="s">
        <v>52</v>
      </c>
      <c r="O101" s="296" t="s">
        <v>52</v>
      </c>
      <c r="P101" s="296" t="s">
        <v>52</v>
      </c>
      <c r="Q101" s="296">
        <v>0</v>
      </c>
      <c r="R101" s="296">
        <f>47/(47+58)</f>
        <v>0.44761904761904764</v>
      </c>
      <c r="S101" s="296">
        <v>0</v>
      </c>
      <c r="T101" s="290" t="s">
        <v>53</v>
      </c>
      <c r="U101" s="297" t="s">
        <v>397</v>
      </c>
      <c r="V101" s="298" t="s">
        <v>55</v>
      </c>
      <c r="W101" s="290" t="s">
        <v>153</v>
      </c>
      <c r="X101" s="290" t="s">
        <v>398</v>
      </c>
      <c r="Y101" s="290" t="s">
        <v>58</v>
      </c>
      <c r="Z101" s="299">
        <f>AA101*AB101</f>
        <v>640</v>
      </c>
      <c r="AA101" s="299">
        <f>4*8</f>
        <v>32</v>
      </c>
      <c r="AB101" s="290">
        <v>20</v>
      </c>
      <c r="AC101" s="290" t="s">
        <v>59</v>
      </c>
      <c r="AD101" s="290" t="s">
        <v>441</v>
      </c>
      <c r="AE101" s="290" t="s">
        <v>61</v>
      </c>
      <c r="AF101" s="290" t="s">
        <v>461</v>
      </c>
      <c r="AG101" s="291" t="s">
        <v>594</v>
      </c>
      <c r="AH101" s="290">
        <v>64.22</v>
      </c>
      <c r="AI101" s="290">
        <v>15.87</v>
      </c>
      <c r="AJ101" s="290">
        <v>53</v>
      </c>
      <c r="AK101" s="290">
        <v>71.209999999999994</v>
      </c>
      <c r="AL101" s="290">
        <v>15.24</v>
      </c>
      <c r="AM101" s="290">
        <v>53</v>
      </c>
      <c r="AN101" s="292" t="s">
        <v>52</v>
      </c>
      <c r="AO101" s="292" t="s">
        <v>52</v>
      </c>
      <c r="AP101" s="292" t="s">
        <v>52</v>
      </c>
      <c r="AQ101" s="292" t="s">
        <v>52</v>
      </c>
      <c r="AR101" s="292"/>
      <c r="AS101" s="292"/>
      <c r="AT101" s="290"/>
      <c r="AU101" s="289">
        <v>0</v>
      </c>
      <c r="AV101" s="290"/>
      <c r="AW101" s="290"/>
    </row>
    <row r="102" spans="1:50" s="289" customFormat="1" ht="19" customHeight="1">
      <c r="A102" s="122"/>
      <c r="B102" s="123"/>
      <c r="C102" s="301"/>
      <c r="D102" s="301"/>
      <c r="E102" s="301"/>
      <c r="F102" s="301"/>
      <c r="G102" s="301"/>
      <c r="H102" s="300"/>
      <c r="I102" s="300"/>
      <c r="J102" s="300">
        <v>0</v>
      </c>
      <c r="K102" s="301" t="s">
        <v>425</v>
      </c>
      <c r="L102" s="302" t="s">
        <v>365</v>
      </c>
      <c r="M102" s="302">
        <v>9.1999999999999993</v>
      </c>
      <c r="N102" s="302" t="s">
        <v>52</v>
      </c>
      <c r="O102" s="302" t="s">
        <v>52</v>
      </c>
      <c r="P102" s="302" t="s">
        <v>52</v>
      </c>
      <c r="Q102" s="302">
        <v>0</v>
      </c>
      <c r="R102" s="302">
        <f>47/(47+58)</f>
        <v>0.44761904761904764</v>
      </c>
      <c r="S102" s="302">
        <v>0</v>
      </c>
      <c r="T102" s="301" t="s">
        <v>78</v>
      </c>
      <c r="U102" s="303" t="s">
        <v>426</v>
      </c>
      <c r="V102" s="304" t="s">
        <v>55</v>
      </c>
      <c r="W102" s="301" t="s">
        <v>78</v>
      </c>
      <c r="X102" s="301" t="s">
        <v>78</v>
      </c>
      <c r="Y102" s="301" t="s">
        <v>78</v>
      </c>
      <c r="Z102" s="301" t="s">
        <v>78</v>
      </c>
      <c r="AA102" s="301" t="s">
        <v>78</v>
      </c>
      <c r="AB102" s="301" t="s">
        <v>78</v>
      </c>
      <c r="AC102" s="301" t="s">
        <v>78</v>
      </c>
      <c r="AD102" s="301" t="s">
        <v>441</v>
      </c>
      <c r="AE102" s="301" t="s">
        <v>61</v>
      </c>
      <c r="AF102" s="301" t="s">
        <v>461</v>
      </c>
      <c r="AG102" s="305" t="s">
        <v>594</v>
      </c>
      <c r="AH102" s="301">
        <v>64.989999999999995</v>
      </c>
      <c r="AI102" s="301">
        <v>20.05</v>
      </c>
      <c r="AJ102" s="301">
        <v>52</v>
      </c>
      <c r="AK102" s="301">
        <v>64.22</v>
      </c>
      <c r="AL102" s="301">
        <v>17.98</v>
      </c>
      <c r="AM102" s="301">
        <v>52</v>
      </c>
      <c r="AN102" s="306" t="s">
        <v>52</v>
      </c>
      <c r="AO102" s="306" t="s">
        <v>52</v>
      </c>
      <c r="AP102" s="306" t="s">
        <v>52</v>
      </c>
      <c r="AQ102" s="306" t="s">
        <v>52</v>
      </c>
      <c r="AR102" s="306"/>
      <c r="AS102" s="306"/>
      <c r="AT102" s="301"/>
      <c r="AU102" s="300">
        <v>0</v>
      </c>
      <c r="AV102" s="301"/>
      <c r="AW102" s="301"/>
    </row>
    <row r="103" spans="1:50" ht="19" customHeight="1">
      <c r="A103" s="116" t="s">
        <v>402</v>
      </c>
      <c r="B103" s="117" t="s">
        <v>782</v>
      </c>
      <c r="C103" s="88" t="s">
        <v>47</v>
      </c>
      <c r="D103" s="88" t="s">
        <v>454</v>
      </c>
      <c r="E103" s="88" t="s">
        <v>66</v>
      </c>
      <c r="F103" s="88" t="s">
        <v>49</v>
      </c>
      <c r="G103" s="88" t="s">
        <v>239</v>
      </c>
      <c r="H103" s="285" t="s">
        <v>922</v>
      </c>
      <c r="I103" s="285" t="str">
        <f t="shared" si="4"/>
        <v xml:space="preserve">m </v>
      </c>
      <c r="J103" s="127">
        <v>1</v>
      </c>
      <c r="K103" s="60" t="s">
        <v>427</v>
      </c>
      <c r="L103" s="90" t="s">
        <v>404</v>
      </c>
      <c r="M103" s="90">
        <v>11.5</v>
      </c>
      <c r="N103" s="90" t="s">
        <v>52</v>
      </c>
      <c r="O103" s="90" t="s">
        <v>52</v>
      </c>
      <c r="P103" s="90" t="s">
        <v>52</v>
      </c>
      <c r="Q103" s="91">
        <f>76/203</f>
        <v>0.37438423645320196</v>
      </c>
      <c r="R103" s="90">
        <v>0.6</v>
      </c>
      <c r="S103" s="90">
        <v>0.75</v>
      </c>
      <c r="T103" s="60" t="s">
        <v>92</v>
      </c>
      <c r="U103" s="92" t="s">
        <v>428</v>
      </c>
      <c r="V103" s="60" t="s">
        <v>71</v>
      </c>
      <c r="W103" s="60" t="s">
        <v>153</v>
      </c>
      <c r="X103" s="60" t="s">
        <v>163</v>
      </c>
      <c r="Y103" s="60" t="s">
        <v>58</v>
      </c>
      <c r="Z103" s="96">
        <f>AA103*AB103</f>
        <v>1187.5</v>
      </c>
      <c r="AA103" s="96">
        <v>25</v>
      </c>
      <c r="AB103" s="96">
        <f>AVERAGE(45,50)</f>
        <v>47.5</v>
      </c>
      <c r="AC103" s="60" t="s">
        <v>59</v>
      </c>
      <c r="AD103" s="60" t="s">
        <v>442</v>
      </c>
      <c r="AE103" s="60" t="s">
        <v>95</v>
      </c>
      <c r="AF103" s="60" t="s">
        <v>461</v>
      </c>
      <c r="AG103" s="146" t="s">
        <v>595</v>
      </c>
      <c r="AH103" s="60">
        <v>12.48</v>
      </c>
      <c r="AI103" s="60">
        <v>6.1</v>
      </c>
      <c r="AJ103" s="60">
        <v>103</v>
      </c>
      <c r="AK103" s="60">
        <v>15.63</v>
      </c>
      <c r="AL103" s="60">
        <v>5.35</v>
      </c>
      <c r="AM103" s="60">
        <v>103</v>
      </c>
      <c r="AN103" s="194" t="s">
        <v>52</v>
      </c>
      <c r="AO103" s="194" t="s">
        <v>52</v>
      </c>
      <c r="AP103" s="194" t="s">
        <v>52</v>
      </c>
      <c r="AQ103" s="194" t="s">
        <v>52</v>
      </c>
      <c r="AR103" s="194"/>
      <c r="AS103" s="194"/>
      <c r="AT103" s="60"/>
      <c r="AU103" s="127">
        <v>0</v>
      </c>
      <c r="AV103" s="60" t="s">
        <v>443</v>
      </c>
      <c r="AW103" s="60" t="s">
        <v>407</v>
      </c>
    </row>
    <row r="104" spans="1:50" ht="19" customHeight="1">
      <c r="A104" s="116"/>
      <c r="B104" s="117"/>
      <c r="C104" s="88"/>
      <c r="F104" s="88"/>
      <c r="H104" s="285" t="s">
        <v>919</v>
      </c>
      <c r="I104" s="285" t="str">
        <f t="shared" si="4"/>
        <v>.</v>
      </c>
      <c r="J104" s="127">
        <v>0</v>
      </c>
      <c r="K104" s="60" t="s">
        <v>78</v>
      </c>
      <c r="L104" s="90" t="s">
        <v>404</v>
      </c>
      <c r="M104" s="90">
        <v>11.5</v>
      </c>
      <c r="N104" s="90" t="s">
        <v>52</v>
      </c>
      <c r="O104" s="90" t="s">
        <v>52</v>
      </c>
      <c r="P104" s="90" t="s">
        <v>52</v>
      </c>
      <c r="Q104" s="91">
        <f>76/203</f>
        <v>0.37438423645320196</v>
      </c>
      <c r="R104" s="90">
        <v>0.6</v>
      </c>
      <c r="S104" s="90">
        <v>0.75</v>
      </c>
      <c r="T104" s="60" t="s">
        <v>78</v>
      </c>
      <c r="U104" s="92" t="s">
        <v>429</v>
      </c>
      <c r="V104" s="60" t="s">
        <v>80</v>
      </c>
      <c r="W104" s="60" t="s">
        <v>78</v>
      </c>
      <c r="X104" s="60" t="s">
        <v>78</v>
      </c>
      <c r="Y104" s="60" t="s">
        <v>78</v>
      </c>
      <c r="Z104" s="60" t="s">
        <v>78</v>
      </c>
      <c r="AA104" s="60" t="s">
        <v>78</v>
      </c>
      <c r="AB104" s="60" t="s">
        <v>78</v>
      </c>
      <c r="AC104" s="60" t="s">
        <v>78</v>
      </c>
      <c r="AD104" s="60" t="s">
        <v>442</v>
      </c>
      <c r="AE104" s="60" t="s">
        <v>95</v>
      </c>
      <c r="AF104" s="60" t="s">
        <v>461</v>
      </c>
      <c r="AG104" s="146" t="s">
        <v>595</v>
      </c>
      <c r="AH104" s="60">
        <v>12.14</v>
      </c>
      <c r="AI104" s="60">
        <v>6.1</v>
      </c>
      <c r="AJ104" s="60">
        <v>100</v>
      </c>
      <c r="AK104" s="60">
        <v>14.27</v>
      </c>
      <c r="AL104" s="60">
        <v>5.58</v>
      </c>
      <c r="AM104" s="60">
        <v>100</v>
      </c>
      <c r="AN104" s="194" t="s">
        <v>52</v>
      </c>
      <c r="AO104" s="194" t="s">
        <v>52</v>
      </c>
      <c r="AP104" s="194" t="s">
        <v>52</v>
      </c>
      <c r="AQ104" s="194" t="s">
        <v>52</v>
      </c>
      <c r="AR104" s="194"/>
      <c r="AS104" s="194"/>
      <c r="AT104" s="60"/>
      <c r="AU104" s="127">
        <v>0</v>
      </c>
      <c r="AW104" s="60" t="s">
        <v>407</v>
      </c>
    </row>
    <row r="105" spans="1:50" ht="19" customHeight="1">
      <c r="A105" s="116" t="s">
        <v>402</v>
      </c>
      <c r="B105" s="117">
        <v>123.1</v>
      </c>
      <c r="C105" s="88" t="s">
        <v>47</v>
      </c>
      <c r="D105" s="88" t="s">
        <v>454</v>
      </c>
      <c r="E105" s="88" t="s">
        <v>66</v>
      </c>
      <c r="F105" s="88" t="s">
        <v>49</v>
      </c>
      <c r="G105" s="88" t="s">
        <v>239</v>
      </c>
      <c r="H105" s="285" t="s">
        <v>922</v>
      </c>
      <c r="I105" s="285" t="str">
        <f t="shared" si="4"/>
        <v xml:space="preserve">m </v>
      </c>
      <c r="J105" s="157">
        <v>1</v>
      </c>
      <c r="K105" s="96" t="s">
        <v>430</v>
      </c>
      <c r="L105" s="90" t="s">
        <v>404</v>
      </c>
      <c r="M105" s="90">
        <v>11.5</v>
      </c>
      <c r="N105" s="90" t="s">
        <v>52</v>
      </c>
      <c r="O105" s="90" t="s">
        <v>52</v>
      </c>
      <c r="P105" s="90" t="s">
        <v>52</v>
      </c>
      <c r="Q105" s="91">
        <v>1</v>
      </c>
      <c r="R105" s="90">
        <v>0.6</v>
      </c>
      <c r="S105" s="90">
        <v>0.75</v>
      </c>
      <c r="T105" s="60" t="s">
        <v>92</v>
      </c>
      <c r="U105" s="92" t="s">
        <v>428</v>
      </c>
      <c r="V105" s="60" t="s">
        <v>71</v>
      </c>
      <c r="W105" s="60" t="s">
        <v>153</v>
      </c>
      <c r="X105" s="60" t="s">
        <v>163</v>
      </c>
      <c r="Y105" s="60" t="s">
        <v>58</v>
      </c>
      <c r="Z105" s="60">
        <f>AA105*AB105</f>
        <v>1187.5</v>
      </c>
      <c r="AA105" s="60">
        <v>25</v>
      </c>
      <c r="AB105" s="60">
        <f>AVERAGE(45,50)</f>
        <v>47.5</v>
      </c>
      <c r="AC105" s="60" t="s">
        <v>59</v>
      </c>
      <c r="AD105" s="60" t="s">
        <v>442</v>
      </c>
      <c r="AE105" s="60" t="s">
        <v>95</v>
      </c>
      <c r="AF105" s="60" t="s">
        <v>461</v>
      </c>
      <c r="AG105" s="146" t="s">
        <v>595</v>
      </c>
      <c r="AH105" s="60">
        <v>10.9</v>
      </c>
      <c r="AI105" s="60">
        <v>5.61</v>
      </c>
      <c r="AJ105" s="104">
        <f>103*0.37</f>
        <v>38.11</v>
      </c>
      <c r="AK105" s="60">
        <v>15.04</v>
      </c>
      <c r="AL105" s="60">
        <v>5.36</v>
      </c>
      <c r="AM105" s="104">
        <f>103*0.37</f>
        <v>38.11</v>
      </c>
      <c r="AN105" s="194" t="s">
        <v>52</v>
      </c>
      <c r="AO105" s="194" t="s">
        <v>52</v>
      </c>
      <c r="AP105" s="194" t="s">
        <v>52</v>
      </c>
      <c r="AQ105" s="194" t="s">
        <v>52</v>
      </c>
      <c r="AR105" s="194"/>
      <c r="AS105" s="194"/>
      <c r="AT105" s="60"/>
      <c r="AU105" s="127">
        <v>0</v>
      </c>
      <c r="AW105" s="60" t="s">
        <v>407</v>
      </c>
    </row>
    <row r="106" spans="1:50" ht="19" customHeight="1">
      <c r="A106" s="116"/>
      <c r="B106" s="117"/>
      <c r="C106" s="88"/>
      <c r="F106" s="88"/>
      <c r="H106" s="285" t="s">
        <v>919</v>
      </c>
      <c r="I106" s="285" t="str">
        <f t="shared" si="4"/>
        <v>.</v>
      </c>
      <c r="J106" s="157">
        <v>0</v>
      </c>
      <c r="K106" s="96" t="s">
        <v>431</v>
      </c>
      <c r="L106" s="90" t="s">
        <v>404</v>
      </c>
      <c r="M106" s="90">
        <v>11.5</v>
      </c>
      <c r="N106" s="90" t="s">
        <v>52</v>
      </c>
      <c r="O106" s="90" t="s">
        <v>52</v>
      </c>
      <c r="P106" s="90" t="s">
        <v>52</v>
      </c>
      <c r="Q106" s="91">
        <v>1</v>
      </c>
      <c r="R106" s="90">
        <v>0.6</v>
      </c>
      <c r="S106" s="90">
        <v>0.75</v>
      </c>
      <c r="T106" s="60" t="s">
        <v>78</v>
      </c>
      <c r="U106" s="92" t="s">
        <v>429</v>
      </c>
      <c r="V106" s="60" t="s">
        <v>80</v>
      </c>
      <c r="W106" s="60" t="s">
        <v>78</v>
      </c>
      <c r="X106" s="60" t="s">
        <v>78</v>
      </c>
      <c r="Y106" s="60" t="s">
        <v>78</v>
      </c>
      <c r="Z106" s="60" t="s">
        <v>78</v>
      </c>
      <c r="AA106" s="60" t="s">
        <v>78</v>
      </c>
      <c r="AB106" s="60" t="s">
        <v>78</v>
      </c>
      <c r="AC106" s="60" t="s">
        <v>78</v>
      </c>
      <c r="AD106" s="60" t="s">
        <v>442</v>
      </c>
      <c r="AE106" s="60" t="s">
        <v>95</v>
      </c>
      <c r="AF106" s="60" t="s">
        <v>461</v>
      </c>
      <c r="AG106" s="146" t="s">
        <v>595</v>
      </c>
      <c r="AH106" s="60">
        <v>11.11</v>
      </c>
      <c r="AI106" s="60">
        <v>5.71</v>
      </c>
      <c r="AJ106" s="104">
        <f>100*0.37</f>
        <v>37</v>
      </c>
      <c r="AK106" s="60">
        <v>13.52</v>
      </c>
      <c r="AL106" s="99">
        <v>5.63</v>
      </c>
      <c r="AM106" s="104">
        <f>100*0.37</f>
        <v>37</v>
      </c>
      <c r="AN106" s="194" t="s">
        <v>52</v>
      </c>
      <c r="AO106" s="194" t="s">
        <v>52</v>
      </c>
      <c r="AP106" s="194" t="s">
        <v>52</v>
      </c>
      <c r="AQ106" s="194" t="s">
        <v>52</v>
      </c>
      <c r="AR106" s="194"/>
      <c r="AS106" s="194"/>
      <c r="AT106" s="60"/>
      <c r="AU106" s="127">
        <v>0</v>
      </c>
      <c r="AW106" s="60" t="s">
        <v>407</v>
      </c>
    </row>
    <row r="107" spans="1:50" ht="19" customHeight="1">
      <c r="A107" s="116" t="s">
        <v>402</v>
      </c>
      <c r="B107" s="117">
        <v>123.2</v>
      </c>
      <c r="C107" s="88" t="s">
        <v>47</v>
      </c>
      <c r="D107" s="88" t="s">
        <v>454</v>
      </c>
      <c r="E107" s="88" t="s">
        <v>66</v>
      </c>
      <c r="F107" s="88" t="s">
        <v>49</v>
      </c>
      <c r="G107" s="88" t="s">
        <v>239</v>
      </c>
      <c r="H107" s="285" t="s">
        <v>922</v>
      </c>
      <c r="I107" s="285" t="str">
        <f t="shared" si="4"/>
        <v xml:space="preserve">m </v>
      </c>
      <c r="J107" s="157">
        <v>1</v>
      </c>
      <c r="K107" s="96" t="s">
        <v>432</v>
      </c>
      <c r="L107" s="90" t="s">
        <v>404</v>
      </c>
      <c r="M107" s="90">
        <v>11.5</v>
      </c>
      <c r="N107" s="90" t="s">
        <v>52</v>
      </c>
      <c r="O107" s="90" t="s">
        <v>52</v>
      </c>
      <c r="P107" s="90" t="s">
        <v>52</v>
      </c>
      <c r="Q107" s="91">
        <v>0</v>
      </c>
      <c r="R107" s="90">
        <v>0.6</v>
      </c>
      <c r="S107" s="90">
        <v>0.75</v>
      </c>
      <c r="T107" s="60" t="s">
        <v>92</v>
      </c>
      <c r="U107" s="92" t="s">
        <v>428</v>
      </c>
      <c r="V107" s="60" t="s">
        <v>71</v>
      </c>
      <c r="W107" s="60" t="s">
        <v>153</v>
      </c>
      <c r="X107" s="60" t="s">
        <v>163</v>
      </c>
      <c r="Y107" s="60" t="s">
        <v>58</v>
      </c>
      <c r="Z107" s="60">
        <f>AA107*AB107</f>
        <v>1187.5</v>
      </c>
      <c r="AA107" s="60">
        <v>25</v>
      </c>
      <c r="AB107" s="60">
        <f>AVERAGE(45,50)</f>
        <v>47.5</v>
      </c>
      <c r="AC107" s="60" t="s">
        <v>59</v>
      </c>
      <c r="AD107" s="60" t="s">
        <v>442</v>
      </c>
      <c r="AE107" s="60" t="s">
        <v>95</v>
      </c>
      <c r="AF107" s="60" t="s">
        <v>461</v>
      </c>
      <c r="AG107" s="146" t="s">
        <v>595</v>
      </c>
      <c r="AH107" s="60">
        <v>13.51</v>
      </c>
      <c r="AI107" s="60">
        <v>6.32</v>
      </c>
      <c r="AJ107" s="104">
        <f>103*0.63</f>
        <v>64.89</v>
      </c>
      <c r="AK107" s="60">
        <v>16.41</v>
      </c>
      <c r="AL107" s="60">
        <v>5.17</v>
      </c>
      <c r="AM107" s="104">
        <f>103*0.63</f>
        <v>64.89</v>
      </c>
      <c r="AN107" s="194" t="s">
        <v>52</v>
      </c>
      <c r="AO107" s="194" t="s">
        <v>52</v>
      </c>
      <c r="AP107" s="194" t="s">
        <v>52</v>
      </c>
      <c r="AQ107" s="194" t="s">
        <v>52</v>
      </c>
      <c r="AR107" s="194"/>
      <c r="AS107" s="194"/>
      <c r="AT107" s="60"/>
      <c r="AU107" s="127">
        <v>0</v>
      </c>
      <c r="AW107" s="60" t="s">
        <v>407</v>
      </c>
    </row>
    <row r="108" spans="1:50" ht="19" customHeight="1">
      <c r="A108" s="116"/>
      <c r="B108" s="117"/>
      <c r="C108" s="89"/>
      <c r="E108" s="89"/>
      <c r="F108" s="89"/>
      <c r="G108" s="89"/>
      <c r="H108" s="286" t="s">
        <v>919</v>
      </c>
      <c r="I108" s="286" t="str">
        <f t="shared" si="4"/>
        <v>.</v>
      </c>
      <c r="J108" s="158">
        <v>0</v>
      </c>
      <c r="K108" s="97" t="s">
        <v>433</v>
      </c>
      <c r="L108" s="93" t="s">
        <v>404</v>
      </c>
      <c r="M108" s="93">
        <v>11.5</v>
      </c>
      <c r="N108" s="93" t="s">
        <v>52</v>
      </c>
      <c r="O108" s="93" t="s">
        <v>52</v>
      </c>
      <c r="P108" s="93" t="s">
        <v>52</v>
      </c>
      <c r="Q108" s="94">
        <v>0</v>
      </c>
      <c r="R108" s="93">
        <v>0.6</v>
      </c>
      <c r="S108" s="93">
        <v>0.75</v>
      </c>
      <c r="T108" s="63" t="s">
        <v>78</v>
      </c>
      <c r="U108" s="95" t="s">
        <v>429</v>
      </c>
      <c r="V108" s="63" t="s">
        <v>80</v>
      </c>
      <c r="W108" s="63" t="s">
        <v>78</v>
      </c>
      <c r="X108" s="63" t="s">
        <v>78</v>
      </c>
      <c r="Y108" s="63" t="s">
        <v>78</v>
      </c>
      <c r="Z108" s="63" t="s">
        <v>78</v>
      </c>
      <c r="AA108" s="63" t="s">
        <v>78</v>
      </c>
      <c r="AB108" s="63" t="s">
        <v>78</v>
      </c>
      <c r="AC108" s="63" t="s">
        <v>78</v>
      </c>
      <c r="AD108" s="63" t="s">
        <v>442</v>
      </c>
      <c r="AE108" s="63" t="s">
        <v>95</v>
      </c>
      <c r="AF108" s="63" t="s">
        <v>461</v>
      </c>
      <c r="AG108" s="147" t="s">
        <v>595</v>
      </c>
      <c r="AH108" s="63">
        <v>12.53</v>
      </c>
      <c r="AI108" s="63">
        <v>6.02</v>
      </c>
      <c r="AJ108" s="105">
        <f>100*0.63</f>
        <v>63</v>
      </c>
      <c r="AK108" s="63">
        <v>14.61</v>
      </c>
      <c r="AL108" s="63">
        <v>5.6</v>
      </c>
      <c r="AM108" s="105">
        <f>100*0.63</f>
        <v>63</v>
      </c>
      <c r="AN108" s="194" t="s">
        <v>52</v>
      </c>
      <c r="AO108" s="194" t="s">
        <v>52</v>
      </c>
      <c r="AP108" s="194" t="s">
        <v>52</v>
      </c>
      <c r="AQ108" s="194" t="s">
        <v>52</v>
      </c>
      <c r="AR108" s="194"/>
      <c r="AS108" s="194"/>
      <c r="AT108" s="63"/>
      <c r="AU108" s="128">
        <v>0</v>
      </c>
      <c r="AV108" s="63"/>
      <c r="AW108" s="63" t="s">
        <v>407</v>
      </c>
    </row>
    <row r="109" spans="1:50" ht="19" customHeight="1">
      <c r="A109" s="143" t="s">
        <v>935</v>
      </c>
      <c r="B109" s="338">
        <v>124</v>
      </c>
      <c r="C109" s="88" t="s">
        <v>418</v>
      </c>
      <c r="D109" s="143" t="s">
        <v>574</v>
      </c>
      <c r="E109" s="88" t="s">
        <v>66</v>
      </c>
      <c r="F109" s="88" t="s">
        <v>49</v>
      </c>
      <c r="G109" s="88" t="s">
        <v>50</v>
      </c>
      <c r="H109" s="285" t="s">
        <v>922</v>
      </c>
      <c r="I109" s="285" t="str">
        <f t="shared" si="4"/>
        <v xml:space="preserve">m </v>
      </c>
      <c r="J109" s="127">
        <v>0</v>
      </c>
      <c r="K109" s="60" t="s">
        <v>434</v>
      </c>
      <c r="L109" s="90" t="s">
        <v>435</v>
      </c>
      <c r="M109" s="90">
        <v>14</v>
      </c>
      <c r="N109" s="90">
        <v>1</v>
      </c>
      <c r="O109" s="109" t="s">
        <v>52</v>
      </c>
      <c r="P109" s="90" t="s">
        <v>52</v>
      </c>
      <c r="Q109" s="90" t="s">
        <v>52</v>
      </c>
      <c r="R109" s="109">
        <f>88/168</f>
        <v>0.52380952380952384</v>
      </c>
      <c r="S109" s="90" t="s">
        <v>52</v>
      </c>
      <c r="T109" s="60" t="s">
        <v>92</v>
      </c>
      <c r="U109" s="92" t="s">
        <v>436</v>
      </c>
      <c r="V109" s="134" t="s">
        <v>458</v>
      </c>
      <c r="W109" s="60" t="s">
        <v>153</v>
      </c>
      <c r="X109" s="60" t="s">
        <v>459</v>
      </c>
      <c r="Y109" s="60" t="s">
        <v>58</v>
      </c>
      <c r="Z109" s="96">
        <f>AA109*AB109</f>
        <v>640</v>
      </c>
      <c r="AA109" s="96">
        <f>2*8</f>
        <v>16</v>
      </c>
      <c r="AB109" s="96">
        <v>40</v>
      </c>
      <c r="AC109" s="60" t="s">
        <v>59</v>
      </c>
      <c r="AD109" s="60" t="s">
        <v>444</v>
      </c>
      <c r="AE109" s="60" t="s">
        <v>61</v>
      </c>
      <c r="AF109" s="60" t="s">
        <v>461</v>
      </c>
      <c r="AG109" s="150" t="s">
        <v>596</v>
      </c>
      <c r="AH109" s="112">
        <v>50.3</v>
      </c>
      <c r="AI109" s="112">
        <v>9.89</v>
      </c>
      <c r="AJ109" s="112">
        <v>168</v>
      </c>
      <c r="AK109" s="112">
        <v>55.62</v>
      </c>
      <c r="AL109" s="112">
        <v>8.2200000000000006</v>
      </c>
      <c r="AM109" s="112">
        <v>168</v>
      </c>
      <c r="AN109" s="211" t="s">
        <v>52</v>
      </c>
      <c r="AO109" s="211" t="s">
        <v>52</v>
      </c>
      <c r="AP109" s="211" t="s">
        <v>52</v>
      </c>
      <c r="AQ109" s="211" t="s">
        <v>52</v>
      </c>
      <c r="AR109" s="198"/>
      <c r="AS109" s="198"/>
      <c r="AT109" s="60"/>
      <c r="AU109" s="60"/>
    </row>
    <row r="110" spans="1:50" ht="19" customHeight="1">
      <c r="A110" s="122"/>
      <c r="B110" s="123"/>
      <c r="C110" s="89"/>
      <c r="D110" s="122"/>
      <c r="E110" s="89"/>
      <c r="F110" s="89"/>
      <c r="G110" s="89"/>
      <c r="H110" s="286" t="s">
        <v>919</v>
      </c>
      <c r="I110" s="286" t="str">
        <f t="shared" si="4"/>
        <v>.</v>
      </c>
      <c r="J110" s="128">
        <v>1</v>
      </c>
      <c r="K110" s="63" t="s">
        <v>437</v>
      </c>
      <c r="L110" s="93" t="s">
        <v>435</v>
      </c>
      <c r="M110" s="93">
        <v>14</v>
      </c>
      <c r="N110" s="93">
        <v>1</v>
      </c>
      <c r="O110" s="179" t="s">
        <v>52</v>
      </c>
      <c r="P110" s="93" t="s">
        <v>52</v>
      </c>
      <c r="Q110" s="93" t="s">
        <v>52</v>
      </c>
      <c r="R110" s="179">
        <f>102/174</f>
        <v>0.58620689655172409</v>
      </c>
      <c r="S110" s="93" t="s">
        <v>52</v>
      </c>
      <c r="T110" s="63" t="s">
        <v>78</v>
      </c>
      <c r="U110" s="95" t="s">
        <v>438</v>
      </c>
      <c r="V110" s="63" t="s">
        <v>80</v>
      </c>
      <c r="W110" s="63" t="s">
        <v>78</v>
      </c>
      <c r="X110" s="63" t="s">
        <v>78</v>
      </c>
      <c r="Y110" s="63" t="s">
        <v>78</v>
      </c>
      <c r="Z110" s="63" t="s">
        <v>78</v>
      </c>
      <c r="AA110" s="63" t="s">
        <v>78</v>
      </c>
      <c r="AB110" s="63" t="s">
        <v>78</v>
      </c>
      <c r="AC110" s="63" t="s">
        <v>78</v>
      </c>
      <c r="AD110" s="63" t="s">
        <v>444</v>
      </c>
      <c r="AE110" s="63" t="s">
        <v>61</v>
      </c>
      <c r="AF110" s="63" t="s">
        <v>461</v>
      </c>
      <c r="AG110" s="151" t="s">
        <v>596</v>
      </c>
      <c r="AH110" s="113">
        <v>49.71</v>
      </c>
      <c r="AI110" s="113">
        <v>10.119999999999999</v>
      </c>
      <c r="AJ110" s="113">
        <v>174</v>
      </c>
      <c r="AK110" s="113">
        <v>44.57</v>
      </c>
      <c r="AL110" s="113">
        <v>8.4499999999999993</v>
      </c>
      <c r="AM110" s="113">
        <v>174</v>
      </c>
      <c r="AN110" s="204" t="s">
        <v>52</v>
      </c>
      <c r="AO110" s="204" t="s">
        <v>52</v>
      </c>
      <c r="AP110" s="204" t="s">
        <v>52</v>
      </c>
      <c r="AQ110" s="204" t="s">
        <v>52</v>
      </c>
      <c r="AR110" s="113"/>
      <c r="AS110" s="113"/>
      <c r="AT110" s="63"/>
      <c r="AU110" s="63"/>
      <c r="AV110" s="63"/>
    </row>
    <row r="111" spans="1:50" s="60" customFormat="1" ht="19" customHeight="1">
      <c r="A111" s="116" t="s">
        <v>936</v>
      </c>
      <c r="B111" s="117">
        <v>125.1</v>
      </c>
      <c r="C111" s="116" t="s">
        <v>47</v>
      </c>
      <c r="D111" s="88" t="s">
        <v>454</v>
      </c>
      <c r="E111" s="88" t="s">
        <v>66</v>
      </c>
      <c r="F111" s="88" t="s">
        <v>49</v>
      </c>
      <c r="G111" s="88" t="s">
        <v>239</v>
      </c>
      <c r="H111" s="285" t="s">
        <v>924</v>
      </c>
      <c r="I111" s="285" t="str">
        <f t="shared" si="4"/>
        <v xml:space="preserve">m </v>
      </c>
      <c r="J111" s="127">
        <v>1</v>
      </c>
      <c r="K111" s="209" t="s">
        <v>455</v>
      </c>
      <c r="L111" s="60">
        <v>3</v>
      </c>
      <c r="M111" s="90">
        <v>8.5</v>
      </c>
      <c r="N111" s="90" t="s">
        <v>456</v>
      </c>
      <c r="O111" s="90" t="s">
        <v>456</v>
      </c>
      <c r="P111" s="90" t="s">
        <v>52</v>
      </c>
      <c r="Q111" s="90" t="s">
        <v>52</v>
      </c>
      <c r="R111" s="90">
        <v>0.53731343283582089</v>
      </c>
      <c r="S111" s="90" t="s">
        <v>52</v>
      </c>
      <c r="T111" s="60" t="s">
        <v>92</v>
      </c>
      <c r="U111" s="92" t="s">
        <v>457</v>
      </c>
      <c r="V111" s="60" t="s">
        <v>458</v>
      </c>
      <c r="W111" s="60" t="s">
        <v>153</v>
      </c>
      <c r="X111" s="60" t="s">
        <v>459</v>
      </c>
      <c r="Y111" s="60" t="s">
        <v>58</v>
      </c>
      <c r="Z111" s="165" t="s">
        <v>52</v>
      </c>
      <c r="AA111" s="165" t="s">
        <v>708</v>
      </c>
      <c r="AB111" s="165" t="s">
        <v>52</v>
      </c>
      <c r="AC111" s="60" t="s">
        <v>59</v>
      </c>
      <c r="AD111" s="60" t="s">
        <v>460</v>
      </c>
      <c r="AE111" s="60" t="s">
        <v>95</v>
      </c>
      <c r="AF111" s="60" t="s">
        <v>461</v>
      </c>
      <c r="AG111" s="146" t="s">
        <v>52</v>
      </c>
      <c r="AH111" s="119" t="s">
        <v>52</v>
      </c>
      <c r="AI111" s="119" t="s">
        <v>52</v>
      </c>
      <c r="AJ111" s="119" t="s">
        <v>52</v>
      </c>
      <c r="AK111" s="120">
        <v>6.28</v>
      </c>
      <c r="AL111" s="120">
        <v>1.33</v>
      </c>
      <c r="AM111" s="120">
        <v>32</v>
      </c>
      <c r="AN111" s="212" t="s">
        <v>52</v>
      </c>
      <c r="AO111" s="212" t="s">
        <v>52</v>
      </c>
      <c r="AP111" s="212" t="s">
        <v>52</v>
      </c>
      <c r="AQ111" s="212" t="s">
        <v>52</v>
      </c>
      <c r="AR111" s="120"/>
      <c r="AS111" s="120"/>
    </row>
    <row r="112" spans="1:50" s="60" customFormat="1" ht="19" customHeight="1">
      <c r="A112" s="116"/>
      <c r="B112" s="117"/>
      <c r="C112" s="116"/>
      <c r="D112" s="88"/>
      <c r="E112" s="88"/>
      <c r="F112" s="88"/>
      <c r="G112" s="88"/>
      <c r="H112" s="285"/>
      <c r="I112" s="285" t="str">
        <f t="shared" si="4"/>
        <v/>
      </c>
      <c r="J112" s="127"/>
      <c r="K112" s="209"/>
      <c r="M112" s="90"/>
      <c r="N112" s="90"/>
      <c r="O112" s="90"/>
      <c r="P112" s="90"/>
      <c r="Q112" s="90"/>
      <c r="R112" s="90"/>
      <c r="S112" s="90"/>
      <c r="U112" s="92"/>
      <c r="Z112" s="118"/>
      <c r="AA112" s="118"/>
      <c r="AB112" s="118"/>
      <c r="AD112" s="60" t="s">
        <v>462</v>
      </c>
      <c r="AE112" s="60" t="s">
        <v>95</v>
      </c>
      <c r="AF112" s="60" t="s">
        <v>461</v>
      </c>
      <c r="AG112" s="146" t="s">
        <v>52</v>
      </c>
      <c r="AH112" s="119" t="s">
        <v>52</v>
      </c>
      <c r="AI112" s="119" t="s">
        <v>52</v>
      </c>
      <c r="AJ112" s="119" t="s">
        <v>52</v>
      </c>
      <c r="AK112" s="120">
        <v>6.03</v>
      </c>
      <c r="AL112" s="120">
        <v>1.73</v>
      </c>
      <c r="AM112" s="120">
        <v>32</v>
      </c>
      <c r="AN112" s="212" t="s">
        <v>52</v>
      </c>
      <c r="AO112" s="212" t="s">
        <v>52</v>
      </c>
      <c r="AP112" s="212" t="s">
        <v>52</v>
      </c>
      <c r="AQ112" s="212" t="s">
        <v>52</v>
      </c>
      <c r="AR112" s="120"/>
      <c r="AS112" s="120"/>
    </row>
    <row r="113" spans="1:45" s="60" customFormat="1" ht="19" customHeight="1">
      <c r="A113" s="116"/>
      <c r="B113" s="117"/>
      <c r="C113" s="116"/>
      <c r="D113" s="88"/>
      <c r="E113" s="88"/>
      <c r="F113" s="88"/>
      <c r="G113" s="88"/>
      <c r="H113" s="285"/>
      <c r="I113" s="285" t="str">
        <f t="shared" si="4"/>
        <v/>
      </c>
      <c r="J113" s="127"/>
      <c r="K113" s="209"/>
      <c r="M113" s="90"/>
      <c r="N113" s="90"/>
      <c r="O113" s="90"/>
      <c r="P113" s="90"/>
      <c r="Q113" s="90"/>
      <c r="R113" s="90"/>
      <c r="S113" s="90"/>
      <c r="U113" s="92"/>
      <c r="Z113" s="118"/>
      <c r="AA113" s="118"/>
      <c r="AB113" s="118"/>
      <c r="AD113" s="60" t="s">
        <v>463</v>
      </c>
      <c r="AE113" s="60" t="s">
        <v>61</v>
      </c>
      <c r="AF113" s="60" t="s">
        <v>461</v>
      </c>
      <c r="AG113" s="146" t="s">
        <v>52</v>
      </c>
      <c r="AH113" s="120">
        <v>47.79</v>
      </c>
      <c r="AI113" s="120">
        <v>25.35</v>
      </c>
      <c r="AJ113" s="120">
        <v>32</v>
      </c>
      <c r="AK113" s="119" t="s">
        <v>52</v>
      </c>
      <c r="AL113" s="119" t="s">
        <v>52</v>
      </c>
      <c r="AM113" s="119" t="s">
        <v>52</v>
      </c>
      <c r="AN113" s="212" t="s">
        <v>52</v>
      </c>
      <c r="AO113" s="212" t="s">
        <v>52</v>
      </c>
      <c r="AP113" s="212" t="s">
        <v>52</v>
      </c>
      <c r="AQ113" s="212" t="s">
        <v>52</v>
      </c>
      <c r="AR113" s="119"/>
      <c r="AS113" s="119"/>
    </row>
    <row r="114" spans="1:45" s="60" customFormat="1" ht="19" customHeight="1">
      <c r="A114" s="116"/>
      <c r="B114" s="117"/>
      <c r="C114" s="116"/>
      <c r="D114" s="88"/>
      <c r="E114" s="88"/>
      <c r="F114" s="88"/>
      <c r="G114" s="88"/>
      <c r="H114" s="285" t="s">
        <v>919</v>
      </c>
      <c r="I114" s="285" t="str">
        <f t="shared" si="4"/>
        <v xml:space="preserve">m </v>
      </c>
      <c r="J114" s="127">
        <v>0</v>
      </c>
      <c r="K114" s="209" t="s">
        <v>464</v>
      </c>
      <c r="L114" s="60">
        <v>3</v>
      </c>
      <c r="M114" s="90">
        <v>8.5</v>
      </c>
      <c r="N114" s="90" t="s">
        <v>456</v>
      </c>
      <c r="O114" s="90" t="s">
        <v>456</v>
      </c>
      <c r="P114" s="90" t="s">
        <v>52</v>
      </c>
      <c r="Q114" s="90" t="s">
        <v>52</v>
      </c>
      <c r="R114" s="90">
        <v>0.5757575757575758</v>
      </c>
      <c r="S114" s="90" t="s">
        <v>52</v>
      </c>
      <c r="T114" s="60" t="s">
        <v>92</v>
      </c>
      <c r="U114" s="121" t="s">
        <v>465</v>
      </c>
      <c r="V114" s="118" t="s">
        <v>466</v>
      </c>
      <c r="W114" s="60" t="s">
        <v>153</v>
      </c>
      <c r="X114" s="60" t="s">
        <v>459</v>
      </c>
      <c r="Y114" s="60" t="s">
        <v>58</v>
      </c>
      <c r="Z114" s="134" t="s">
        <v>78</v>
      </c>
      <c r="AA114" s="134" t="s">
        <v>78</v>
      </c>
      <c r="AB114" s="134" t="s">
        <v>78</v>
      </c>
      <c r="AC114" s="60" t="s">
        <v>78</v>
      </c>
      <c r="AD114" s="60" t="s">
        <v>460</v>
      </c>
      <c r="AE114" s="60" t="s">
        <v>95</v>
      </c>
      <c r="AF114" s="60" t="s">
        <v>461</v>
      </c>
      <c r="AG114" s="146" t="s">
        <v>52</v>
      </c>
      <c r="AH114" s="119" t="s">
        <v>52</v>
      </c>
      <c r="AI114" s="119" t="s">
        <v>52</v>
      </c>
      <c r="AJ114" s="119" t="s">
        <v>52</v>
      </c>
      <c r="AK114" s="120">
        <v>5.57</v>
      </c>
      <c r="AL114" s="120">
        <v>1.64</v>
      </c>
      <c r="AM114" s="120">
        <v>28</v>
      </c>
      <c r="AN114" s="212" t="s">
        <v>52</v>
      </c>
      <c r="AO114" s="212" t="s">
        <v>52</v>
      </c>
      <c r="AP114" s="212" t="s">
        <v>52</v>
      </c>
      <c r="AQ114" s="212" t="s">
        <v>52</v>
      </c>
      <c r="AR114" s="120"/>
      <c r="AS114" s="120"/>
    </row>
    <row r="115" spans="1:45" s="60" customFormat="1" ht="19" customHeight="1">
      <c r="A115" s="116"/>
      <c r="B115" s="117"/>
      <c r="C115" s="116"/>
      <c r="D115" s="88"/>
      <c r="E115" s="88"/>
      <c r="F115" s="88"/>
      <c r="G115" s="88"/>
      <c r="H115" s="285"/>
      <c r="I115" s="285" t="str">
        <f t="shared" si="4"/>
        <v/>
      </c>
      <c r="J115" s="127"/>
      <c r="K115" s="209"/>
      <c r="M115" s="90"/>
      <c r="N115" s="90"/>
      <c r="O115" s="90"/>
      <c r="P115" s="90"/>
      <c r="Q115" s="90"/>
      <c r="R115" s="90"/>
      <c r="S115" s="90"/>
      <c r="U115" s="92"/>
      <c r="Z115" s="134"/>
      <c r="AA115" s="134"/>
      <c r="AB115" s="134"/>
      <c r="AD115" s="60" t="s">
        <v>462</v>
      </c>
      <c r="AE115" s="60" t="s">
        <v>95</v>
      </c>
      <c r="AF115" s="60" t="s">
        <v>461</v>
      </c>
      <c r="AG115" s="146" t="s">
        <v>52</v>
      </c>
      <c r="AH115" s="119" t="s">
        <v>52</v>
      </c>
      <c r="AI115" s="119" t="s">
        <v>52</v>
      </c>
      <c r="AJ115" s="119" t="s">
        <v>52</v>
      </c>
      <c r="AK115" s="120">
        <v>5.59</v>
      </c>
      <c r="AL115" s="120">
        <v>1.64</v>
      </c>
      <c r="AM115" s="120">
        <v>28</v>
      </c>
      <c r="AN115" s="212" t="s">
        <v>52</v>
      </c>
      <c r="AO115" s="212" t="s">
        <v>52</v>
      </c>
      <c r="AP115" s="212" t="s">
        <v>52</v>
      </c>
      <c r="AQ115" s="212" t="s">
        <v>52</v>
      </c>
      <c r="AR115" s="120"/>
      <c r="AS115" s="120"/>
    </row>
    <row r="116" spans="1:45" s="60" customFormat="1" ht="19" customHeight="1">
      <c r="A116" s="116"/>
      <c r="B116" s="117"/>
      <c r="C116" s="116"/>
      <c r="D116" s="88"/>
      <c r="E116" s="88"/>
      <c r="F116" s="88"/>
      <c r="G116" s="88"/>
      <c r="H116" s="285"/>
      <c r="I116" s="285" t="str">
        <f t="shared" si="4"/>
        <v/>
      </c>
      <c r="J116" s="127"/>
      <c r="K116" s="209"/>
      <c r="M116" s="90"/>
      <c r="N116" s="90"/>
      <c r="O116" s="90"/>
      <c r="P116" s="90"/>
      <c r="Q116" s="90"/>
      <c r="R116" s="90"/>
      <c r="S116" s="90"/>
      <c r="U116" s="92"/>
      <c r="Z116" s="134"/>
      <c r="AA116" s="134"/>
      <c r="AB116" s="134"/>
      <c r="AD116" s="60" t="s">
        <v>463</v>
      </c>
      <c r="AE116" s="60" t="s">
        <v>61</v>
      </c>
      <c r="AF116" s="60" t="s">
        <v>461</v>
      </c>
      <c r="AG116" s="146" t="s">
        <v>52</v>
      </c>
      <c r="AH116" s="120">
        <v>43.32</v>
      </c>
      <c r="AI116" s="120">
        <v>34.25</v>
      </c>
      <c r="AJ116" s="120">
        <v>28</v>
      </c>
      <c r="AK116" s="119" t="s">
        <v>52</v>
      </c>
      <c r="AL116" s="119" t="s">
        <v>52</v>
      </c>
      <c r="AM116" s="119" t="s">
        <v>52</v>
      </c>
      <c r="AN116" s="212" t="s">
        <v>52</v>
      </c>
      <c r="AO116" s="212" t="s">
        <v>52</v>
      </c>
      <c r="AP116" s="212" t="s">
        <v>52</v>
      </c>
      <c r="AQ116" s="212" t="s">
        <v>52</v>
      </c>
      <c r="AR116" s="119"/>
      <c r="AS116" s="119"/>
    </row>
    <row r="117" spans="1:45" s="60" customFormat="1" ht="19" customHeight="1">
      <c r="A117" s="116" t="s">
        <v>936</v>
      </c>
      <c r="B117" s="117">
        <f>B111+0.1</f>
        <v>125.19999999999999</v>
      </c>
      <c r="C117" s="116" t="s">
        <v>47</v>
      </c>
      <c r="D117" s="88" t="s">
        <v>454</v>
      </c>
      <c r="E117" s="88" t="s">
        <v>66</v>
      </c>
      <c r="F117" s="88" t="s">
        <v>49</v>
      </c>
      <c r="G117" s="88" t="s">
        <v>239</v>
      </c>
      <c r="H117" s="285" t="s">
        <v>924</v>
      </c>
      <c r="I117" s="285" t="str">
        <f t="shared" si="4"/>
        <v xml:space="preserve">m </v>
      </c>
      <c r="J117" s="127">
        <v>1</v>
      </c>
      <c r="K117" s="209" t="s">
        <v>467</v>
      </c>
      <c r="L117" s="60">
        <v>3</v>
      </c>
      <c r="M117" s="90">
        <v>8.5</v>
      </c>
      <c r="N117" s="90" t="s">
        <v>456</v>
      </c>
      <c r="O117" s="90" t="s">
        <v>456</v>
      </c>
      <c r="P117" s="90" t="s">
        <v>52</v>
      </c>
      <c r="Q117" s="90" t="s">
        <v>52</v>
      </c>
      <c r="R117" s="90">
        <v>0.53731343283582089</v>
      </c>
      <c r="S117" s="90" t="s">
        <v>52</v>
      </c>
      <c r="T117" s="60" t="s">
        <v>92</v>
      </c>
      <c r="U117" s="92" t="s">
        <v>457</v>
      </c>
      <c r="V117" s="60" t="s">
        <v>458</v>
      </c>
      <c r="W117" s="60" t="s">
        <v>153</v>
      </c>
      <c r="X117" s="60" t="s">
        <v>459</v>
      </c>
      <c r="Y117" s="60" t="s">
        <v>58</v>
      </c>
      <c r="Z117" s="165" t="s">
        <v>52</v>
      </c>
      <c r="AA117" s="165" t="s">
        <v>708</v>
      </c>
      <c r="AB117" s="165" t="s">
        <v>52</v>
      </c>
      <c r="AC117" s="60" t="s">
        <v>59</v>
      </c>
      <c r="AD117" s="60" t="s">
        <v>468</v>
      </c>
      <c r="AE117" s="60" t="s">
        <v>95</v>
      </c>
      <c r="AF117" s="60" t="s">
        <v>461</v>
      </c>
      <c r="AG117" s="146" t="s">
        <v>52</v>
      </c>
      <c r="AH117" s="119" t="s">
        <v>52</v>
      </c>
      <c r="AI117" s="119" t="s">
        <v>52</v>
      </c>
      <c r="AJ117" s="119" t="s">
        <v>52</v>
      </c>
      <c r="AK117" s="120">
        <v>8.09</v>
      </c>
      <c r="AL117" s="120">
        <v>1.59</v>
      </c>
      <c r="AM117" s="120">
        <v>33</v>
      </c>
      <c r="AN117" s="212" t="s">
        <v>52</v>
      </c>
      <c r="AO117" s="212" t="s">
        <v>52</v>
      </c>
      <c r="AP117" s="212" t="s">
        <v>52</v>
      </c>
      <c r="AQ117" s="212" t="s">
        <v>52</v>
      </c>
      <c r="AR117" s="120"/>
      <c r="AS117" s="120"/>
    </row>
    <row r="118" spans="1:45" s="60" customFormat="1" ht="19" customHeight="1">
      <c r="A118" s="116"/>
      <c r="B118" s="117"/>
      <c r="C118" s="116"/>
      <c r="D118" s="88"/>
      <c r="E118" s="88"/>
      <c r="F118" s="88"/>
      <c r="G118" s="88"/>
      <c r="H118" s="285"/>
      <c r="I118" s="285" t="str">
        <f t="shared" si="4"/>
        <v/>
      </c>
      <c r="J118" s="127"/>
      <c r="K118" s="209"/>
      <c r="M118" s="90"/>
      <c r="N118" s="90"/>
      <c r="O118" s="90"/>
      <c r="P118" s="90"/>
      <c r="Q118" s="90"/>
      <c r="R118" s="90"/>
      <c r="S118" s="90"/>
      <c r="U118" s="92"/>
      <c r="Z118" s="118"/>
      <c r="AA118" s="118"/>
      <c r="AB118" s="118"/>
      <c r="AD118" s="60" t="s">
        <v>469</v>
      </c>
      <c r="AE118" s="60" t="s">
        <v>95</v>
      </c>
      <c r="AF118" s="60" t="s">
        <v>461</v>
      </c>
      <c r="AG118" s="146" t="s">
        <v>52</v>
      </c>
      <c r="AH118" s="119" t="s">
        <v>52</v>
      </c>
      <c r="AI118" s="119" t="s">
        <v>52</v>
      </c>
      <c r="AJ118" s="119" t="s">
        <v>52</v>
      </c>
      <c r="AK118" s="120">
        <v>4.76</v>
      </c>
      <c r="AL118" s="120">
        <v>1.2</v>
      </c>
      <c r="AM118" s="120">
        <v>33</v>
      </c>
      <c r="AN118" s="212" t="s">
        <v>52</v>
      </c>
      <c r="AO118" s="212" t="s">
        <v>52</v>
      </c>
      <c r="AP118" s="212" t="s">
        <v>52</v>
      </c>
      <c r="AQ118" s="212" t="s">
        <v>52</v>
      </c>
      <c r="AR118" s="120"/>
      <c r="AS118" s="120"/>
    </row>
    <row r="119" spans="1:45" s="60" customFormat="1" ht="19" customHeight="1">
      <c r="A119" s="116"/>
      <c r="B119" s="117"/>
      <c r="C119" s="116"/>
      <c r="D119" s="88"/>
      <c r="E119" s="88"/>
      <c r="F119" s="88"/>
      <c r="G119" s="88"/>
      <c r="H119" s="285"/>
      <c r="I119" s="285" t="str">
        <f t="shared" si="4"/>
        <v/>
      </c>
      <c r="J119" s="127"/>
      <c r="K119" s="209"/>
      <c r="M119" s="90"/>
      <c r="N119" s="90"/>
      <c r="O119" s="90"/>
      <c r="P119" s="90"/>
      <c r="Q119" s="90"/>
      <c r="R119" s="90"/>
      <c r="S119" s="90"/>
      <c r="U119" s="92"/>
      <c r="Z119" s="118"/>
      <c r="AA119" s="118"/>
      <c r="AB119" s="118"/>
      <c r="AD119" s="60" t="s">
        <v>463</v>
      </c>
      <c r="AE119" s="60" t="s">
        <v>61</v>
      </c>
      <c r="AF119" s="60" t="s">
        <v>461</v>
      </c>
      <c r="AG119" s="146" t="s">
        <v>52</v>
      </c>
      <c r="AH119" s="120">
        <v>53.35</v>
      </c>
      <c r="AI119" s="120">
        <v>30.29</v>
      </c>
      <c r="AJ119" s="120">
        <v>33</v>
      </c>
      <c r="AK119" s="119" t="s">
        <v>52</v>
      </c>
      <c r="AL119" s="119" t="s">
        <v>52</v>
      </c>
      <c r="AM119" s="119" t="s">
        <v>52</v>
      </c>
      <c r="AN119" s="212" t="s">
        <v>52</v>
      </c>
      <c r="AO119" s="212" t="s">
        <v>52</v>
      </c>
      <c r="AP119" s="212" t="s">
        <v>52</v>
      </c>
      <c r="AQ119" s="212" t="s">
        <v>52</v>
      </c>
      <c r="AR119" s="119"/>
      <c r="AS119" s="119"/>
    </row>
    <row r="120" spans="1:45" s="60" customFormat="1" ht="19" customHeight="1">
      <c r="A120" s="116"/>
      <c r="B120" s="117"/>
      <c r="C120" s="116"/>
      <c r="D120" s="88"/>
      <c r="E120" s="88"/>
      <c r="F120" s="88"/>
      <c r="G120" s="88"/>
      <c r="H120" s="285" t="s">
        <v>919</v>
      </c>
      <c r="I120" s="285" t="str">
        <f t="shared" si="4"/>
        <v xml:space="preserve">m </v>
      </c>
      <c r="J120" s="127">
        <v>0</v>
      </c>
      <c r="K120" s="209" t="s">
        <v>470</v>
      </c>
      <c r="L120" s="60">
        <v>3</v>
      </c>
      <c r="M120" s="90">
        <v>8.5</v>
      </c>
      <c r="N120" s="90" t="s">
        <v>456</v>
      </c>
      <c r="O120" s="90" t="s">
        <v>456</v>
      </c>
      <c r="P120" s="90" t="s">
        <v>52</v>
      </c>
      <c r="Q120" s="90" t="s">
        <v>52</v>
      </c>
      <c r="R120" s="90">
        <v>0.5757575757575758</v>
      </c>
      <c r="S120" s="90" t="s">
        <v>52</v>
      </c>
      <c r="T120" s="60" t="s">
        <v>92</v>
      </c>
      <c r="U120" s="121" t="s">
        <v>465</v>
      </c>
      <c r="V120" s="118" t="s">
        <v>466</v>
      </c>
      <c r="W120" s="60" t="s">
        <v>153</v>
      </c>
      <c r="X120" s="60" t="s">
        <v>459</v>
      </c>
      <c r="Y120" s="60" t="s">
        <v>58</v>
      </c>
      <c r="Z120" s="134" t="s">
        <v>78</v>
      </c>
      <c r="AA120" s="134" t="s">
        <v>78</v>
      </c>
      <c r="AB120" s="134" t="s">
        <v>78</v>
      </c>
      <c r="AC120" s="60" t="s">
        <v>78</v>
      </c>
      <c r="AD120" s="60" t="s">
        <v>468</v>
      </c>
      <c r="AE120" s="60" t="s">
        <v>95</v>
      </c>
      <c r="AF120" s="60" t="s">
        <v>461</v>
      </c>
      <c r="AG120" s="146" t="s">
        <v>52</v>
      </c>
      <c r="AH120" s="119" t="s">
        <v>52</v>
      </c>
      <c r="AI120" s="119" t="s">
        <v>52</v>
      </c>
      <c r="AJ120" s="119" t="s">
        <v>52</v>
      </c>
      <c r="AK120" s="120">
        <v>7.88</v>
      </c>
      <c r="AL120" s="120">
        <v>1.72</v>
      </c>
      <c r="AM120" s="120">
        <v>27</v>
      </c>
      <c r="AN120" s="212" t="s">
        <v>52</v>
      </c>
      <c r="AO120" s="212" t="s">
        <v>52</v>
      </c>
      <c r="AP120" s="212" t="s">
        <v>52</v>
      </c>
      <c r="AQ120" s="212" t="s">
        <v>52</v>
      </c>
      <c r="AR120" s="120"/>
      <c r="AS120" s="120"/>
    </row>
    <row r="121" spans="1:45" s="60" customFormat="1" ht="19" customHeight="1">
      <c r="A121" s="116"/>
      <c r="B121" s="117"/>
      <c r="C121" s="116"/>
      <c r="D121" s="88"/>
      <c r="E121" s="88"/>
      <c r="F121" s="88"/>
      <c r="G121" s="88"/>
      <c r="H121" s="285"/>
      <c r="I121" s="285" t="str">
        <f t="shared" si="4"/>
        <v/>
      </c>
      <c r="J121" s="127"/>
      <c r="M121" s="90"/>
      <c r="N121" s="90"/>
      <c r="O121" s="90"/>
      <c r="P121" s="90"/>
      <c r="Q121" s="90"/>
      <c r="R121" s="90"/>
      <c r="S121" s="90"/>
      <c r="U121" s="92"/>
      <c r="Z121" s="134"/>
      <c r="AA121" s="134"/>
      <c r="AB121" s="134"/>
      <c r="AD121" s="60" t="s">
        <v>469</v>
      </c>
      <c r="AE121" s="60" t="s">
        <v>95</v>
      </c>
      <c r="AF121" s="60" t="s">
        <v>461</v>
      </c>
      <c r="AG121" s="146" t="s">
        <v>52</v>
      </c>
      <c r="AH121" s="119" t="s">
        <v>52</v>
      </c>
      <c r="AI121" s="119" t="s">
        <v>52</v>
      </c>
      <c r="AJ121" s="119" t="s">
        <v>52</v>
      </c>
      <c r="AK121" s="120">
        <v>4</v>
      </c>
      <c r="AL121" s="120">
        <v>0.87</v>
      </c>
      <c r="AM121" s="120">
        <v>27</v>
      </c>
      <c r="AN121" s="212" t="s">
        <v>52</v>
      </c>
      <c r="AO121" s="212" t="s">
        <v>52</v>
      </c>
      <c r="AP121" s="212" t="s">
        <v>52</v>
      </c>
      <c r="AQ121" s="212" t="s">
        <v>52</v>
      </c>
      <c r="AR121" s="120"/>
      <c r="AS121" s="120"/>
    </row>
    <row r="122" spans="1:45" s="60" customFormat="1" ht="19" customHeight="1">
      <c r="A122" s="116"/>
      <c r="B122" s="117"/>
      <c r="C122" s="116"/>
      <c r="D122" s="88"/>
      <c r="E122" s="88"/>
      <c r="F122" s="88"/>
      <c r="G122" s="88"/>
      <c r="H122" s="285"/>
      <c r="I122" s="285" t="str">
        <f t="shared" si="4"/>
        <v/>
      </c>
      <c r="J122" s="127"/>
      <c r="M122" s="90"/>
      <c r="N122" s="90"/>
      <c r="O122" s="90"/>
      <c r="P122" s="90"/>
      <c r="Q122" s="90"/>
      <c r="R122" s="90"/>
      <c r="S122" s="90"/>
      <c r="U122" s="92"/>
      <c r="Z122" s="134"/>
      <c r="AA122" s="134"/>
      <c r="AB122" s="134"/>
      <c r="AD122" s="60" t="s">
        <v>463</v>
      </c>
      <c r="AE122" s="60" t="s">
        <v>61</v>
      </c>
      <c r="AF122" s="60" t="s">
        <v>461</v>
      </c>
      <c r="AG122" s="146" t="s">
        <v>52</v>
      </c>
      <c r="AH122" s="120">
        <v>38.31</v>
      </c>
      <c r="AI122" s="120">
        <v>35.56</v>
      </c>
      <c r="AJ122" s="120">
        <v>27</v>
      </c>
      <c r="AK122" s="119" t="s">
        <v>52</v>
      </c>
      <c r="AL122" s="119" t="s">
        <v>52</v>
      </c>
      <c r="AM122" s="119" t="s">
        <v>52</v>
      </c>
      <c r="AN122" s="212" t="s">
        <v>52</v>
      </c>
      <c r="AO122" s="212" t="s">
        <v>52</v>
      </c>
      <c r="AP122" s="212" t="s">
        <v>52</v>
      </c>
      <c r="AQ122" s="212" t="s">
        <v>52</v>
      </c>
      <c r="AR122" s="119"/>
      <c r="AS122" s="119"/>
    </row>
    <row r="123" spans="1:45" s="60" customFormat="1" ht="19" customHeight="1">
      <c r="A123" s="116" t="s">
        <v>936</v>
      </c>
      <c r="B123" s="117">
        <f>B117+0.1</f>
        <v>125.29999999999998</v>
      </c>
      <c r="C123" s="116" t="s">
        <v>47</v>
      </c>
      <c r="D123" s="88" t="s">
        <v>454</v>
      </c>
      <c r="E123" s="88" t="s">
        <v>66</v>
      </c>
      <c r="F123" s="88" t="s">
        <v>49</v>
      </c>
      <c r="G123" s="88" t="s">
        <v>239</v>
      </c>
      <c r="H123" s="285" t="s">
        <v>924</v>
      </c>
      <c r="I123" s="285" t="str">
        <f t="shared" si="4"/>
        <v xml:space="preserve">m </v>
      </c>
      <c r="J123" s="127">
        <v>1</v>
      </c>
      <c r="K123" s="210" t="s">
        <v>471</v>
      </c>
      <c r="L123" s="60">
        <v>5</v>
      </c>
      <c r="M123" s="90">
        <v>10.5</v>
      </c>
      <c r="N123" s="90" t="s">
        <v>456</v>
      </c>
      <c r="O123" s="90" t="s">
        <v>456</v>
      </c>
      <c r="P123" s="90" t="s">
        <v>52</v>
      </c>
      <c r="Q123" s="90" t="s">
        <v>52</v>
      </c>
      <c r="R123" s="90">
        <v>0.58490566037735847</v>
      </c>
      <c r="S123" s="90" t="s">
        <v>52</v>
      </c>
      <c r="T123" s="60" t="s">
        <v>92</v>
      </c>
      <c r="U123" s="92" t="s">
        <v>457</v>
      </c>
      <c r="V123" s="60" t="s">
        <v>458</v>
      </c>
      <c r="W123" s="60" t="s">
        <v>153</v>
      </c>
      <c r="X123" s="60" t="s">
        <v>459</v>
      </c>
      <c r="Y123" s="60" t="s">
        <v>58</v>
      </c>
      <c r="Z123" s="165" t="s">
        <v>52</v>
      </c>
      <c r="AA123" s="165" t="s">
        <v>708</v>
      </c>
      <c r="AB123" s="165" t="s">
        <v>52</v>
      </c>
      <c r="AC123" s="60" t="s">
        <v>59</v>
      </c>
      <c r="AD123" s="60" t="s">
        <v>460</v>
      </c>
      <c r="AE123" s="60" t="s">
        <v>95</v>
      </c>
      <c r="AF123" s="60" t="s">
        <v>461</v>
      </c>
      <c r="AG123" s="146" t="s">
        <v>52</v>
      </c>
      <c r="AH123" s="119" t="s">
        <v>52</v>
      </c>
      <c r="AI123" s="119" t="s">
        <v>52</v>
      </c>
      <c r="AJ123" s="119" t="s">
        <v>52</v>
      </c>
      <c r="AK123" s="120">
        <v>7.92</v>
      </c>
      <c r="AL123" s="120">
        <v>1.54</v>
      </c>
      <c r="AM123" s="120">
        <v>23</v>
      </c>
      <c r="AN123" s="212" t="s">
        <v>52</v>
      </c>
      <c r="AO123" s="212" t="s">
        <v>52</v>
      </c>
      <c r="AP123" s="212" t="s">
        <v>52</v>
      </c>
      <c r="AQ123" s="212" t="s">
        <v>52</v>
      </c>
      <c r="AR123" s="120"/>
      <c r="AS123" s="120"/>
    </row>
    <row r="124" spans="1:45" s="60" customFormat="1" ht="19" customHeight="1">
      <c r="A124" s="116"/>
      <c r="B124" s="117"/>
      <c r="C124" s="116"/>
      <c r="D124" s="88"/>
      <c r="E124" s="88"/>
      <c r="F124" s="88"/>
      <c r="G124" s="88"/>
      <c r="H124" s="285"/>
      <c r="I124" s="285" t="str">
        <f t="shared" si="4"/>
        <v/>
      </c>
      <c r="J124" s="127"/>
      <c r="K124" s="210"/>
      <c r="M124" s="90"/>
      <c r="N124" s="90"/>
      <c r="O124" s="90"/>
      <c r="P124" s="90"/>
      <c r="Q124" s="90"/>
      <c r="R124" s="90"/>
      <c r="S124" s="90"/>
      <c r="U124" s="92"/>
      <c r="Z124" s="118"/>
      <c r="AA124" s="118"/>
      <c r="AB124" s="118"/>
      <c r="AD124" s="60" t="s">
        <v>462</v>
      </c>
      <c r="AE124" s="60" t="s">
        <v>95</v>
      </c>
      <c r="AF124" s="60" t="s">
        <v>461</v>
      </c>
      <c r="AG124" s="146" t="s">
        <v>52</v>
      </c>
      <c r="AH124" s="119" t="s">
        <v>52</v>
      </c>
      <c r="AI124" s="119" t="s">
        <v>52</v>
      </c>
      <c r="AJ124" s="119" t="s">
        <v>52</v>
      </c>
      <c r="AK124" s="120">
        <v>5.4</v>
      </c>
      <c r="AL124" s="120">
        <v>1.34</v>
      </c>
      <c r="AM124" s="120">
        <v>23</v>
      </c>
      <c r="AN124" s="212" t="s">
        <v>52</v>
      </c>
      <c r="AO124" s="212" t="s">
        <v>52</v>
      </c>
      <c r="AP124" s="212" t="s">
        <v>52</v>
      </c>
      <c r="AQ124" s="212" t="s">
        <v>52</v>
      </c>
      <c r="AR124" s="120"/>
      <c r="AS124" s="120"/>
    </row>
    <row r="125" spans="1:45" s="60" customFormat="1" ht="19" customHeight="1">
      <c r="A125" s="116"/>
      <c r="B125" s="117"/>
      <c r="C125" s="116"/>
      <c r="D125" s="88"/>
      <c r="E125" s="88"/>
      <c r="F125" s="88"/>
      <c r="G125" s="88"/>
      <c r="H125" s="285"/>
      <c r="I125" s="285" t="str">
        <f t="shared" si="4"/>
        <v/>
      </c>
      <c r="J125" s="127"/>
      <c r="K125" s="210"/>
      <c r="M125" s="90"/>
      <c r="N125" s="90"/>
      <c r="O125" s="90"/>
      <c r="P125" s="90"/>
      <c r="Q125" s="90"/>
      <c r="R125" s="90"/>
      <c r="S125" s="90"/>
      <c r="U125" s="92"/>
      <c r="Z125" s="118"/>
      <c r="AA125" s="118"/>
      <c r="AB125" s="118"/>
      <c r="AD125" s="60" t="s">
        <v>463</v>
      </c>
      <c r="AE125" s="60" t="s">
        <v>61</v>
      </c>
      <c r="AF125" s="60" t="s">
        <v>461</v>
      </c>
      <c r="AG125" s="146" t="s">
        <v>52</v>
      </c>
      <c r="AH125" s="180">
        <v>43.29</v>
      </c>
      <c r="AI125" s="120">
        <v>11.77</v>
      </c>
      <c r="AJ125" s="120">
        <v>23</v>
      </c>
      <c r="AK125" s="119" t="s">
        <v>52</v>
      </c>
      <c r="AL125" s="119" t="s">
        <v>52</v>
      </c>
      <c r="AM125" s="119" t="s">
        <v>52</v>
      </c>
      <c r="AN125" s="212" t="s">
        <v>52</v>
      </c>
      <c r="AO125" s="212" t="s">
        <v>52</v>
      </c>
      <c r="AP125" s="212" t="s">
        <v>52</v>
      </c>
      <c r="AQ125" s="212" t="s">
        <v>52</v>
      </c>
      <c r="AR125" s="119"/>
      <c r="AS125" s="119"/>
    </row>
    <row r="126" spans="1:45" s="60" customFormat="1" ht="19" customHeight="1">
      <c r="A126" s="116"/>
      <c r="B126" s="117"/>
      <c r="C126" s="116"/>
      <c r="D126" s="88"/>
      <c r="E126" s="88"/>
      <c r="F126" s="88"/>
      <c r="G126" s="88"/>
      <c r="H126" s="285" t="s">
        <v>919</v>
      </c>
      <c r="I126" s="285" t="str">
        <f t="shared" si="4"/>
        <v xml:space="preserve">m </v>
      </c>
      <c r="J126" s="127">
        <v>0</v>
      </c>
      <c r="K126" s="210" t="s">
        <v>472</v>
      </c>
      <c r="L126" s="60">
        <v>5</v>
      </c>
      <c r="M126" s="90">
        <v>10.5</v>
      </c>
      <c r="N126" s="90" t="s">
        <v>456</v>
      </c>
      <c r="O126" s="90" t="s">
        <v>456</v>
      </c>
      <c r="P126" s="90" t="s">
        <v>52</v>
      </c>
      <c r="Q126" s="90" t="s">
        <v>52</v>
      </c>
      <c r="R126" s="90">
        <v>0.47169811320754718</v>
      </c>
      <c r="S126" s="90" t="s">
        <v>52</v>
      </c>
      <c r="T126" s="60" t="s">
        <v>92</v>
      </c>
      <c r="U126" s="121" t="s">
        <v>465</v>
      </c>
      <c r="V126" s="118" t="s">
        <v>466</v>
      </c>
      <c r="W126" s="60" t="s">
        <v>153</v>
      </c>
      <c r="X126" s="60" t="s">
        <v>459</v>
      </c>
      <c r="Y126" s="60" t="s">
        <v>58</v>
      </c>
      <c r="Z126" s="134" t="s">
        <v>78</v>
      </c>
      <c r="AA126" s="134" t="s">
        <v>78</v>
      </c>
      <c r="AB126" s="134" t="s">
        <v>78</v>
      </c>
      <c r="AC126" s="60" t="s">
        <v>78</v>
      </c>
      <c r="AD126" s="60" t="s">
        <v>460</v>
      </c>
      <c r="AE126" s="60" t="s">
        <v>95</v>
      </c>
      <c r="AF126" s="60" t="s">
        <v>461</v>
      </c>
      <c r="AG126" s="146" t="s">
        <v>52</v>
      </c>
      <c r="AH126" s="119" t="s">
        <v>52</v>
      </c>
      <c r="AI126" s="119" t="s">
        <v>52</v>
      </c>
      <c r="AJ126" s="119" t="s">
        <v>52</v>
      </c>
      <c r="AK126" s="120">
        <v>7.35</v>
      </c>
      <c r="AL126" s="120">
        <v>1.54</v>
      </c>
      <c r="AM126" s="120">
        <v>24</v>
      </c>
      <c r="AN126" s="212" t="s">
        <v>52</v>
      </c>
      <c r="AO126" s="212" t="s">
        <v>52</v>
      </c>
      <c r="AP126" s="212" t="s">
        <v>52</v>
      </c>
      <c r="AQ126" s="212" t="s">
        <v>52</v>
      </c>
      <c r="AR126" s="120"/>
      <c r="AS126" s="120"/>
    </row>
    <row r="127" spans="1:45" s="60" customFormat="1" ht="19" customHeight="1">
      <c r="A127" s="116"/>
      <c r="B127" s="117"/>
      <c r="C127" s="116"/>
      <c r="D127" s="88"/>
      <c r="E127" s="88"/>
      <c r="F127" s="88"/>
      <c r="G127" s="88"/>
      <c r="H127" s="285"/>
      <c r="I127" s="285" t="str">
        <f t="shared" si="4"/>
        <v/>
      </c>
      <c r="J127" s="127"/>
      <c r="K127" s="210"/>
      <c r="M127" s="90"/>
      <c r="N127" s="90"/>
      <c r="O127" s="90"/>
      <c r="P127" s="90"/>
      <c r="Q127" s="90"/>
      <c r="R127" s="90"/>
      <c r="S127" s="90"/>
      <c r="U127" s="92"/>
      <c r="Z127" s="134"/>
      <c r="AA127" s="134"/>
      <c r="AB127" s="134"/>
      <c r="AD127" s="60" t="s">
        <v>462</v>
      </c>
      <c r="AE127" s="60" t="s">
        <v>95</v>
      </c>
      <c r="AF127" s="60" t="s">
        <v>461</v>
      </c>
      <c r="AG127" s="146" t="s">
        <v>52</v>
      </c>
      <c r="AH127" s="119" t="s">
        <v>52</v>
      </c>
      <c r="AI127" s="119" t="s">
        <v>52</v>
      </c>
      <c r="AJ127" s="119" t="s">
        <v>52</v>
      </c>
      <c r="AK127" s="120">
        <v>4.4400000000000004</v>
      </c>
      <c r="AL127" s="120">
        <v>1.34</v>
      </c>
      <c r="AM127" s="120">
        <v>24</v>
      </c>
      <c r="AN127" s="212" t="s">
        <v>52</v>
      </c>
      <c r="AO127" s="212" t="s">
        <v>52</v>
      </c>
      <c r="AP127" s="212" t="s">
        <v>52</v>
      </c>
      <c r="AQ127" s="212" t="s">
        <v>52</v>
      </c>
      <c r="AR127" s="120"/>
      <c r="AS127" s="120"/>
    </row>
    <row r="128" spans="1:45" s="60" customFormat="1" ht="19" customHeight="1">
      <c r="A128" s="116"/>
      <c r="B128" s="117"/>
      <c r="C128" s="116"/>
      <c r="D128" s="88"/>
      <c r="E128" s="88"/>
      <c r="F128" s="88"/>
      <c r="G128" s="88"/>
      <c r="H128" s="285"/>
      <c r="I128" s="285" t="str">
        <f t="shared" si="4"/>
        <v/>
      </c>
      <c r="J128" s="127"/>
      <c r="K128" s="210"/>
      <c r="M128" s="90"/>
      <c r="N128" s="90"/>
      <c r="O128" s="90"/>
      <c r="P128" s="90"/>
      <c r="Q128" s="90"/>
      <c r="R128" s="90"/>
      <c r="S128" s="90"/>
      <c r="U128" s="92"/>
      <c r="Z128" s="134"/>
      <c r="AA128" s="134"/>
      <c r="AB128" s="134"/>
      <c r="AD128" s="60" t="s">
        <v>463</v>
      </c>
      <c r="AE128" s="60" t="s">
        <v>61</v>
      </c>
      <c r="AF128" s="60" t="s">
        <v>461</v>
      </c>
      <c r="AG128" s="146" t="s">
        <v>52</v>
      </c>
      <c r="AH128" s="180">
        <v>37.46</v>
      </c>
      <c r="AI128" s="120">
        <v>12.6</v>
      </c>
      <c r="AJ128" s="120">
        <v>24</v>
      </c>
      <c r="AK128" s="119" t="s">
        <v>52</v>
      </c>
      <c r="AL128" s="119" t="s">
        <v>52</v>
      </c>
      <c r="AM128" s="119" t="s">
        <v>52</v>
      </c>
      <c r="AN128" s="212" t="s">
        <v>52</v>
      </c>
      <c r="AO128" s="212" t="s">
        <v>52</v>
      </c>
      <c r="AP128" s="212" t="s">
        <v>52</v>
      </c>
      <c r="AQ128" s="212" t="s">
        <v>52</v>
      </c>
      <c r="AR128" s="119"/>
      <c r="AS128" s="119"/>
    </row>
    <row r="129" spans="1:45" s="60" customFormat="1" ht="19" customHeight="1">
      <c r="A129" s="116" t="s">
        <v>936</v>
      </c>
      <c r="B129" s="117">
        <f>B123+0.1</f>
        <v>125.39999999999998</v>
      </c>
      <c r="C129" s="116" t="s">
        <v>47</v>
      </c>
      <c r="D129" s="88" t="s">
        <v>454</v>
      </c>
      <c r="E129" s="88" t="s">
        <v>66</v>
      </c>
      <c r="F129" s="88" t="s">
        <v>49</v>
      </c>
      <c r="G129" s="88" t="s">
        <v>239</v>
      </c>
      <c r="H129" s="285" t="s">
        <v>924</v>
      </c>
      <c r="I129" s="285" t="str">
        <f t="shared" si="4"/>
        <v xml:space="preserve">m </v>
      </c>
      <c r="J129" s="127">
        <v>1</v>
      </c>
      <c r="K129" s="210" t="s">
        <v>473</v>
      </c>
      <c r="L129" s="60">
        <v>5</v>
      </c>
      <c r="M129" s="90">
        <v>10.5</v>
      </c>
      <c r="N129" s="90" t="s">
        <v>456</v>
      </c>
      <c r="O129" s="90" t="s">
        <v>456</v>
      </c>
      <c r="P129" s="90" t="s">
        <v>52</v>
      </c>
      <c r="Q129" s="90" t="s">
        <v>52</v>
      </c>
      <c r="R129" s="90">
        <v>0.58490566037735847</v>
      </c>
      <c r="S129" s="90" t="s">
        <v>52</v>
      </c>
      <c r="T129" s="60" t="s">
        <v>92</v>
      </c>
      <c r="U129" s="92" t="s">
        <v>457</v>
      </c>
      <c r="V129" s="60" t="s">
        <v>458</v>
      </c>
      <c r="W129" s="60" t="s">
        <v>153</v>
      </c>
      <c r="X129" s="60" t="s">
        <v>459</v>
      </c>
      <c r="Y129" s="60" t="s">
        <v>58</v>
      </c>
      <c r="Z129" s="165" t="s">
        <v>52</v>
      </c>
      <c r="AA129" s="165" t="s">
        <v>708</v>
      </c>
      <c r="AB129" s="165" t="s">
        <v>52</v>
      </c>
      <c r="AC129" s="60" t="s">
        <v>59</v>
      </c>
      <c r="AD129" s="60" t="s">
        <v>468</v>
      </c>
      <c r="AE129" s="60" t="s">
        <v>95</v>
      </c>
      <c r="AF129" s="60" t="s">
        <v>461</v>
      </c>
      <c r="AG129" s="146" t="s">
        <v>52</v>
      </c>
      <c r="AH129" s="119" t="s">
        <v>52</v>
      </c>
      <c r="AI129" s="119" t="s">
        <v>52</v>
      </c>
      <c r="AJ129" s="119" t="s">
        <v>52</v>
      </c>
      <c r="AK129" s="120">
        <v>6.74</v>
      </c>
      <c r="AL129" s="120">
        <v>1.9</v>
      </c>
      <c r="AM129" s="120">
        <v>26</v>
      </c>
      <c r="AN129" s="212" t="s">
        <v>52</v>
      </c>
      <c r="AO129" s="212" t="s">
        <v>52</v>
      </c>
      <c r="AP129" s="212" t="s">
        <v>52</v>
      </c>
      <c r="AQ129" s="212" t="s">
        <v>52</v>
      </c>
      <c r="AR129" s="120"/>
      <c r="AS129" s="120"/>
    </row>
    <row r="130" spans="1:45" s="60" customFormat="1" ht="19" customHeight="1">
      <c r="A130" s="116"/>
      <c r="B130" s="117"/>
      <c r="C130" s="116"/>
      <c r="D130" s="88"/>
      <c r="E130" s="88"/>
      <c r="F130" s="88"/>
      <c r="G130" s="88"/>
      <c r="H130" s="285"/>
      <c r="I130" s="285" t="str">
        <f t="shared" si="4"/>
        <v/>
      </c>
      <c r="J130" s="127"/>
      <c r="K130" s="210"/>
      <c r="M130" s="90"/>
      <c r="N130" s="90"/>
      <c r="O130" s="90"/>
      <c r="P130" s="90"/>
      <c r="Q130" s="90"/>
      <c r="R130" s="90"/>
      <c r="S130" s="90"/>
      <c r="U130" s="92"/>
      <c r="Z130" s="118"/>
      <c r="AA130" s="118"/>
      <c r="AB130" s="118"/>
      <c r="AD130" s="60" t="s">
        <v>469</v>
      </c>
      <c r="AE130" s="60" t="s">
        <v>95</v>
      </c>
      <c r="AF130" s="60" t="s">
        <v>461</v>
      </c>
      <c r="AG130" s="146" t="s">
        <v>52</v>
      </c>
      <c r="AH130" s="119" t="s">
        <v>52</v>
      </c>
      <c r="AI130" s="119" t="s">
        <v>52</v>
      </c>
      <c r="AJ130" s="119" t="s">
        <v>52</v>
      </c>
      <c r="AK130" s="120">
        <v>4.96</v>
      </c>
      <c r="AL130" s="120">
        <v>1.25</v>
      </c>
      <c r="AM130" s="120">
        <v>26</v>
      </c>
      <c r="AN130" s="212" t="s">
        <v>52</v>
      </c>
      <c r="AO130" s="212" t="s">
        <v>52</v>
      </c>
      <c r="AP130" s="212" t="s">
        <v>52</v>
      </c>
      <c r="AQ130" s="212" t="s">
        <v>52</v>
      </c>
      <c r="AR130" s="120"/>
      <c r="AS130" s="120"/>
    </row>
    <row r="131" spans="1:45" s="60" customFormat="1" ht="19" customHeight="1">
      <c r="A131" s="116"/>
      <c r="B131" s="117"/>
      <c r="C131" s="116"/>
      <c r="D131" s="88"/>
      <c r="E131" s="88"/>
      <c r="F131" s="88"/>
      <c r="G131" s="88"/>
      <c r="H131" s="285"/>
      <c r="I131" s="285" t="str">
        <f t="shared" si="4"/>
        <v/>
      </c>
      <c r="J131" s="127"/>
      <c r="K131" s="210"/>
      <c r="M131" s="90"/>
      <c r="N131" s="90"/>
      <c r="O131" s="90"/>
      <c r="P131" s="90"/>
      <c r="Q131" s="90"/>
      <c r="R131" s="90"/>
      <c r="S131" s="90"/>
      <c r="U131" s="92"/>
      <c r="Z131" s="118"/>
      <c r="AA131" s="118"/>
      <c r="AB131" s="118"/>
      <c r="AD131" s="60" t="s">
        <v>463</v>
      </c>
      <c r="AE131" s="60" t="s">
        <v>61</v>
      </c>
      <c r="AF131" s="60" t="s">
        <v>461</v>
      </c>
      <c r="AG131" s="146" t="s">
        <v>52</v>
      </c>
      <c r="AH131" s="120">
        <v>42.23</v>
      </c>
      <c r="AI131" s="120">
        <v>8.99</v>
      </c>
      <c r="AJ131" s="120">
        <v>26</v>
      </c>
      <c r="AK131" s="119" t="s">
        <v>52</v>
      </c>
      <c r="AL131" s="119" t="s">
        <v>52</v>
      </c>
      <c r="AM131" s="119" t="s">
        <v>52</v>
      </c>
      <c r="AN131" s="212" t="s">
        <v>52</v>
      </c>
      <c r="AO131" s="212" t="s">
        <v>52</v>
      </c>
      <c r="AP131" s="212" t="s">
        <v>52</v>
      </c>
      <c r="AQ131" s="212" t="s">
        <v>52</v>
      </c>
      <c r="AR131" s="119"/>
      <c r="AS131" s="119"/>
    </row>
    <row r="132" spans="1:45" s="60" customFormat="1" ht="19" customHeight="1">
      <c r="A132" s="116"/>
      <c r="B132" s="117"/>
      <c r="C132" s="116"/>
      <c r="D132" s="88"/>
      <c r="E132" s="88"/>
      <c r="F132" s="88"/>
      <c r="G132" s="88"/>
      <c r="H132" s="285" t="s">
        <v>919</v>
      </c>
      <c r="I132" s="285" t="str">
        <f t="shared" ref="I132:I195" si="6">IF(T132="BAU",".",LEFT(T132,2))</f>
        <v xml:space="preserve">m </v>
      </c>
      <c r="J132" s="127">
        <v>0</v>
      </c>
      <c r="K132" s="210" t="s">
        <v>474</v>
      </c>
      <c r="L132" s="60">
        <v>5</v>
      </c>
      <c r="M132" s="90">
        <v>10.5</v>
      </c>
      <c r="N132" s="90" t="s">
        <v>456</v>
      </c>
      <c r="O132" s="90" t="s">
        <v>456</v>
      </c>
      <c r="P132" s="90" t="s">
        <v>52</v>
      </c>
      <c r="Q132" s="90" t="s">
        <v>52</v>
      </c>
      <c r="R132" s="90">
        <v>0.47169811320754718</v>
      </c>
      <c r="S132" s="90" t="s">
        <v>52</v>
      </c>
      <c r="T132" s="60" t="s">
        <v>92</v>
      </c>
      <c r="U132" s="121" t="s">
        <v>465</v>
      </c>
      <c r="V132" s="118" t="s">
        <v>466</v>
      </c>
      <c r="W132" s="60" t="s">
        <v>153</v>
      </c>
      <c r="X132" s="60" t="s">
        <v>459</v>
      </c>
      <c r="Y132" s="60" t="s">
        <v>58</v>
      </c>
      <c r="Z132" s="134" t="s">
        <v>78</v>
      </c>
      <c r="AA132" s="134" t="s">
        <v>78</v>
      </c>
      <c r="AB132" s="134" t="s">
        <v>78</v>
      </c>
      <c r="AC132" s="60" t="s">
        <v>78</v>
      </c>
      <c r="AD132" s="60" t="s">
        <v>468</v>
      </c>
      <c r="AE132" s="60" t="s">
        <v>95</v>
      </c>
      <c r="AF132" s="60" t="s">
        <v>461</v>
      </c>
      <c r="AG132" s="146" t="s">
        <v>52</v>
      </c>
      <c r="AH132" s="119" t="s">
        <v>52</v>
      </c>
      <c r="AI132" s="119" t="s">
        <v>52</v>
      </c>
      <c r="AJ132" s="119" t="s">
        <v>52</v>
      </c>
      <c r="AK132" s="120">
        <v>6.37</v>
      </c>
      <c r="AL132" s="120">
        <v>1.59</v>
      </c>
      <c r="AM132" s="120">
        <v>28</v>
      </c>
      <c r="AN132" s="212" t="s">
        <v>52</v>
      </c>
      <c r="AO132" s="212" t="s">
        <v>52</v>
      </c>
      <c r="AP132" s="212" t="s">
        <v>52</v>
      </c>
      <c r="AQ132" s="212" t="s">
        <v>52</v>
      </c>
      <c r="AR132" s="120"/>
      <c r="AS132" s="120"/>
    </row>
    <row r="133" spans="1:45" s="60" customFormat="1" ht="19" customHeight="1">
      <c r="A133" s="116"/>
      <c r="B133" s="117"/>
      <c r="C133" s="116"/>
      <c r="D133" s="88"/>
      <c r="E133" s="88"/>
      <c r="F133" s="88"/>
      <c r="G133" s="88"/>
      <c r="H133" s="285"/>
      <c r="I133" s="285" t="str">
        <f t="shared" si="6"/>
        <v/>
      </c>
      <c r="J133" s="127"/>
      <c r="M133" s="90"/>
      <c r="N133" s="90"/>
      <c r="O133" s="90"/>
      <c r="P133" s="90"/>
      <c r="Q133" s="90"/>
      <c r="S133" s="90"/>
      <c r="U133" s="92"/>
      <c r="Z133" s="134"/>
      <c r="AA133" s="134"/>
      <c r="AB133" s="134"/>
      <c r="AD133" s="60" t="s">
        <v>469</v>
      </c>
      <c r="AE133" s="60" t="s">
        <v>95</v>
      </c>
      <c r="AF133" s="60" t="s">
        <v>461</v>
      </c>
      <c r="AG133" s="146" t="s">
        <v>52</v>
      </c>
      <c r="AH133" s="119" t="s">
        <v>52</v>
      </c>
      <c r="AI133" s="119" t="s">
        <v>52</v>
      </c>
      <c r="AJ133" s="119" t="s">
        <v>52</v>
      </c>
      <c r="AK133" s="120">
        <v>5.13</v>
      </c>
      <c r="AL133" s="120">
        <v>1.51</v>
      </c>
      <c r="AM133" s="120">
        <v>28</v>
      </c>
      <c r="AN133" s="212" t="s">
        <v>52</v>
      </c>
      <c r="AO133" s="212" t="s">
        <v>52</v>
      </c>
      <c r="AP133" s="212" t="s">
        <v>52</v>
      </c>
      <c r="AQ133" s="212" t="s">
        <v>52</v>
      </c>
      <c r="AR133" s="120"/>
      <c r="AS133" s="120"/>
    </row>
    <row r="134" spans="1:45" s="63" customFormat="1" ht="19" customHeight="1">
      <c r="A134" s="122"/>
      <c r="B134" s="123"/>
      <c r="C134" s="122"/>
      <c r="D134" s="89"/>
      <c r="E134" s="89"/>
      <c r="F134" s="89"/>
      <c r="G134" s="89"/>
      <c r="H134" s="286"/>
      <c r="I134" s="286" t="str">
        <f t="shared" si="6"/>
        <v/>
      </c>
      <c r="J134" s="128"/>
      <c r="M134" s="93"/>
      <c r="N134" s="93"/>
      <c r="O134" s="93"/>
      <c r="P134" s="93"/>
      <c r="Q134" s="93"/>
      <c r="S134" s="93"/>
      <c r="U134" s="95"/>
      <c r="Z134" s="138"/>
      <c r="AA134" s="138"/>
      <c r="AB134" s="138"/>
      <c r="AD134" s="63" t="s">
        <v>463</v>
      </c>
      <c r="AE134" s="63" t="s">
        <v>61</v>
      </c>
      <c r="AF134" s="60" t="s">
        <v>461</v>
      </c>
      <c r="AG134" s="147" t="s">
        <v>52</v>
      </c>
      <c r="AH134" s="124">
        <v>37.54</v>
      </c>
      <c r="AI134" s="124">
        <v>10.3</v>
      </c>
      <c r="AJ134" s="124">
        <v>28</v>
      </c>
      <c r="AK134" s="125" t="s">
        <v>52</v>
      </c>
      <c r="AL134" s="125" t="s">
        <v>52</v>
      </c>
      <c r="AM134" s="125" t="s">
        <v>52</v>
      </c>
      <c r="AN134" s="213" t="s">
        <v>52</v>
      </c>
      <c r="AO134" s="213" t="s">
        <v>52</v>
      </c>
      <c r="AP134" s="213" t="s">
        <v>52</v>
      </c>
      <c r="AQ134" s="213" t="s">
        <v>52</v>
      </c>
      <c r="AR134" s="125"/>
      <c r="AS134" s="125"/>
    </row>
    <row r="135" spans="1:45" s="60" customFormat="1" ht="19" customHeight="1">
      <c r="A135" s="116" t="s">
        <v>937</v>
      </c>
      <c r="B135" s="117">
        <v>126.1</v>
      </c>
      <c r="C135" s="116" t="s">
        <v>47</v>
      </c>
      <c r="D135" s="88" t="s">
        <v>454</v>
      </c>
      <c r="E135" s="88" t="s">
        <v>66</v>
      </c>
      <c r="F135" s="88" t="s">
        <v>49</v>
      </c>
      <c r="G135" s="88" t="s">
        <v>239</v>
      </c>
      <c r="H135" s="285" t="s">
        <v>924</v>
      </c>
      <c r="I135" s="285" t="str">
        <f t="shared" si="6"/>
        <v>cm</v>
      </c>
      <c r="J135" s="127">
        <v>1</v>
      </c>
      <c r="K135" s="60" t="s">
        <v>475</v>
      </c>
      <c r="L135" s="60">
        <v>5</v>
      </c>
      <c r="M135" s="90">
        <v>10.5</v>
      </c>
      <c r="N135" s="90" t="s">
        <v>52</v>
      </c>
      <c r="O135" s="90">
        <v>0.02</v>
      </c>
      <c r="P135" s="90" t="s">
        <v>52</v>
      </c>
      <c r="Q135" s="90">
        <v>0</v>
      </c>
      <c r="R135" s="90">
        <v>0.48799999999999999</v>
      </c>
      <c r="S135" s="90">
        <v>0.58000000000000007</v>
      </c>
      <c r="T135" s="60" t="s">
        <v>53</v>
      </c>
      <c r="U135" s="92" t="s">
        <v>476</v>
      </c>
      <c r="V135" s="60" t="s">
        <v>458</v>
      </c>
      <c r="W135" s="60" t="s">
        <v>153</v>
      </c>
      <c r="X135" s="60" t="s">
        <v>459</v>
      </c>
      <c r="Y135" s="60" t="s">
        <v>58</v>
      </c>
      <c r="Z135" s="60">
        <v>5400</v>
      </c>
      <c r="AA135" s="60">
        <v>60</v>
      </c>
      <c r="AB135" s="60">
        <v>90</v>
      </c>
      <c r="AC135" s="60" t="s">
        <v>59</v>
      </c>
      <c r="AD135" s="60" t="s">
        <v>477</v>
      </c>
      <c r="AE135" s="60" t="s">
        <v>61</v>
      </c>
      <c r="AF135" s="60" t="s">
        <v>461</v>
      </c>
      <c r="AG135" s="146" t="s">
        <v>478</v>
      </c>
      <c r="AH135" s="120">
        <v>455.54</v>
      </c>
      <c r="AI135" s="120">
        <v>9.7100000000000009</v>
      </c>
      <c r="AJ135" s="120">
        <v>41</v>
      </c>
      <c r="AK135" s="120">
        <v>476.72</v>
      </c>
      <c r="AL135" s="120">
        <v>11.1</v>
      </c>
      <c r="AM135" s="120">
        <v>41</v>
      </c>
      <c r="AN135" s="212" t="s">
        <v>52</v>
      </c>
      <c r="AO135" s="212" t="s">
        <v>52</v>
      </c>
      <c r="AP135" s="212" t="s">
        <v>52</v>
      </c>
      <c r="AQ135" s="212" t="s">
        <v>52</v>
      </c>
      <c r="AR135" s="120"/>
      <c r="AS135" s="120"/>
    </row>
    <row r="136" spans="1:45" s="60" customFormat="1" ht="19" customHeight="1">
      <c r="A136" s="116"/>
      <c r="B136" s="117"/>
      <c r="C136" s="116"/>
      <c r="D136" s="88"/>
      <c r="E136" s="88"/>
      <c r="F136" s="88"/>
      <c r="G136" s="88"/>
      <c r="H136" s="285"/>
      <c r="I136" s="285" t="str">
        <f t="shared" si="6"/>
        <v/>
      </c>
      <c r="J136" s="127"/>
      <c r="M136" s="90"/>
      <c r="N136" s="90"/>
      <c r="O136" s="90"/>
      <c r="P136" s="90"/>
      <c r="Q136" s="90"/>
      <c r="R136" s="90"/>
      <c r="S136" s="90"/>
      <c r="U136" s="92"/>
      <c r="AD136" s="60" t="s">
        <v>479</v>
      </c>
      <c r="AE136" s="110" t="s">
        <v>95</v>
      </c>
      <c r="AF136" s="60" t="s">
        <v>461</v>
      </c>
      <c r="AG136" s="146" t="s">
        <v>480</v>
      </c>
      <c r="AH136" s="120">
        <v>8</v>
      </c>
      <c r="AI136" s="120">
        <v>0.46</v>
      </c>
      <c r="AJ136" s="120">
        <v>41</v>
      </c>
      <c r="AK136" s="120">
        <v>8.8800000000000008</v>
      </c>
      <c r="AL136" s="120">
        <v>0.68</v>
      </c>
      <c r="AM136" s="120">
        <v>41</v>
      </c>
      <c r="AN136" s="212" t="s">
        <v>52</v>
      </c>
      <c r="AO136" s="212" t="s">
        <v>52</v>
      </c>
      <c r="AP136" s="212" t="s">
        <v>52</v>
      </c>
      <c r="AQ136" s="212" t="s">
        <v>52</v>
      </c>
      <c r="AR136" s="120"/>
      <c r="AS136" s="120"/>
    </row>
    <row r="137" spans="1:45" s="60" customFormat="1" ht="19" customHeight="1">
      <c r="A137" s="116"/>
      <c r="B137" s="117"/>
      <c r="C137" s="116"/>
      <c r="D137" s="88"/>
      <c r="E137" s="88"/>
      <c r="F137" s="88"/>
      <c r="G137" s="88"/>
      <c r="H137" s="285" t="s">
        <v>919</v>
      </c>
      <c r="I137" s="285" t="str">
        <f t="shared" si="6"/>
        <v>cm</v>
      </c>
      <c r="J137" s="127">
        <v>0</v>
      </c>
      <c r="K137" s="60" t="s">
        <v>481</v>
      </c>
      <c r="L137" s="60">
        <v>5</v>
      </c>
      <c r="M137" s="90">
        <v>10.5</v>
      </c>
      <c r="N137" s="90" t="s">
        <v>52</v>
      </c>
      <c r="O137" s="90">
        <v>0</v>
      </c>
      <c r="P137" s="90" t="s">
        <v>52</v>
      </c>
      <c r="Q137" s="90">
        <v>0.02</v>
      </c>
      <c r="R137" s="90">
        <v>0.63600000000000001</v>
      </c>
      <c r="S137" s="90">
        <v>0.37</v>
      </c>
      <c r="T137" s="60" t="s">
        <v>53</v>
      </c>
      <c r="U137" s="92" t="s">
        <v>482</v>
      </c>
      <c r="V137" s="60" t="s">
        <v>80</v>
      </c>
      <c r="W137" s="60" t="s">
        <v>153</v>
      </c>
      <c r="X137" s="60" t="s">
        <v>459</v>
      </c>
      <c r="Y137" s="60" t="s">
        <v>58</v>
      </c>
      <c r="Z137" s="60">
        <v>5400</v>
      </c>
      <c r="AA137" s="60">
        <v>60</v>
      </c>
      <c r="AB137" s="60">
        <v>90</v>
      </c>
      <c r="AC137" s="60" t="s">
        <v>78</v>
      </c>
      <c r="AD137" s="60" t="s">
        <v>477</v>
      </c>
      <c r="AE137" s="60" t="s">
        <v>61</v>
      </c>
      <c r="AF137" s="60" t="s">
        <v>461</v>
      </c>
      <c r="AG137" s="146" t="s">
        <v>478</v>
      </c>
      <c r="AH137" s="120">
        <v>450.7</v>
      </c>
      <c r="AI137" s="120">
        <v>3.69</v>
      </c>
      <c r="AJ137" s="120">
        <v>22</v>
      </c>
      <c r="AK137" s="120">
        <v>459.03</v>
      </c>
      <c r="AL137" s="120">
        <v>15.72</v>
      </c>
      <c r="AM137" s="120">
        <v>22</v>
      </c>
      <c r="AN137" s="212" t="s">
        <v>52</v>
      </c>
      <c r="AO137" s="212" t="s">
        <v>52</v>
      </c>
      <c r="AP137" s="212" t="s">
        <v>52</v>
      </c>
      <c r="AQ137" s="212" t="s">
        <v>52</v>
      </c>
      <c r="AR137" s="120"/>
      <c r="AS137" s="120"/>
    </row>
    <row r="138" spans="1:45" s="60" customFormat="1" ht="19" customHeight="1">
      <c r="A138" s="116"/>
      <c r="B138" s="117"/>
      <c r="C138" s="116"/>
      <c r="D138" s="88"/>
      <c r="E138" s="88"/>
      <c r="F138" s="88"/>
      <c r="G138" s="88"/>
      <c r="H138" s="285"/>
      <c r="I138" s="285" t="str">
        <f t="shared" si="6"/>
        <v/>
      </c>
      <c r="J138" s="127"/>
      <c r="M138" s="90"/>
      <c r="N138" s="90"/>
      <c r="O138" s="90"/>
      <c r="P138" s="90"/>
      <c r="Q138" s="90"/>
      <c r="R138" s="90"/>
      <c r="S138" s="90"/>
      <c r="U138" s="92"/>
      <c r="AD138" s="60" t="s">
        <v>479</v>
      </c>
      <c r="AE138" s="60" t="str">
        <f>AE$136</f>
        <v>0 = NO - Not standardized</v>
      </c>
      <c r="AF138" s="60" t="s">
        <v>461</v>
      </c>
      <c r="AG138" s="146" t="s">
        <v>480</v>
      </c>
      <c r="AH138" s="180">
        <v>7.97</v>
      </c>
      <c r="AI138" s="180">
        <v>0.57999999999999996</v>
      </c>
      <c r="AJ138" s="120">
        <v>22</v>
      </c>
      <c r="AK138" s="120">
        <v>7.73</v>
      </c>
      <c r="AL138" s="120">
        <v>1.3</v>
      </c>
      <c r="AM138" s="120">
        <v>22</v>
      </c>
      <c r="AN138" s="212" t="s">
        <v>52</v>
      </c>
      <c r="AO138" s="212" t="s">
        <v>52</v>
      </c>
      <c r="AP138" s="212" t="s">
        <v>52</v>
      </c>
      <c r="AQ138" s="212" t="s">
        <v>52</v>
      </c>
      <c r="AR138" s="120"/>
      <c r="AS138" s="120"/>
    </row>
    <row r="139" spans="1:45" s="60" customFormat="1" ht="19" customHeight="1">
      <c r="A139" s="116" t="s">
        <v>937</v>
      </c>
      <c r="B139" s="117">
        <v>126.2</v>
      </c>
      <c r="C139" s="116" t="s">
        <v>47</v>
      </c>
      <c r="D139" s="88" t="s">
        <v>454</v>
      </c>
      <c r="E139" s="88" t="s">
        <v>66</v>
      </c>
      <c r="F139" s="88" t="s">
        <v>49</v>
      </c>
      <c r="G139" s="88" t="s">
        <v>239</v>
      </c>
      <c r="H139" s="285" t="s">
        <v>924</v>
      </c>
      <c r="I139" s="285" t="str">
        <f t="shared" si="6"/>
        <v>cm</v>
      </c>
      <c r="J139" s="127">
        <v>1</v>
      </c>
      <c r="K139" s="60" t="s">
        <v>483</v>
      </c>
      <c r="L139" s="60">
        <v>5</v>
      </c>
      <c r="M139" s="90">
        <v>10.5</v>
      </c>
      <c r="N139" s="90" t="s">
        <v>52</v>
      </c>
      <c r="O139" s="90">
        <v>0.08</v>
      </c>
      <c r="P139" s="90" t="s">
        <v>52</v>
      </c>
      <c r="Q139" s="90">
        <v>0.12</v>
      </c>
      <c r="R139" s="90">
        <v>0.39600000000000002</v>
      </c>
      <c r="S139" s="90">
        <v>0.43999999999999995</v>
      </c>
      <c r="T139" s="60" t="s">
        <v>53</v>
      </c>
      <c r="U139" s="92" t="s">
        <v>476</v>
      </c>
      <c r="V139" s="60" t="s">
        <v>458</v>
      </c>
      <c r="W139" s="60" t="s">
        <v>153</v>
      </c>
      <c r="X139" s="60" t="s">
        <v>459</v>
      </c>
      <c r="Y139" s="60" t="s">
        <v>58</v>
      </c>
      <c r="Z139" s="60">
        <v>5400</v>
      </c>
      <c r="AA139" s="60">
        <v>60</v>
      </c>
      <c r="AB139" s="60">
        <v>90</v>
      </c>
      <c r="AC139" s="60" t="s">
        <v>59</v>
      </c>
      <c r="AD139" s="60" t="s">
        <v>477</v>
      </c>
      <c r="AE139" s="60" t="s">
        <v>61</v>
      </c>
      <c r="AF139" s="60" t="s">
        <v>461</v>
      </c>
      <c r="AG139" s="146" t="s">
        <v>478</v>
      </c>
      <c r="AH139" s="120">
        <v>515.33000000000004</v>
      </c>
      <c r="AI139" s="120">
        <v>15.58</v>
      </c>
      <c r="AJ139" s="120">
        <v>53</v>
      </c>
      <c r="AK139" s="120">
        <v>528.57000000000005</v>
      </c>
      <c r="AL139" s="120">
        <v>16.5</v>
      </c>
      <c r="AM139" s="120">
        <v>53</v>
      </c>
      <c r="AN139" s="212" t="s">
        <v>52</v>
      </c>
      <c r="AO139" s="212" t="s">
        <v>52</v>
      </c>
      <c r="AP139" s="212" t="s">
        <v>52</v>
      </c>
      <c r="AQ139" s="212" t="s">
        <v>52</v>
      </c>
      <c r="AR139" s="120"/>
      <c r="AS139" s="120"/>
    </row>
    <row r="140" spans="1:45" s="60" customFormat="1" ht="19" customHeight="1">
      <c r="A140" s="116"/>
      <c r="B140" s="117"/>
      <c r="C140" s="116"/>
      <c r="D140" s="88"/>
      <c r="E140" s="88"/>
      <c r="F140" s="88"/>
      <c r="G140" s="88"/>
      <c r="H140" s="285"/>
      <c r="I140" s="285" t="str">
        <f t="shared" si="6"/>
        <v/>
      </c>
      <c r="J140" s="127"/>
      <c r="M140" s="90"/>
      <c r="N140" s="90"/>
      <c r="O140" s="90"/>
      <c r="P140" s="90"/>
      <c r="Q140" s="90"/>
      <c r="R140" s="90"/>
      <c r="S140" s="90"/>
      <c r="U140" s="92"/>
      <c r="AD140" s="60" t="s">
        <v>479</v>
      </c>
      <c r="AE140" s="60" t="str">
        <f>AE$136</f>
        <v>0 = NO - Not standardized</v>
      </c>
      <c r="AF140" s="60" t="s">
        <v>461</v>
      </c>
      <c r="AG140" s="146" t="s">
        <v>480</v>
      </c>
      <c r="AH140" s="180">
        <v>8.77</v>
      </c>
      <c r="AI140" s="180">
        <v>1.53</v>
      </c>
      <c r="AJ140" s="120">
        <v>53</v>
      </c>
      <c r="AK140" s="120">
        <v>9.58</v>
      </c>
      <c r="AL140" s="120">
        <v>0.82</v>
      </c>
      <c r="AM140" s="120">
        <v>53</v>
      </c>
      <c r="AN140" s="212" t="s">
        <v>52</v>
      </c>
      <c r="AO140" s="212" t="s">
        <v>52</v>
      </c>
      <c r="AP140" s="212" t="s">
        <v>52</v>
      </c>
      <c r="AQ140" s="212" t="s">
        <v>52</v>
      </c>
      <c r="AR140" s="120"/>
      <c r="AS140" s="120"/>
    </row>
    <row r="141" spans="1:45" s="60" customFormat="1" ht="19" customHeight="1">
      <c r="A141" s="116"/>
      <c r="B141" s="117"/>
      <c r="C141" s="116"/>
      <c r="D141" s="88"/>
      <c r="E141" s="88"/>
      <c r="F141" s="88"/>
      <c r="G141" s="88"/>
      <c r="H141" s="285" t="s">
        <v>919</v>
      </c>
      <c r="I141" s="285" t="str">
        <f t="shared" si="6"/>
        <v>cm</v>
      </c>
      <c r="J141" s="127">
        <v>0</v>
      </c>
      <c r="K141" s="60" t="s">
        <v>484</v>
      </c>
      <c r="L141" s="60">
        <v>5</v>
      </c>
      <c r="M141" s="90">
        <v>10.5</v>
      </c>
      <c r="N141" s="90" t="s">
        <v>52</v>
      </c>
      <c r="O141" s="90">
        <v>0.23</v>
      </c>
      <c r="P141" s="90" t="s">
        <v>52</v>
      </c>
      <c r="Q141" s="90">
        <v>0.14000000000000001</v>
      </c>
      <c r="R141" s="90">
        <v>0.65</v>
      </c>
      <c r="S141" s="90">
        <v>0.22999999999999998</v>
      </c>
      <c r="T141" s="60" t="s">
        <v>53</v>
      </c>
      <c r="U141" s="92" t="s">
        <v>482</v>
      </c>
      <c r="V141" s="60" t="s">
        <v>80</v>
      </c>
      <c r="W141" s="60" t="s">
        <v>153</v>
      </c>
      <c r="X141" s="60" t="s">
        <v>459</v>
      </c>
      <c r="Y141" s="60" t="s">
        <v>58</v>
      </c>
      <c r="Z141" s="60">
        <v>5400</v>
      </c>
      <c r="AA141" s="60">
        <v>60</v>
      </c>
      <c r="AB141" s="60">
        <v>90</v>
      </c>
      <c r="AC141" s="60" t="s">
        <v>78</v>
      </c>
      <c r="AD141" s="60" t="s">
        <v>477</v>
      </c>
      <c r="AE141" s="60" t="s">
        <v>61</v>
      </c>
      <c r="AF141" s="60" t="s">
        <v>461</v>
      </c>
      <c r="AG141" s="146" t="s">
        <v>478</v>
      </c>
      <c r="AH141" s="120">
        <v>509.13</v>
      </c>
      <c r="AI141" s="120">
        <v>1.36</v>
      </c>
      <c r="AJ141" s="120">
        <v>40</v>
      </c>
      <c r="AK141" s="120">
        <v>514.23</v>
      </c>
      <c r="AL141" s="120">
        <v>8.75</v>
      </c>
      <c r="AM141" s="120">
        <v>40</v>
      </c>
      <c r="AN141" s="212" t="s">
        <v>52</v>
      </c>
      <c r="AO141" s="212" t="s">
        <v>52</v>
      </c>
      <c r="AP141" s="212" t="s">
        <v>52</v>
      </c>
      <c r="AQ141" s="212" t="s">
        <v>52</v>
      </c>
      <c r="AR141" s="120"/>
      <c r="AS141" s="120"/>
    </row>
    <row r="142" spans="1:45" s="63" customFormat="1" ht="19" customHeight="1">
      <c r="A142" s="122"/>
      <c r="B142" s="123"/>
      <c r="C142" s="122"/>
      <c r="D142" s="89"/>
      <c r="E142" s="89"/>
      <c r="F142" s="89"/>
      <c r="G142" s="89"/>
      <c r="H142" s="286"/>
      <c r="I142" s="286" t="str">
        <f t="shared" si="6"/>
        <v/>
      </c>
      <c r="J142" s="128"/>
      <c r="M142" s="93"/>
      <c r="N142" s="93"/>
      <c r="O142" s="93"/>
      <c r="P142" s="93"/>
      <c r="Q142" s="93"/>
      <c r="R142" s="93"/>
      <c r="S142" s="93"/>
      <c r="U142" s="95"/>
      <c r="AD142" s="63" t="s">
        <v>479</v>
      </c>
      <c r="AE142" s="63" t="str">
        <f>AE$136</f>
        <v>0 = NO - Not standardized</v>
      </c>
      <c r="AF142" s="60" t="s">
        <v>461</v>
      </c>
      <c r="AG142" s="147" t="s">
        <v>480</v>
      </c>
      <c r="AH142" s="124">
        <v>9.0299999999999994</v>
      </c>
      <c r="AI142" s="124">
        <v>0.55000000000000004</v>
      </c>
      <c r="AJ142" s="124">
        <v>40</v>
      </c>
      <c r="AK142" s="124">
        <v>9.67</v>
      </c>
      <c r="AL142" s="124">
        <v>0.32</v>
      </c>
      <c r="AM142" s="124">
        <v>40</v>
      </c>
      <c r="AN142" s="213" t="s">
        <v>52</v>
      </c>
      <c r="AO142" s="213" t="s">
        <v>52</v>
      </c>
      <c r="AP142" s="213" t="s">
        <v>52</v>
      </c>
      <c r="AQ142" s="213" t="s">
        <v>52</v>
      </c>
      <c r="AR142" s="124"/>
      <c r="AS142" s="124"/>
    </row>
    <row r="143" spans="1:45" s="60" customFormat="1" ht="19" customHeight="1">
      <c r="A143" s="116" t="s">
        <v>938</v>
      </c>
      <c r="B143" s="117">
        <v>127.01</v>
      </c>
      <c r="C143" s="116" t="s">
        <v>47</v>
      </c>
      <c r="D143" s="88" t="s">
        <v>454</v>
      </c>
      <c r="E143" s="88" t="s">
        <v>66</v>
      </c>
      <c r="F143" s="88" t="s">
        <v>49</v>
      </c>
      <c r="G143" s="88" t="s">
        <v>50</v>
      </c>
      <c r="H143" s="285" t="s">
        <v>922</v>
      </c>
      <c r="I143" s="285" t="str">
        <f t="shared" si="6"/>
        <v xml:space="preserve">m </v>
      </c>
      <c r="J143" s="127">
        <v>1</v>
      </c>
      <c r="K143" s="60" t="s">
        <v>485</v>
      </c>
      <c r="L143" s="60">
        <v>7</v>
      </c>
      <c r="M143" s="90">
        <v>12.5</v>
      </c>
      <c r="N143" s="90" t="s">
        <v>456</v>
      </c>
      <c r="O143" s="90" t="s">
        <v>52</v>
      </c>
      <c r="P143" s="90">
        <v>0.47699999999999998</v>
      </c>
      <c r="Q143" s="90" t="s">
        <v>52</v>
      </c>
      <c r="R143" s="90" t="s">
        <v>52</v>
      </c>
      <c r="S143" s="90">
        <v>0.68300000000000005</v>
      </c>
      <c r="T143" s="60" t="s">
        <v>92</v>
      </c>
      <c r="U143" s="92" t="s">
        <v>486</v>
      </c>
      <c r="V143" s="60" t="s">
        <v>458</v>
      </c>
      <c r="W143" s="60" t="s">
        <v>153</v>
      </c>
      <c r="X143" s="60" t="s">
        <v>459</v>
      </c>
      <c r="Y143" s="60" t="s">
        <v>58</v>
      </c>
      <c r="Z143" s="60">
        <f>AA143*AB143</f>
        <v>6800</v>
      </c>
      <c r="AA143" s="60">
        <f>8*4*5</f>
        <v>160</v>
      </c>
      <c r="AB143" s="60">
        <f>AVERAGE(40,45)</f>
        <v>42.5</v>
      </c>
      <c r="AC143" s="60" t="s">
        <v>59</v>
      </c>
      <c r="AD143" s="126" t="s">
        <v>487</v>
      </c>
      <c r="AE143" s="60" t="s">
        <v>61</v>
      </c>
      <c r="AF143" s="60" t="s">
        <v>461</v>
      </c>
      <c r="AG143" s="152"/>
      <c r="AH143" s="120">
        <v>514.79</v>
      </c>
      <c r="AI143" s="120">
        <v>25.49</v>
      </c>
      <c r="AJ143" s="120">
        <v>154</v>
      </c>
      <c r="AK143" s="120">
        <v>515.58000000000004</v>
      </c>
      <c r="AL143" s="120">
        <v>28.22</v>
      </c>
      <c r="AM143" s="127">
        <v>154</v>
      </c>
      <c r="AN143" s="203" t="s">
        <v>52</v>
      </c>
      <c r="AO143" s="203" t="s">
        <v>52</v>
      </c>
      <c r="AP143" s="203" t="s">
        <v>52</v>
      </c>
      <c r="AQ143" s="203" t="s">
        <v>52</v>
      </c>
      <c r="AR143" s="127"/>
      <c r="AS143" s="127"/>
    </row>
    <row r="144" spans="1:45" s="60" customFormat="1" ht="19" customHeight="1">
      <c r="A144" s="116"/>
      <c r="B144" s="117"/>
      <c r="C144" s="116"/>
      <c r="D144" s="88"/>
      <c r="E144" s="88"/>
      <c r="F144" s="88"/>
      <c r="G144" s="88"/>
      <c r="H144" s="285" t="s">
        <v>919</v>
      </c>
      <c r="I144" s="285" t="str">
        <f t="shared" si="6"/>
        <v xml:space="preserve">m </v>
      </c>
      <c r="J144" s="127">
        <v>0</v>
      </c>
      <c r="K144" s="60" t="s">
        <v>488</v>
      </c>
      <c r="L144" s="60">
        <v>7</v>
      </c>
      <c r="M144" s="90">
        <v>12.5</v>
      </c>
      <c r="N144" s="90" t="s">
        <v>456</v>
      </c>
      <c r="O144" s="90" t="s">
        <v>52</v>
      </c>
      <c r="P144" s="90">
        <v>0.47699999999999998</v>
      </c>
      <c r="Q144" s="90" t="s">
        <v>52</v>
      </c>
      <c r="R144" s="90" t="s">
        <v>52</v>
      </c>
      <c r="S144" s="90">
        <v>0.68300000000000005</v>
      </c>
      <c r="T144" s="60" t="s">
        <v>92</v>
      </c>
      <c r="U144" s="92" t="s">
        <v>489</v>
      </c>
      <c r="V144" s="60" t="s">
        <v>80</v>
      </c>
      <c r="W144" s="60" t="s">
        <v>78</v>
      </c>
      <c r="X144" s="60" t="s">
        <v>78</v>
      </c>
      <c r="Y144" s="60" t="s">
        <v>78</v>
      </c>
      <c r="Z144" s="60" t="s">
        <v>78</v>
      </c>
      <c r="AA144" s="60" t="s">
        <v>78</v>
      </c>
      <c r="AB144" s="60" t="s">
        <v>78</v>
      </c>
      <c r="AC144" s="60" t="s">
        <v>78</v>
      </c>
      <c r="AD144" s="60" t="s">
        <v>487</v>
      </c>
      <c r="AE144" s="60" t="s">
        <v>61</v>
      </c>
      <c r="AF144" s="60" t="s">
        <v>461</v>
      </c>
      <c r="AG144" s="152"/>
      <c r="AH144" s="120">
        <v>519.67999999999995</v>
      </c>
      <c r="AI144" s="120">
        <v>28.78</v>
      </c>
      <c r="AJ144" s="120">
        <v>143</v>
      </c>
      <c r="AK144" s="120">
        <v>518.19000000000005</v>
      </c>
      <c r="AL144" s="120">
        <v>30.19</v>
      </c>
      <c r="AM144" s="127">
        <v>143</v>
      </c>
      <c r="AN144" s="203" t="s">
        <v>52</v>
      </c>
      <c r="AO144" s="203" t="s">
        <v>52</v>
      </c>
      <c r="AP144" s="203" t="s">
        <v>52</v>
      </c>
      <c r="AQ144" s="203" t="s">
        <v>52</v>
      </c>
      <c r="AR144" s="127"/>
      <c r="AS144" s="127"/>
    </row>
    <row r="145" spans="1:45" s="60" customFormat="1" ht="19" customHeight="1">
      <c r="A145" s="116" t="s">
        <v>938</v>
      </c>
      <c r="B145" s="117">
        <f>B143+0.01</f>
        <v>127.02000000000001</v>
      </c>
      <c r="C145" s="116" t="s">
        <v>47</v>
      </c>
      <c r="D145" s="88" t="s">
        <v>454</v>
      </c>
      <c r="E145" s="88" t="s">
        <v>66</v>
      </c>
      <c r="F145" s="88" t="s">
        <v>49</v>
      </c>
      <c r="G145" s="88" t="s">
        <v>50</v>
      </c>
      <c r="H145" s="285" t="s">
        <v>922</v>
      </c>
      <c r="I145" s="285" t="str">
        <f t="shared" si="6"/>
        <v xml:space="preserve">m </v>
      </c>
      <c r="J145" s="127">
        <v>1</v>
      </c>
      <c r="K145" s="60" t="s">
        <v>490</v>
      </c>
      <c r="L145" s="60">
        <v>8</v>
      </c>
      <c r="M145" s="90">
        <v>13.5</v>
      </c>
      <c r="N145" s="90" t="s">
        <v>456</v>
      </c>
      <c r="O145" s="90" t="s">
        <v>52</v>
      </c>
      <c r="P145" s="90">
        <v>0.47699999999999998</v>
      </c>
      <c r="Q145" s="90" t="s">
        <v>52</v>
      </c>
      <c r="R145" s="90" t="s">
        <v>52</v>
      </c>
      <c r="S145" s="90">
        <v>0.68300000000000005</v>
      </c>
      <c r="T145" s="60" t="s">
        <v>92</v>
      </c>
      <c r="U145" s="92" t="s">
        <v>486</v>
      </c>
      <c r="V145" s="60" t="s">
        <v>458</v>
      </c>
      <c r="W145" s="60" t="s">
        <v>153</v>
      </c>
      <c r="X145" s="60" t="s">
        <v>459</v>
      </c>
      <c r="Y145" s="60" t="s">
        <v>58</v>
      </c>
      <c r="Z145" s="60">
        <f>Z$143</f>
        <v>6800</v>
      </c>
      <c r="AA145" s="60">
        <f t="shared" ref="AA145:AB159" si="7">AA$143</f>
        <v>160</v>
      </c>
      <c r="AB145" s="60">
        <f t="shared" si="7"/>
        <v>42.5</v>
      </c>
      <c r="AC145" s="60" t="s">
        <v>59</v>
      </c>
      <c r="AD145" s="60" t="s">
        <v>487</v>
      </c>
      <c r="AE145" s="60" t="s">
        <v>61</v>
      </c>
      <c r="AF145" s="60" t="s">
        <v>461</v>
      </c>
      <c r="AG145" s="152"/>
      <c r="AH145" s="120">
        <v>521.98</v>
      </c>
      <c r="AI145" s="120">
        <v>27.12</v>
      </c>
      <c r="AJ145" s="120">
        <v>117</v>
      </c>
      <c r="AK145" s="120">
        <v>522.23</v>
      </c>
      <c r="AL145" s="120">
        <v>27.7</v>
      </c>
      <c r="AM145" s="127">
        <v>117</v>
      </c>
      <c r="AN145" s="203" t="s">
        <v>52</v>
      </c>
      <c r="AO145" s="203" t="s">
        <v>52</v>
      </c>
      <c r="AP145" s="203" t="s">
        <v>52</v>
      </c>
      <c r="AQ145" s="203" t="s">
        <v>52</v>
      </c>
      <c r="AR145" s="127"/>
      <c r="AS145" s="127"/>
    </row>
    <row r="146" spans="1:45" s="60" customFormat="1" ht="19" customHeight="1">
      <c r="A146" s="116"/>
      <c r="B146" s="117"/>
      <c r="C146" s="116"/>
      <c r="D146" s="88"/>
      <c r="E146" s="88"/>
      <c r="F146" s="88"/>
      <c r="G146" s="88"/>
      <c r="H146" s="285" t="s">
        <v>919</v>
      </c>
      <c r="I146" s="285" t="str">
        <f t="shared" si="6"/>
        <v xml:space="preserve">m </v>
      </c>
      <c r="J146" s="127">
        <v>0</v>
      </c>
      <c r="K146" s="60" t="s">
        <v>491</v>
      </c>
      <c r="L146" s="60">
        <v>8</v>
      </c>
      <c r="M146" s="90">
        <v>13.5</v>
      </c>
      <c r="N146" s="90" t="s">
        <v>456</v>
      </c>
      <c r="O146" s="90" t="s">
        <v>52</v>
      </c>
      <c r="P146" s="90">
        <v>0.47699999999999998</v>
      </c>
      <c r="Q146" s="90" t="s">
        <v>52</v>
      </c>
      <c r="R146" s="90" t="s">
        <v>52</v>
      </c>
      <c r="S146" s="90">
        <v>0.68300000000000005</v>
      </c>
      <c r="T146" s="60" t="s">
        <v>92</v>
      </c>
      <c r="U146" s="92" t="s">
        <v>489</v>
      </c>
      <c r="V146" s="60" t="s">
        <v>80</v>
      </c>
      <c r="W146" s="60" t="s">
        <v>78</v>
      </c>
      <c r="X146" s="60" t="s">
        <v>78</v>
      </c>
      <c r="Y146" s="60" t="s">
        <v>78</v>
      </c>
      <c r="Z146" s="60" t="s">
        <v>78</v>
      </c>
      <c r="AA146" s="60" t="s">
        <v>78</v>
      </c>
      <c r="AB146" s="60" t="s">
        <v>78</v>
      </c>
      <c r="AC146" s="60" t="s">
        <v>78</v>
      </c>
      <c r="AD146" s="60" t="s">
        <v>487</v>
      </c>
      <c r="AE146" s="60" t="s">
        <v>61</v>
      </c>
      <c r="AF146" s="60" t="s">
        <v>461</v>
      </c>
      <c r="AG146" s="152"/>
      <c r="AH146" s="120">
        <v>522.34</v>
      </c>
      <c r="AI146" s="120">
        <v>33.229999999999997</v>
      </c>
      <c r="AJ146" s="120">
        <v>134</v>
      </c>
      <c r="AK146" s="120">
        <v>522.42999999999995</v>
      </c>
      <c r="AL146" s="120">
        <v>31.16</v>
      </c>
      <c r="AM146" s="127">
        <v>134</v>
      </c>
      <c r="AN146" s="203" t="s">
        <v>52</v>
      </c>
      <c r="AO146" s="203" t="s">
        <v>52</v>
      </c>
      <c r="AP146" s="203" t="s">
        <v>52</v>
      </c>
      <c r="AQ146" s="203" t="s">
        <v>52</v>
      </c>
      <c r="AR146" s="127"/>
      <c r="AS146" s="127"/>
    </row>
    <row r="147" spans="1:45" s="60" customFormat="1" ht="19" customHeight="1">
      <c r="A147" s="116" t="s">
        <v>938</v>
      </c>
      <c r="B147" s="117">
        <f>B145+0.01</f>
        <v>127.03000000000002</v>
      </c>
      <c r="C147" s="116" t="s">
        <v>47</v>
      </c>
      <c r="D147" s="88" t="s">
        <v>454</v>
      </c>
      <c r="E147" s="88" t="s">
        <v>66</v>
      </c>
      <c r="F147" s="88" t="s">
        <v>49</v>
      </c>
      <c r="G147" s="88" t="s">
        <v>50</v>
      </c>
      <c r="H147" s="285" t="s">
        <v>922</v>
      </c>
      <c r="I147" s="285" t="str">
        <f t="shared" si="6"/>
        <v xml:space="preserve">m </v>
      </c>
      <c r="J147" s="127">
        <v>1</v>
      </c>
      <c r="K147" s="60" t="s">
        <v>492</v>
      </c>
      <c r="L147" s="60">
        <v>6</v>
      </c>
      <c r="M147" s="90">
        <v>11.5</v>
      </c>
      <c r="N147" s="90" t="s">
        <v>456</v>
      </c>
      <c r="O147" s="90" t="s">
        <v>52</v>
      </c>
      <c r="P147" s="90">
        <v>0.79</v>
      </c>
      <c r="Q147" s="90" t="s">
        <v>52</v>
      </c>
      <c r="R147" s="90" t="s">
        <v>52</v>
      </c>
      <c r="S147" s="90">
        <v>0.69200000000000006</v>
      </c>
      <c r="T147" s="60" t="s">
        <v>92</v>
      </c>
      <c r="U147" s="92" t="s">
        <v>486</v>
      </c>
      <c r="V147" s="60" t="s">
        <v>458</v>
      </c>
      <c r="W147" s="60" t="s">
        <v>153</v>
      </c>
      <c r="X147" s="60" t="s">
        <v>459</v>
      </c>
      <c r="Y147" s="60" t="s">
        <v>58</v>
      </c>
      <c r="Z147" s="60">
        <f>Z$143</f>
        <v>6800</v>
      </c>
      <c r="AA147" s="60">
        <f t="shared" si="7"/>
        <v>160</v>
      </c>
      <c r="AB147" s="60">
        <f t="shared" si="7"/>
        <v>42.5</v>
      </c>
      <c r="AC147" s="60" t="s">
        <v>59</v>
      </c>
      <c r="AD147" s="60" t="s">
        <v>487</v>
      </c>
      <c r="AE147" s="60" t="s">
        <v>61</v>
      </c>
      <c r="AF147" s="60" t="s">
        <v>461</v>
      </c>
      <c r="AG147" s="152"/>
      <c r="AH147" s="120">
        <v>498.84</v>
      </c>
      <c r="AI147" s="120">
        <v>35.159999999999997</v>
      </c>
      <c r="AJ147" s="120">
        <v>176</v>
      </c>
      <c r="AK147" s="120">
        <v>501.99</v>
      </c>
      <c r="AL147" s="120">
        <v>31.33</v>
      </c>
      <c r="AM147" s="127">
        <v>176</v>
      </c>
      <c r="AN147" s="203" t="s">
        <v>52</v>
      </c>
      <c r="AO147" s="203" t="s">
        <v>52</v>
      </c>
      <c r="AP147" s="203" t="s">
        <v>52</v>
      </c>
      <c r="AQ147" s="203" t="s">
        <v>52</v>
      </c>
      <c r="AR147" s="127"/>
      <c r="AS147" s="127"/>
    </row>
    <row r="148" spans="1:45" s="60" customFormat="1" ht="19" customHeight="1">
      <c r="A148" s="116"/>
      <c r="B148" s="117"/>
      <c r="C148" s="116"/>
      <c r="D148" s="88"/>
      <c r="E148" s="88"/>
      <c r="F148" s="88"/>
      <c r="G148" s="88"/>
      <c r="H148" s="285" t="s">
        <v>919</v>
      </c>
      <c r="I148" s="285" t="str">
        <f t="shared" si="6"/>
        <v xml:space="preserve">m </v>
      </c>
      <c r="J148" s="127">
        <v>0</v>
      </c>
      <c r="K148" s="60" t="s">
        <v>493</v>
      </c>
      <c r="L148" s="60">
        <v>6</v>
      </c>
      <c r="M148" s="90">
        <v>11.5</v>
      </c>
      <c r="N148" s="90" t="s">
        <v>456</v>
      </c>
      <c r="O148" s="90" t="s">
        <v>52</v>
      </c>
      <c r="P148" s="90">
        <v>0.79</v>
      </c>
      <c r="Q148" s="90" t="s">
        <v>52</v>
      </c>
      <c r="R148" s="90" t="s">
        <v>52</v>
      </c>
      <c r="S148" s="90">
        <v>0.69200000000000006</v>
      </c>
      <c r="T148" s="60" t="s">
        <v>92</v>
      </c>
      <c r="U148" s="92" t="s">
        <v>489</v>
      </c>
      <c r="V148" s="60" t="s">
        <v>80</v>
      </c>
      <c r="W148" s="60" t="s">
        <v>78</v>
      </c>
      <c r="X148" s="60" t="s">
        <v>78</v>
      </c>
      <c r="Y148" s="60" t="s">
        <v>78</v>
      </c>
      <c r="Z148" s="60" t="s">
        <v>78</v>
      </c>
      <c r="AA148" s="60" t="s">
        <v>78</v>
      </c>
      <c r="AB148" s="60" t="s">
        <v>78</v>
      </c>
      <c r="AC148" s="60" t="s">
        <v>78</v>
      </c>
      <c r="AD148" s="60" t="s">
        <v>487</v>
      </c>
      <c r="AE148" s="60" t="s">
        <v>61</v>
      </c>
      <c r="AF148" s="60" t="s">
        <v>461</v>
      </c>
      <c r="AG148" s="152"/>
      <c r="AH148" s="120">
        <v>505.65</v>
      </c>
      <c r="AI148" s="120">
        <v>31.49</v>
      </c>
      <c r="AJ148" s="120">
        <v>84</v>
      </c>
      <c r="AK148" s="120">
        <v>510.28</v>
      </c>
      <c r="AL148" s="120">
        <v>32.590000000000003</v>
      </c>
      <c r="AM148" s="127">
        <v>84</v>
      </c>
      <c r="AN148" s="203" t="s">
        <v>52</v>
      </c>
      <c r="AO148" s="203" t="s">
        <v>52</v>
      </c>
      <c r="AP148" s="203" t="s">
        <v>52</v>
      </c>
      <c r="AQ148" s="203" t="s">
        <v>52</v>
      </c>
      <c r="AR148" s="127"/>
      <c r="AS148" s="127"/>
    </row>
    <row r="149" spans="1:45" s="60" customFormat="1" ht="19" customHeight="1">
      <c r="A149" s="116" t="s">
        <v>938</v>
      </c>
      <c r="B149" s="117">
        <f>B147+0.01</f>
        <v>127.04000000000002</v>
      </c>
      <c r="C149" s="116" t="s">
        <v>47</v>
      </c>
      <c r="D149" s="88" t="s">
        <v>454</v>
      </c>
      <c r="E149" s="88" t="s">
        <v>66</v>
      </c>
      <c r="F149" s="88" t="s">
        <v>49</v>
      </c>
      <c r="G149" s="88" t="s">
        <v>50</v>
      </c>
      <c r="H149" s="285" t="s">
        <v>922</v>
      </c>
      <c r="I149" s="285" t="str">
        <f t="shared" si="6"/>
        <v xml:space="preserve">m </v>
      </c>
      <c r="J149" s="127">
        <v>1</v>
      </c>
      <c r="K149" s="60" t="s">
        <v>494</v>
      </c>
      <c r="L149" s="60">
        <v>7</v>
      </c>
      <c r="M149" s="90">
        <v>12.5</v>
      </c>
      <c r="N149" s="90" t="s">
        <v>456</v>
      </c>
      <c r="O149" s="90" t="s">
        <v>52</v>
      </c>
      <c r="P149" s="90">
        <v>0.79</v>
      </c>
      <c r="Q149" s="90" t="s">
        <v>52</v>
      </c>
      <c r="R149" s="90" t="s">
        <v>52</v>
      </c>
      <c r="S149" s="90">
        <v>0.69200000000000006</v>
      </c>
      <c r="T149" s="60" t="s">
        <v>92</v>
      </c>
      <c r="U149" s="92" t="s">
        <v>486</v>
      </c>
      <c r="V149" s="60" t="s">
        <v>458</v>
      </c>
      <c r="W149" s="60" t="s">
        <v>153</v>
      </c>
      <c r="X149" s="60" t="s">
        <v>459</v>
      </c>
      <c r="Y149" s="60" t="s">
        <v>58</v>
      </c>
      <c r="Z149" s="60">
        <f>Z$143</f>
        <v>6800</v>
      </c>
      <c r="AA149" s="60">
        <f t="shared" si="7"/>
        <v>160</v>
      </c>
      <c r="AB149" s="60">
        <f t="shared" si="7"/>
        <v>42.5</v>
      </c>
      <c r="AC149" s="60" t="s">
        <v>59</v>
      </c>
      <c r="AD149" s="60" t="s">
        <v>487</v>
      </c>
      <c r="AE149" s="60" t="s">
        <v>61</v>
      </c>
      <c r="AF149" s="60" t="s">
        <v>461</v>
      </c>
      <c r="AG149" s="152"/>
      <c r="AH149" s="120">
        <v>523.13</v>
      </c>
      <c r="AI149" s="120">
        <v>26.26</v>
      </c>
      <c r="AJ149" s="120">
        <v>196</v>
      </c>
      <c r="AK149" s="120">
        <v>526.38</v>
      </c>
      <c r="AL149" s="120">
        <v>28.99</v>
      </c>
      <c r="AM149" s="127">
        <v>196</v>
      </c>
      <c r="AN149" s="203" t="s">
        <v>52</v>
      </c>
      <c r="AO149" s="203" t="s">
        <v>52</v>
      </c>
      <c r="AP149" s="203" t="s">
        <v>52</v>
      </c>
      <c r="AQ149" s="203" t="s">
        <v>52</v>
      </c>
      <c r="AR149" s="127"/>
      <c r="AS149" s="127"/>
    </row>
    <row r="150" spans="1:45" s="60" customFormat="1" ht="19" customHeight="1">
      <c r="A150" s="116"/>
      <c r="B150" s="117"/>
      <c r="C150" s="116"/>
      <c r="D150" s="88"/>
      <c r="E150" s="88"/>
      <c r="F150" s="88"/>
      <c r="G150" s="88"/>
      <c r="H150" s="285" t="s">
        <v>919</v>
      </c>
      <c r="I150" s="285" t="str">
        <f t="shared" si="6"/>
        <v xml:space="preserve">m </v>
      </c>
      <c r="J150" s="127">
        <v>0</v>
      </c>
      <c r="K150" s="60" t="s">
        <v>495</v>
      </c>
      <c r="L150" s="60">
        <v>7</v>
      </c>
      <c r="M150" s="90">
        <v>12.5</v>
      </c>
      <c r="N150" s="90" t="s">
        <v>456</v>
      </c>
      <c r="O150" s="90" t="s">
        <v>52</v>
      </c>
      <c r="P150" s="90">
        <v>0.79</v>
      </c>
      <c r="Q150" s="90" t="s">
        <v>52</v>
      </c>
      <c r="R150" s="90" t="s">
        <v>52</v>
      </c>
      <c r="S150" s="90">
        <v>0.69200000000000006</v>
      </c>
      <c r="T150" s="60" t="s">
        <v>92</v>
      </c>
      <c r="U150" s="92" t="s">
        <v>489</v>
      </c>
      <c r="V150" s="60" t="s">
        <v>80</v>
      </c>
      <c r="W150" s="60" t="s">
        <v>78</v>
      </c>
      <c r="X150" s="60" t="s">
        <v>78</v>
      </c>
      <c r="Y150" s="60" t="s">
        <v>78</v>
      </c>
      <c r="Z150" s="60" t="s">
        <v>78</v>
      </c>
      <c r="AA150" s="60" t="s">
        <v>78</v>
      </c>
      <c r="AB150" s="60" t="s">
        <v>78</v>
      </c>
      <c r="AC150" s="60" t="s">
        <v>78</v>
      </c>
      <c r="AD150" s="60" t="s">
        <v>487</v>
      </c>
      <c r="AE150" s="60" t="s">
        <v>61</v>
      </c>
      <c r="AF150" s="60" t="s">
        <v>461</v>
      </c>
      <c r="AG150" s="152"/>
      <c r="AH150" s="120">
        <v>517.99</v>
      </c>
      <c r="AI150" s="120">
        <v>28.76</v>
      </c>
      <c r="AJ150" s="120">
        <v>78</v>
      </c>
      <c r="AK150" s="120">
        <v>521.44000000000005</v>
      </c>
      <c r="AL150" s="120">
        <v>30.89</v>
      </c>
      <c r="AM150" s="127">
        <v>78</v>
      </c>
      <c r="AN150" s="203" t="s">
        <v>52</v>
      </c>
      <c r="AO150" s="203" t="s">
        <v>52</v>
      </c>
      <c r="AP150" s="203" t="s">
        <v>52</v>
      </c>
      <c r="AQ150" s="203" t="s">
        <v>52</v>
      </c>
      <c r="AR150" s="127"/>
      <c r="AS150" s="127"/>
    </row>
    <row r="151" spans="1:45" s="60" customFormat="1" ht="19" customHeight="1">
      <c r="A151" s="116" t="s">
        <v>938</v>
      </c>
      <c r="B151" s="117">
        <f>B149+0.01</f>
        <v>127.05000000000003</v>
      </c>
      <c r="C151" s="116" t="s">
        <v>47</v>
      </c>
      <c r="D151" s="88" t="s">
        <v>454</v>
      </c>
      <c r="E151" s="88" t="s">
        <v>66</v>
      </c>
      <c r="F151" s="88" t="s">
        <v>49</v>
      </c>
      <c r="G151" s="88" t="s">
        <v>50</v>
      </c>
      <c r="H151" s="285" t="s">
        <v>922</v>
      </c>
      <c r="I151" s="285" t="str">
        <f t="shared" si="6"/>
        <v xml:space="preserve">m </v>
      </c>
      <c r="J151" s="127">
        <v>1</v>
      </c>
      <c r="K151" s="60" t="s">
        <v>496</v>
      </c>
      <c r="L151" s="60">
        <v>8</v>
      </c>
      <c r="M151" s="90">
        <v>13.5</v>
      </c>
      <c r="N151" s="90" t="s">
        <v>456</v>
      </c>
      <c r="O151" s="90" t="s">
        <v>52</v>
      </c>
      <c r="P151" s="90">
        <v>0.79</v>
      </c>
      <c r="Q151" s="90" t="s">
        <v>52</v>
      </c>
      <c r="R151" s="90" t="s">
        <v>52</v>
      </c>
      <c r="S151" s="90">
        <v>0.69200000000000006</v>
      </c>
      <c r="T151" s="60" t="s">
        <v>92</v>
      </c>
      <c r="U151" s="92" t="s">
        <v>486</v>
      </c>
      <c r="V151" s="60" t="s">
        <v>458</v>
      </c>
      <c r="W151" s="60" t="s">
        <v>153</v>
      </c>
      <c r="X151" s="60" t="s">
        <v>459</v>
      </c>
      <c r="Y151" s="60" t="s">
        <v>58</v>
      </c>
      <c r="Z151" s="60">
        <f>Z$143</f>
        <v>6800</v>
      </c>
      <c r="AA151" s="60">
        <f t="shared" si="7"/>
        <v>160</v>
      </c>
      <c r="AB151" s="60">
        <f t="shared" si="7"/>
        <v>42.5</v>
      </c>
      <c r="AC151" s="60" t="s">
        <v>59</v>
      </c>
      <c r="AD151" s="60" t="s">
        <v>487</v>
      </c>
      <c r="AE151" s="60" t="s">
        <v>61</v>
      </c>
      <c r="AF151" s="60" t="s">
        <v>461</v>
      </c>
      <c r="AG151" s="152"/>
      <c r="AH151" s="120">
        <v>535.05999999999995</v>
      </c>
      <c r="AI151" s="120">
        <v>30.68</v>
      </c>
      <c r="AJ151" s="120">
        <v>200</v>
      </c>
      <c r="AK151" s="120">
        <v>535.59</v>
      </c>
      <c r="AL151" s="120">
        <v>31.14</v>
      </c>
      <c r="AM151" s="127">
        <v>200</v>
      </c>
      <c r="AN151" s="203" t="s">
        <v>52</v>
      </c>
      <c r="AO151" s="203" t="s">
        <v>52</v>
      </c>
      <c r="AP151" s="203" t="s">
        <v>52</v>
      </c>
      <c r="AQ151" s="203" t="s">
        <v>52</v>
      </c>
      <c r="AR151" s="127"/>
      <c r="AS151" s="127"/>
    </row>
    <row r="152" spans="1:45" s="60" customFormat="1" ht="19" customHeight="1">
      <c r="A152" s="116"/>
      <c r="B152" s="117"/>
      <c r="C152" s="116"/>
      <c r="D152" s="88"/>
      <c r="E152" s="88"/>
      <c r="F152" s="88"/>
      <c r="G152" s="88"/>
      <c r="H152" s="285" t="s">
        <v>919</v>
      </c>
      <c r="I152" s="285" t="str">
        <f t="shared" si="6"/>
        <v xml:space="preserve">m </v>
      </c>
      <c r="J152" s="127">
        <v>0</v>
      </c>
      <c r="K152" s="60" t="s">
        <v>497</v>
      </c>
      <c r="L152" s="60">
        <v>8</v>
      </c>
      <c r="M152" s="90">
        <v>13.5</v>
      </c>
      <c r="N152" s="90" t="s">
        <v>456</v>
      </c>
      <c r="O152" s="90" t="s">
        <v>52</v>
      </c>
      <c r="P152" s="90">
        <v>0.79</v>
      </c>
      <c r="Q152" s="90" t="s">
        <v>52</v>
      </c>
      <c r="R152" s="90" t="s">
        <v>52</v>
      </c>
      <c r="S152" s="90">
        <v>0.69200000000000006</v>
      </c>
      <c r="T152" s="60" t="s">
        <v>92</v>
      </c>
      <c r="U152" s="92" t="s">
        <v>489</v>
      </c>
      <c r="V152" s="60" t="s">
        <v>80</v>
      </c>
      <c r="W152" s="60" t="s">
        <v>78</v>
      </c>
      <c r="X152" s="60" t="s">
        <v>78</v>
      </c>
      <c r="Y152" s="60" t="s">
        <v>78</v>
      </c>
      <c r="Z152" s="60" t="s">
        <v>78</v>
      </c>
      <c r="AA152" s="60" t="s">
        <v>78</v>
      </c>
      <c r="AB152" s="60" t="s">
        <v>78</v>
      </c>
      <c r="AC152" s="60" t="s">
        <v>78</v>
      </c>
      <c r="AD152" s="60" t="s">
        <v>487</v>
      </c>
      <c r="AE152" s="60" t="s">
        <v>61</v>
      </c>
      <c r="AF152" s="60" t="s">
        <v>461</v>
      </c>
      <c r="AG152" s="152"/>
      <c r="AH152" s="120">
        <v>530.72</v>
      </c>
      <c r="AI152" s="120">
        <v>27.92</v>
      </c>
      <c r="AJ152" s="120">
        <v>106</v>
      </c>
      <c r="AK152" s="120">
        <v>519.05999999999995</v>
      </c>
      <c r="AL152" s="120">
        <v>36.21</v>
      </c>
      <c r="AM152" s="127">
        <v>106</v>
      </c>
      <c r="AN152" s="203" t="s">
        <v>52</v>
      </c>
      <c r="AO152" s="203" t="s">
        <v>52</v>
      </c>
      <c r="AP152" s="203" t="s">
        <v>52</v>
      </c>
      <c r="AQ152" s="203" t="s">
        <v>52</v>
      </c>
      <c r="AR152" s="127"/>
      <c r="AS152" s="127"/>
    </row>
    <row r="153" spans="1:45" s="60" customFormat="1" ht="19" customHeight="1">
      <c r="A153" s="116" t="s">
        <v>938</v>
      </c>
      <c r="B153" s="117">
        <f>B151+0.01</f>
        <v>127.06000000000003</v>
      </c>
      <c r="C153" s="116" t="s">
        <v>47</v>
      </c>
      <c r="D153" s="88" t="s">
        <v>454</v>
      </c>
      <c r="E153" s="88" t="s">
        <v>66</v>
      </c>
      <c r="F153" s="88" t="s">
        <v>49</v>
      </c>
      <c r="G153" s="88" t="s">
        <v>50</v>
      </c>
      <c r="H153" s="285" t="s">
        <v>922</v>
      </c>
      <c r="I153" s="285" t="str">
        <f t="shared" si="6"/>
        <v xml:space="preserve">m </v>
      </c>
      <c r="J153" s="127">
        <v>1</v>
      </c>
      <c r="K153" s="60" t="s">
        <v>498</v>
      </c>
      <c r="L153" s="60">
        <v>6</v>
      </c>
      <c r="M153" s="90">
        <v>11.5</v>
      </c>
      <c r="N153" s="90" t="s">
        <v>456</v>
      </c>
      <c r="O153" s="90" t="s">
        <v>52</v>
      </c>
      <c r="P153" s="90">
        <v>0.76900000000000002</v>
      </c>
      <c r="Q153" s="90" t="s">
        <v>52</v>
      </c>
      <c r="R153" s="90" t="s">
        <v>52</v>
      </c>
      <c r="S153" s="90">
        <v>0.66700000000000004</v>
      </c>
      <c r="T153" s="60" t="s">
        <v>92</v>
      </c>
      <c r="U153" s="92" t="s">
        <v>486</v>
      </c>
      <c r="V153" s="60" t="s">
        <v>458</v>
      </c>
      <c r="W153" s="60" t="s">
        <v>153</v>
      </c>
      <c r="X153" s="60" t="s">
        <v>459</v>
      </c>
      <c r="Y153" s="60" t="s">
        <v>58</v>
      </c>
      <c r="Z153" s="60">
        <f>Z$143</f>
        <v>6800</v>
      </c>
      <c r="AA153" s="60">
        <f t="shared" si="7"/>
        <v>160</v>
      </c>
      <c r="AB153" s="60">
        <f t="shared" si="7"/>
        <v>42.5</v>
      </c>
      <c r="AC153" s="60" t="s">
        <v>59</v>
      </c>
      <c r="AD153" s="60" t="s">
        <v>487</v>
      </c>
      <c r="AE153" s="60" t="s">
        <v>61</v>
      </c>
      <c r="AF153" s="60" t="s">
        <v>461</v>
      </c>
      <c r="AG153" s="152"/>
      <c r="AH153" s="120">
        <v>509.06</v>
      </c>
      <c r="AI153" s="120">
        <v>28.54</v>
      </c>
      <c r="AJ153" s="120">
        <v>49</v>
      </c>
      <c r="AK153" s="120">
        <v>511.67</v>
      </c>
      <c r="AL153" s="120">
        <v>26.68</v>
      </c>
      <c r="AM153" s="127">
        <v>49</v>
      </c>
      <c r="AN153" s="203" t="s">
        <v>52</v>
      </c>
      <c r="AO153" s="203" t="s">
        <v>52</v>
      </c>
      <c r="AP153" s="203" t="s">
        <v>52</v>
      </c>
      <c r="AQ153" s="203" t="s">
        <v>52</v>
      </c>
      <c r="AR153" s="127"/>
      <c r="AS153" s="127"/>
    </row>
    <row r="154" spans="1:45" s="60" customFormat="1" ht="19" customHeight="1">
      <c r="A154" s="116"/>
      <c r="B154" s="117"/>
      <c r="C154" s="116"/>
      <c r="D154" s="88"/>
      <c r="E154" s="88"/>
      <c r="F154" s="88"/>
      <c r="G154" s="88"/>
      <c r="H154" s="285" t="s">
        <v>919</v>
      </c>
      <c r="I154" s="285" t="str">
        <f t="shared" si="6"/>
        <v xml:space="preserve">m </v>
      </c>
      <c r="J154" s="127">
        <v>0</v>
      </c>
      <c r="K154" s="60" t="s">
        <v>499</v>
      </c>
      <c r="L154" s="60">
        <v>6</v>
      </c>
      <c r="M154" s="90">
        <v>11.5</v>
      </c>
      <c r="N154" s="90" t="s">
        <v>456</v>
      </c>
      <c r="O154" s="90" t="s">
        <v>52</v>
      </c>
      <c r="P154" s="90">
        <v>0.76900000000000002</v>
      </c>
      <c r="Q154" s="90" t="s">
        <v>52</v>
      </c>
      <c r="R154" s="90" t="s">
        <v>52</v>
      </c>
      <c r="S154" s="90">
        <v>0.66700000000000004</v>
      </c>
      <c r="T154" s="60" t="s">
        <v>92</v>
      </c>
      <c r="U154" s="92" t="s">
        <v>489</v>
      </c>
      <c r="V154" s="60" t="s">
        <v>80</v>
      </c>
      <c r="W154" s="60" t="s">
        <v>78</v>
      </c>
      <c r="X154" s="60" t="s">
        <v>78</v>
      </c>
      <c r="Y154" s="60" t="s">
        <v>78</v>
      </c>
      <c r="Z154" s="60" t="s">
        <v>78</v>
      </c>
      <c r="AA154" s="60" t="s">
        <v>78</v>
      </c>
      <c r="AB154" s="60" t="s">
        <v>78</v>
      </c>
      <c r="AC154" s="60" t="s">
        <v>78</v>
      </c>
      <c r="AD154" s="60" t="s">
        <v>487</v>
      </c>
      <c r="AE154" s="60" t="s">
        <v>61</v>
      </c>
      <c r="AF154" s="60" t="s">
        <v>461</v>
      </c>
      <c r="AG154" s="152"/>
      <c r="AH154" s="120">
        <v>498.09</v>
      </c>
      <c r="AI154" s="120">
        <v>29.08</v>
      </c>
      <c r="AJ154" s="120">
        <v>47</v>
      </c>
      <c r="AK154" s="120">
        <v>494.35</v>
      </c>
      <c r="AL154" s="120">
        <v>30.34</v>
      </c>
      <c r="AM154" s="127">
        <v>47</v>
      </c>
      <c r="AN154" s="203" t="s">
        <v>52</v>
      </c>
      <c r="AO154" s="203" t="s">
        <v>52</v>
      </c>
      <c r="AP154" s="203" t="s">
        <v>52</v>
      </c>
      <c r="AQ154" s="203" t="s">
        <v>52</v>
      </c>
      <c r="AR154" s="127"/>
      <c r="AS154" s="127"/>
    </row>
    <row r="155" spans="1:45" s="60" customFormat="1" ht="19" customHeight="1">
      <c r="A155" s="116" t="s">
        <v>938</v>
      </c>
      <c r="B155" s="117">
        <f>B153+0.01</f>
        <v>127.07000000000004</v>
      </c>
      <c r="C155" s="116" t="s">
        <v>47</v>
      </c>
      <c r="D155" s="88" t="s">
        <v>454</v>
      </c>
      <c r="E155" s="88" t="s">
        <v>66</v>
      </c>
      <c r="F155" s="88" t="s">
        <v>49</v>
      </c>
      <c r="G155" s="88" t="s">
        <v>50</v>
      </c>
      <c r="H155" s="285" t="s">
        <v>922</v>
      </c>
      <c r="I155" s="285" t="str">
        <f t="shared" si="6"/>
        <v xml:space="preserve">m </v>
      </c>
      <c r="J155" s="127">
        <v>1</v>
      </c>
      <c r="K155" s="60" t="s">
        <v>500</v>
      </c>
      <c r="L155" s="60">
        <v>7</v>
      </c>
      <c r="M155" s="90">
        <v>12.5</v>
      </c>
      <c r="N155" s="90" t="s">
        <v>456</v>
      </c>
      <c r="O155" s="90" t="s">
        <v>52</v>
      </c>
      <c r="P155" s="90">
        <v>0.76900000000000002</v>
      </c>
      <c r="Q155" s="90" t="s">
        <v>52</v>
      </c>
      <c r="R155" s="90" t="s">
        <v>52</v>
      </c>
      <c r="S155" s="90">
        <v>0.66700000000000004</v>
      </c>
      <c r="T155" s="60" t="s">
        <v>92</v>
      </c>
      <c r="U155" s="92" t="s">
        <v>486</v>
      </c>
      <c r="V155" s="60" t="s">
        <v>458</v>
      </c>
      <c r="W155" s="60" t="s">
        <v>153</v>
      </c>
      <c r="X155" s="60" t="s">
        <v>459</v>
      </c>
      <c r="Y155" s="60" t="s">
        <v>58</v>
      </c>
      <c r="Z155" s="60">
        <f>Z$143</f>
        <v>6800</v>
      </c>
      <c r="AA155" s="60">
        <f t="shared" si="7"/>
        <v>160</v>
      </c>
      <c r="AB155" s="60">
        <f t="shared" si="7"/>
        <v>42.5</v>
      </c>
      <c r="AC155" s="60" t="s">
        <v>59</v>
      </c>
      <c r="AD155" s="60" t="s">
        <v>487</v>
      </c>
      <c r="AE155" s="60" t="s">
        <v>61</v>
      </c>
      <c r="AF155" s="60" t="s">
        <v>461</v>
      </c>
      <c r="AG155" s="152"/>
      <c r="AH155" s="120">
        <v>534.12</v>
      </c>
      <c r="AI155" s="120">
        <v>27.62</v>
      </c>
      <c r="AJ155" s="120">
        <v>40</v>
      </c>
      <c r="AK155" s="120">
        <v>546.67999999999995</v>
      </c>
      <c r="AL155" s="120">
        <v>30.07</v>
      </c>
      <c r="AM155" s="127">
        <v>40</v>
      </c>
      <c r="AN155" s="203" t="s">
        <v>52</v>
      </c>
      <c r="AO155" s="203" t="s">
        <v>52</v>
      </c>
      <c r="AP155" s="203" t="s">
        <v>52</v>
      </c>
      <c r="AQ155" s="203" t="s">
        <v>52</v>
      </c>
      <c r="AR155" s="127"/>
      <c r="AS155" s="127"/>
    </row>
    <row r="156" spans="1:45" s="60" customFormat="1" ht="19" customHeight="1">
      <c r="A156" s="116"/>
      <c r="B156" s="117"/>
      <c r="C156" s="116"/>
      <c r="D156" s="88"/>
      <c r="E156" s="88"/>
      <c r="F156" s="88"/>
      <c r="G156" s="88"/>
      <c r="H156" s="285" t="s">
        <v>919</v>
      </c>
      <c r="I156" s="285" t="str">
        <f t="shared" si="6"/>
        <v xml:space="preserve">m </v>
      </c>
      <c r="J156" s="127">
        <v>0</v>
      </c>
      <c r="K156" s="60" t="s">
        <v>501</v>
      </c>
      <c r="L156" s="60">
        <v>7</v>
      </c>
      <c r="M156" s="90">
        <v>12.5</v>
      </c>
      <c r="N156" s="90" t="s">
        <v>456</v>
      </c>
      <c r="O156" s="90" t="s">
        <v>52</v>
      </c>
      <c r="P156" s="90">
        <v>0.76900000000000002</v>
      </c>
      <c r="Q156" s="90" t="s">
        <v>52</v>
      </c>
      <c r="R156" s="90" t="s">
        <v>52</v>
      </c>
      <c r="S156" s="90">
        <v>0.66700000000000004</v>
      </c>
      <c r="T156" s="60" t="s">
        <v>92</v>
      </c>
      <c r="U156" s="92" t="s">
        <v>489</v>
      </c>
      <c r="V156" s="60" t="s">
        <v>80</v>
      </c>
      <c r="W156" s="60" t="s">
        <v>78</v>
      </c>
      <c r="X156" s="60" t="s">
        <v>78</v>
      </c>
      <c r="Y156" s="60" t="s">
        <v>78</v>
      </c>
      <c r="Z156" s="60" t="s">
        <v>78</v>
      </c>
      <c r="AA156" s="60" t="s">
        <v>78</v>
      </c>
      <c r="AB156" s="60" t="s">
        <v>78</v>
      </c>
      <c r="AC156" s="60" t="s">
        <v>78</v>
      </c>
      <c r="AD156" s="60" t="s">
        <v>487</v>
      </c>
      <c r="AE156" s="60" t="s">
        <v>61</v>
      </c>
      <c r="AF156" s="60" t="s">
        <v>461</v>
      </c>
      <c r="AG156" s="146"/>
      <c r="AH156" s="120">
        <v>516.22</v>
      </c>
      <c r="AI156" s="120">
        <v>27.44</v>
      </c>
      <c r="AJ156" s="120">
        <v>36</v>
      </c>
      <c r="AK156" s="120">
        <v>518.08000000000004</v>
      </c>
      <c r="AL156" s="120">
        <v>26.45</v>
      </c>
      <c r="AM156" s="127">
        <v>36</v>
      </c>
      <c r="AN156" s="203" t="s">
        <v>52</v>
      </c>
      <c r="AO156" s="203" t="s">
        <v>52</v>
      </c>
      <c r="AP156" s="203" t="s">
        <v>52</v>
      </c>
      <c r="AQ156" s="203" t="s">
        <v>52</v>
      </c>
      <c r="AR156" s="127"/>
      <c r="AS156" s="127"/>
    </row>
    <row r="157" spans="1:45" s="60" customFormat="1" ht="19" customHeight="1">
      <c r="A157" s="116" t="s">
        <v>938</v>
      </c>
      <c r="B157" s="117">
        <f>B155+0.01</f>
        <v>127.08000000000004</v>
      </c>
      <c r="C157" s="116" t="s">
        <v>47</v>
      </c>
      <c r="D157" s="88" t="s">
        <v>454</v>
      </c>
      <c r="E157" s="88" t="s">
        <v>66</v>
      </c>
      <c r="F157" s="88" t="s">
        <v>49</v>
      </c>
      <c r="G157" s="88" t="s">
        <v>50</v>
      </c>
      <c r="H157" s="285" t="s">
        <v>922</v>
      </c>
      <c r="I157" s="285" t="str">
        <f t="shared" si="6"/>
        <v xml:space="preserve">m </v>
      </c>
      <c r="J157" s="127">
        <v>1</v>
      </c>
      <c r="K157" s="60" t="s">
        <v>502</v>
      </c>
      <c r="L157" s="60">
        <v>8</v>
      </c>
      <c r="M157" s="90">
        <v>13.5</v>
      </c>
      <c r="N157" s="90" t="s">
        <v>456</v>
      </c>
      <c r="O157" s="90" t="s">
        <v>52</v>
      </c>
      <c r="P157" s="90">
        <v>0.76900000000000002</v>
      </c>
      <c r="Q157" s="90" t="s">
        <v>52</v>
      </c>
      <c r="R157" s="90" t="s">
        <v>52</v>
      </c>
      <c r="S157" s="90">
        <v>0.66700000000000004</v>
      </c>
      <c r="T157" s="60" t="s">
        <v>92</v>
      </c>
      <c r="U157" s="92" t="s">
        <v>486</v>
      </c>
      <c r="V157" s="60" t="s">
        <v>458</v>
      </c>
      <c r="W157" s="60" t="s">
        <v>153</v>
      </c>
      <c r="X157" s="60" t="s">
        <v>459</v>
      </c>
      <c r="Y157" s="60" t="s">
        <v>58</v>
      </c>
      <c r="Z157" s="60">
        <f>Z$143</f>
        <v>6800</v>
      </c>
      <c r="AA157" s="60">
        <f t="shared" si="7"/>
        <v>160</v>
      </c>
      <c r="AB157" s="60">
        <f t="shared" si="7"/>
        <v>42.5</v>
      </c>
      <c r="AC157" s="60" t="s">
        <v>59</v>
      </c>
      <c r="AD157" s="60" t="s">
        <v>487</v>
      </c>
      <c r="AE157" s="60" t="s">
        <v>61</v>
      </c>
      <c r="AF157" s="60" t="s">
        <v>461</v>
      </c>
      <c r="AG157" s="152"/>
      <c r="AH157" s="120">
        <v>524.51</v>
      </c>
      <c r="AI157" s="120">
        <v>21.49</v>
      </c>
      <c r="AJ157" s="120">
        <v>43</v>
      </c>
      <c r="AK157" s="120">
        <v>535.41999999999996</v>
      </c>
      <c r="AL157" s="120">
        <v>27.69</v>
      </c>
      <c r="AM157" s="127">
        <v>43</v>
      </c>
      <c r="AN157" s="203" t="s">
        <v>52</v>
      </c>
      <c r="AO157" s="203" t="s">
        <v>52</v>
      </c>
      <c r="AP157" s="203" t="s">
        <v>52</v>
      </c>
      <c r="AQ157" s="203" t="s">
        <v>52</v>
      </c>
      <c r="AR157" s="127"/>
      <c r="AS157" s="127"/>
    </row>
    <row r="158" spans="1:45" s="60" customFormat="1" ht="19" customHeight="1">
      <c r="A158" s="116"/>
      <c r="B158" s="117"/>
      <c r="C158" s="116"/>
      <c r="D158" s="88"/>
      <c r="E158" s="88"/>
      <c r="F158" s="88"/>
      <c r="G158" s="88"/>
      <c r="H158" s="285" t="s">
        <v>919</v>
      </c>
      <c r="I158" s="285" t="str">
        <f t="shared" si="6"/>
        <v xml:space="preserve">m </v>
      </c>
      <c r="J158" s="127">
        <v>0</v>
      </c>
      <c r="K158" s="60" t="s">
        <v>503</v>
      </c>
      <c r="L158" s="60">
        <v>8</v>
      </c>
      <c r="M158" s="90">
        <v>13.5</v>
      </c>
      <c r="N158" s="90" t="s">
        <v>456</v>
      </c>
      <c r="O158" s="90" t="s">
        <v>52</v>
      </c>
      <c r="P158" s="90">
        <v>0.76900000000000002</v>
      </c>
      <c r="Q158" s="90" t="s">
        <v>52</v>
      </c>
      <c r="R158" s="90" t="s">
        <v>52</v>
      </c>
      <c r="S158" s="90">
        <v>0.66700000000000004</v>
      </c>
      <c r="T158" s="60" t="s">
        <v>92</v>
      </c>
      <c r="U158" s="92" t="s">
        <v>489</v>
      </c>
      <c r="V158" s="60" t="s">
        <v>80</v>
      </c>
      <c r="W158" s="60" t="s">
        <v>78</v>
      </c>
      <c r="X158" s="60" t="s">
        <v>78</v>
      </c>
      <c r="Y158" s="60" t="s">
        <v>78</v>
      </c>
      <c r="Z158" s="60" t="s">
        <v>78</v>
      </c>
      <c r="AA158" s="60" t="s">
        <v>78</v>
      </c>
      <c r="AB158" s="60" t="s">
        <v>78</v>
      </c>
      <c r="AC158" s="60" t="s">
        <v>78</v>
      </c>
      <c r="AD158" s="60" t="s">
        <v>487</v>
      </c>
      <c r="AE158" s="60" t="s">
        <v>61</v>
      </c>
      <c r="AF158" s="60" t="s">
        <v>461</v>
      </c>
      <c r="AG158" s="152"/>
      <c r="AH158" s="120">
        <v>532.76</v>
      </c>
      <c r="AI158" s="120">
        <v>21.61</v>
      </c>
      <c r="AJ158" s="120">
        <v>41</v>
      </c>
      <c r="AK158" s="120">
        <v>535.54999999999995</v>
      </c>
      <c r="AL158" s="120">
        <v>31.68</v>
      </c>
      <c r="AM158" s="127">
        <v>41</v>
      </c>
      <c r="AN158" s="203" t="s">
        <v>52</v>
      </c>
      <c r="AO158" s="203" t="s">
        <v>52</v>
      </c>
      <c r="AP158" s="203" t="s">
        <v>52</v>
      </c>
      <c r="AQ158" s="203" t="s">
        <v>52</v>
      </c>
      <c r="AR158" s="127"/>
      <c r="AS158" s="127"/>
    </row>
    <row r="159" spans="1:45" s="60" customFormat="1" ht="19" customHeight="1">
      <c r="A159" s="116" t="s">
        <v>938</v>
      </c>
      <c r="B159" s="117">
        <f>B157+0.01</f>
        <v>127.09000000000005</v>
      </c>
      <c r="C159" s="116" t="s">
        <v>47</v>
      </c>
      <c r="D159" s="88" t="s">
        <v>454</v>
      </c>
      <c r="E159" s="88" t="s">
        <v>66</v>
      </c>
      <c r="F159" s="88" t="s">
        <v>49</v>
      </c>
      <c r="G159" s="88" t="s">
        <v>50</v>
      </c>
      <c r="H159" s="285" t="s">
        <v>922</v>
      </c>
      <c r="I159" s="285" t="str">
        <f t="shared" si="6"/>
        <v xml:space="preserve">m </v>
      </c>
      <c r="J159" s="127">
        <v>1</v>
      </c>
      <c r="K159" s="60" t="s">
        <v>504</v>
      </c>
      <c r="L159" s="60">
        <v>6</v>
      </c>
      <c r="M159" s="90">
        <v>11.5</v>
      </c>
      <c r="N159" s="90" t="s">
        <v>456</v>
      </c>
      <c r="O159" s="90" t="s">
        <v>52</v>
      </c>
      <c r="P159" s="90">
        <v>0.66200000000000003</v>
      </c>
      <c r="Q159" s="90" t="s">
        <v>52</v>
      </c>
      <c r="R159" s="90" t="s">
        <v>52</v>
      </c>
      <c r="S159" s="90">
        <v>0.85000000000000009</v>
      </c>
      <c r="T159" s="60" t="s">
        <v>92</v>
      </c>
      <c r="U159" s="92" t="s">
        <v>486</v>
      </c>
      <c r="V159" s="60" t="s">
        <v>458</v>
      </c>
      <c r="W159" s="60" t="s">
        <v>153</v>
      </c>
      <c r="X159" s="60" t="s">
        <v>459</v>
      </c>
      <c r="Y159" s="60" t="s">
        <v>58</v>
      </c>
      <c r="Z159" s="60">
        <f>Z$143</f>
        <v>6800</v>
      </c>
      <c r="AA159" s="60">
        <f t="shared" si="7"/>
        <v>160</v>
      </c>
      <c r="AB159" s="60">
        <f t="shared" si="7"/>
        <v>42.5</v>
      </c>
      <c r="AC159" s="60" t="s">
        <v>59</v>
      </c>
      <c r="AD159" s="60" t="s">
        <v>487</v>
      </c>
      <c r="AE159" s="60" t="s">
        <v>61</v>
      </c>
      <c r="AF159" s="60" t="s">
        <v>461</v>
      </c>
      <c r="AG159" s="152"/>
      <c r="AH159" s="120">
        <v>507.52</v>
      </c>
      <c r="AI159" s="120">
        <v>27.64</v>
      </c>
      <c r="AJ159" s="120">
        <v>109</v>
      </c>
      <c r="AK159" s="120">
        <v>507.61</v>
      </c>
      <c r="AL159" s="120">
        <v>29.89</v>
      </c>
      <c r="AM159" s="127">
        <v>109</v>
      </c>
      <c r="AN159" s="203" t="s">
        <v>52</v>
      </c>
      <c r="AO159" s="203" t="s">
        <v>52</v>
      </c>
      <c r="AP159" s="203" t="s">
        <v>52</v>
      </c>
      <c r="AQ159" s="203" t="s">
        <v>52</v>
      </c>
      <c r="AR159" s="127"/>
      <c r="AS159" s="127"/>
    </row>
    <row r="160" spans="1:45" s="60" customFormat="1" ht="19" customHeight="1">
      <c r="A160" s="116"/>
      <c r="B160" s="117"/>
      <c r="C160" s="116"/>
      <c r="D160" s="88"/>
      <c r="E160" s="88"/>
      <c r="F160" s="88"/>
      <c r="G160" s="88"/>
      <c r="H160" s="285" t="s">
        <v>919</v>
      </c>
      <c r="I160" s="285" t="str">
        <f t="shared" si="6"/>
        <v xml:space="preserve">m </v>
      </c>
      <c r="J160" s="127">
        <v>0</v>
      </c>
      <c r="K160" s="60" t="s">
        <v>505</v>
      </c>
      <c r="L160" s="60">
        <v>6</v>
      </c>
      <c r="M160" s="90">
        <v>11.5</v>
      </c>
      <c r="N160" s="90" t="s">
        <v>456</v>
      </c>
      <c r="O160" s="90" t="s">
        <v>52</v>
      </c>
      <c r="P160" s="90">
        <v>0.66200000000000003</v>
      </c>
      <c r="Q160" s="90" t="s">
        <v>52</v>
      </c>
      <c r="R160" s="90" t="s">
        <v>52</v>
      </c>
      <c r="S160" s="90">
        <v>0.85000000000000009</v>
      </c>
      <c r="T160" s="60" t="s">
        <v>92</v>
      </c>
      <c r="U160" s="92" t="s">
        <v>489</v>
      </c>
      <c r="V160" s="60" t="s">
        <v>80</v>
      </c>
      <c r="W160" s="60" t="s">
        <v>78</v>
      </c>
      <c r="X160" s="60" t="s">
        <v>78</v>
      </c>
      <c r="Y160" s="60" t="s">
        <v>78</v>
      </c>
      <c r="Z160" s="60" t="s">
        <v>78</v>
      </c>
      <c r="AA160" s="60" t="s">
        <v>78</v>
      </c>
      <c r="AB160" s="60" t="s">
        <v>78</v>
      </c>
      <c r="AC160" s="60" t="s">
        <v>78</v>
      </c>
      <c r="AD160" s="60" t="s">
        <v>487</v>
      </c>
      <c r="AE160" s="60" t="s">
        <v>61</v>
      </c>
      <c r="AF160" s="60" t="s">
        <v>461</v>
      </c>
      <c r="AG160" s="152"/>
      <c r="AH160" s="120">
        <v>475.49</v>
      </c>
      <c r="AI160" s="120">
        <v>37.799999999999997</v>
      </c>
      <c r="AJ160" s="120">
        <v>53</v>
      </c>
      <c r="AK160" s="120">
        <v>495.55</v>
      </c>
      <c r="AL160" s="120">
        <v>35.869999999999997</v>
      </c>
      <c r="AM160" s="127">
        <v>53</v>
      </c>
      <c r="AN160" s="203" t="s">
        <v>52</v>
      </c>
      <c r="AO160" s="203" t="s">
        <v>52</v>
      </c>
      <c r="AP160" s="203" t="s">
        <v>52</v>
      </c>
      <c r="AQ160" s="203" t="s">
        <v>52</v>
      </c>
      <c r="AR160" s="127"/>
      <c r="AS160" s="127"/>
    </row>
    <row r="161" spans="1:48" s="60" customFormat="1" ht="19" customHeight="1">
      <c r="A161" s="116" t="s">
        <v>938</v>
      </c>
      <c r="B161" s="117">
        <f>B159+0.01</f>
        <v>127.10000000000005</v>
      </c>
      <c r="C161" s="116" t="s">
        <v>47</v>
      </c>
      <c r="D161" s="88" t="s">
        <v>454</v>
      </c>
      <c r="E161" s="88" t="s">
        <v>66</v>
      </c>
      <c r="F161" s="88" t="s">
        <v>49</v>
      </c>
      <c r="G161" s="88" t="s">
        <v>50</v>
      </c>
      <c r="H161" s="285" t="s">
        <v>922</v>
      </c>
      <c r="I161" s="285" t="str">
        <f t="shared" si="6"/>
        <v xml:space="preserve">m </v>
      </c>
      <c r="J161" s="127">
        <v>1</v>
      </c>
      <c r="K161" s="60" t="s">
        <v>506</v>
      </c>
      <c r="L161" s="60">
        <v>7</v>
      </c>
      <c r="M161" s="90">
        <v>12.5</v>
      </c>
      <c r="N161" s="90" t="s">
        <v>456</v>
      </c>
      <c r="O161" s="90" t="s">
        <v>52</v>
      </c>
      <c r="P161" s="90">
        <v>0.66200000000000003</v>
      </c>
      <c r="Q161" s="90" t="s">
        <v>52</v>
      </c>
      <c r="R161" s="90" t="s">
        <v>52</v>
      </c>
      <c r="S161" s="90">
        <v>0.85000000000000009</v>
      </c>
      <c r="T161" s="60" t="s">
        <v>92</v>
      </c>
      <c r="U161" s="92" t="s">
        <v>486</v>
      </c>
      <c r="V161" s="60" t="s">
        <v>458</v>
      </c>
      <c r="W161" s="60" t="s">
        <v>153</v>
      </c>
      <c r="X161" s="60" t="s">
        <v>459</v>
      </c>
      <c r="Y161" s="60" t="s">
        <v>58</v>
      </c>
      <c r="Z161" s="60">
        <f>Z$143</f>
        <v>6800</v>
      </c>
      <c r="AA161" s="60">
        <f t="shared" ref="AA161:AB163" si="8">AA$143</f>
        <v>160</v>
      </c>
      <c r="AB161" s="60">
        <f t="shared" si="8"/>
        <v>42.5</v>
      </c>
      <c r="AC161" s="60" t="s">
        <v>59</v>
      </c>
      <c r="AD161" s="60" t="s">
        <v>487</v>
      </c>
      <c r="AE161" s="60" t="s">
        <v>61</v>
      </c>
      <c r="AF161" s="60" t="s">
        <v>461</v>
      </c>
      <c r="AG161" s="152"/>
      <c r="AH161" s="120">
        <v>526.86</v>
      </c>
      <c r="AI161" s="120">
        <v>35.799999999999997</v>
      </c>
      <c r="AJ161" s="120">
        <v>58</v>
      </c>
      <c r="AK161" s="120">
        <v>531.49</v>
      </c>
      <c r="AL161" s="120">
        <v>36.54</v>
      </c>
      <c r="AM161" s="127">
        <v>58</v>
      </c>
      <c r="AN161" s="203" t="s">
        <v>52</v>
      </c>
      <c r="AO161" s="203" t="s">
        <v>52</v>
      </c>
      <c r="AP161" s="203" t="s">
        <v>52</v>
      </c>
      <c r="AQ161" s="203" t="s">
        <v>52</v>
      </c>
      <c r="AR161" s="127"/>
      <c r="AS161" s="127"/>
    </row>
    <row r="162" spans="1:48" s="60" customFormat="1" ht="19" customHeight="1">
      <c r="A162" s="116"/>
      <c r="B162" s="117"/>
      <c r="C162" s="116"/>
      <c r="D162" s="88"/>
      <c r="E162" s="88"/>
      <c r="F162" s="88"/>
      <c r="G162" s="88"/>
      <c r="H162" s="285" t="s">
        <v>919</v>
      </c>
      <c r="I162" s="285" t="str">
        <f t="shared" si="6"/>
        <v xml:space="preserve">m </v>
      </c>
      <c r="J162" s="127">
        <v>0</v>
      </c>
      <c r="K162" s="60" t="s">
        <v>507</v>
      </c>
      <c r="L162" s="60">
        <v>7</v>
      </c>
      <c r="M162" s="90">
        <v>12.5</v>
      </c>
      <c r="N162" s="90" t="s">
        <v>456</v>
      </c>
      <c r="O162" s="90" t="s">
        <v>52</v>
      </c>
      <c r="P162" s="90">
        <v>0.66200000000000003</v>
      </c>
      <c r="Q162" s="90" t="s">
        <v>52</v>
      </c>
      <c r="R162" s="90" t="s">
        <v>52</v>
      </c>
      <c r="S162" s="90">
        <v>0.85000000000000009</v>
      </c>
      <c r="T162" s="60" t="s">
        <v>92</v>
      </c>
      <c r="U162" s="92" t="s">
        <v>489</v>
      </c>
      <c r="V162" s="60" t="s">
        <v>80</v>
      </c>
      <c r="W162" s="60" t="s">
        <v>78</v>
      </c>
      <c r="X162" s="60" t="s">
        <v>78</v>
      </c>
      <c r="Y162" s="60" t="s">
        <v>78</v>
      </c>
      <c r="Z162" s="60" t="s">
        <v>78</v>
      </c>
      <c r="AA162" s="60" t="s">
        <v>78</v>
      </c>
      <c r="AB162" s="60" t="s">
        <v>78</v>
      </c>
      <c r="AC162" s="60" t="s">
        <v>78</v>
      </c>
      <c r="AD162" s="60" t="s">
        <v>487</v>
      </c>
      <c r="AE162" s="60" t="s">
        <v>61</v>
      </c>
      <c r="AF162" s="60" t="s">
        <v>461</v>
      </c>
      <c r="AG162" s="152"/>
      <c r="AH162" s="120">
        <v>508.19</v>
      </c>
      <c r="AI162" s="120">
        <v>32.15</v>
      </c>
      <c r="AJ162" s="120">
        <v>53</v>
      </c>
      <c r="AK162" s="120">
        <v>515.25</v>
      </c>
      <c r="AL162" s="120">
        <v>27.47</v>
      </c>
      <c r="AM162" s="127">
        <v>53</v>
      </c>
      <c r="AN162" s="203" t="s">
        <v>52</v>
      </c>
      <c r="AO162" s="203" t="s">
        <v>52</v>
      </c>
      <c r="AP162" s="203" t="s">
        <v>52</v>
      </c>
      <c r="AQ162" s="203" t="s">
        <v>52</v>
      </c>
      <c r="AR162" s="127"/>
      <c r="AS162" s="127"/>
    </row>
    <row r="163" spans="1:48" s="60" customFormat="1" ht="19" customHeight="1">
      <c r="A163" s="116" t="s">
        <v>938</v>
      </c>
      <c r="B163" s="117">
        <f>B161+0.01</f>
        <v>127.11000000000006</v>
      </c>
      <c r="C163" s="116" t="s">
        <v>47</v>
      </c>
      <c r="D163" s="88" t="s">
        <v>454</v>
      </c>
      <c r="E163" s="88" t="s">
        <v>66</v>
      </c>
      <c r="F163" s="88" t="s">
        <v>49</v>
      </c>
      <c r="G163" s="88" t="s">
        <v>50</v>
      </c>
      <c r="H163" s="285" t="s">
        <v>922</v>
      </c>
      <c r="I163" s="285" t="str">
        <f t="shared" si="6"/>
        <v xml:space="preserve">m </v>
      </c>
      <c r="J163" s="127">
        <v>1</v>
      </c>
      <c r="K163" s="60" t="s">
        <v>508</v>
      </c>
      <c r="L163" s="60">
        <v>8</v>
      </c>
      <c r="M163" s="90">
        <v>13.5</v>
      </c>
      <c r="N163" s="90" t="s">
        <v>456</v>
      </c>
      <c r="O163" s="90" t="s">
        <v>52</v>
      </c>
      <c r="P163" s="90">
        <v>0.66200000000000003</v>
      </c>
      <c r="Q163" s="90" t="s">
        <v>52</v>
      </c>
      <c r="R163" s="90" t="s">
        <v>52</v>
      </c>
      <c r="S163" s="90">
        <v>0.85000000000000009</v>
      </c>
      <c r="T163" s="60" t="s">
        <v>92</v>
      </c>
      <c r="U163" s="92" t="s">
        <v>486</v>
      </c>
      <c r="V163" s="60" t="s">
        <v>458</v>
      </c>
      <c r="W163" s="60" t="s">
        <v>153</v>
      </c>
      <c r="X163" s="60" t="s">
        <v>459</v>
      </c>
      <c r="Y163" s="60" t="s">
        <v>58</v>
      </c>
      <c r="Z163" s="60">
        <f>Z$143</f>
        <v>6800</v>
      </c>
      <c r="AA163" s="60">
        <f t="shared" si="8"/>
        <v>160</v>
      </c>
      <c r="AB163" s="60">
        <f t="shared" si="8"/>
        <v>42.5</v>
      </c>
      <c r="AC163" s="60" t="s">
        <v>59</v>
      </c>
      <c r="AD163" s="60" t="s">
        <v>487</v>
      </c>
      <c r="AE163" s="60" t="s">
        <v>61</v>
      </c>
      <c r="AF163" s="60" t="s">
        <v>461</v>
      </c>
      <c r="AG163" s="152"/>
      <c r="AH163" s="120">
        <v>515.45000000000005</v>
      </c>
      <c r="AI163" s="120">
        <v>27.74</v>
      </c>
      <c r="AJ163" s="120">
        <v>56</v>
      </c>
      <c r="AK163" s="120">
        <v>509.12</v>
      </c>
      <c r="AL163" s="120">
        <v>31.63</v>
      </c>
      <c r="AM163" s="127">
        <v>56</v>
      </c>
      <c r="AN163" s="203" t="s">
        <v>52</v>
      </c>
      <c r="AO163" s="203" t="s">
        <v>52</v>
      </c>
      <c r="AP163" s="203" t="s">
        <v>52</v>
      </c>
      <c r="AQ163" s="203" t="s">
        <v>52</v>
      </c>
      <c r="AR163" s="127"/>
      <c r="AS163" s="127"/>
    </row>
    <row r="164" spans="1:48" s="63" customFormat="1" ht="19" customHeight="1">
      <c r="A164" s="122"/>
      <c r="B164" s="123"/>
      <c r="C164" s="122"/>
      <c r="D164" s="89"/>
      <c r="E164" s="89"/>
      <c r="F164" s="89"/>
      <c r="G164" s="89"/>
      <c r="H164" s="286" t="s">
        <v>919</v>
      </c>
      <c r="I164" s="286" t="str">
        <f t="shared" si="6"/>
        <v xml:space="preserve">m </v>
      </c>
      <c r="J164" s="128">
        <v>0</v>
      </c>
      <c r="K164" s="63" t="s">
        <v>509</v>
      </c>
      <c r="L164" s="63">
        <v>8</v>
      </c>
      <c r="M164" s="93">
        <v>13.5</v>
      </c>
      <c r="N164" s="93" t="s">
        <v>456</v>
      </c>
      <c r="O164" s="93" t="s">
        <v>52</v>
      </c>
      <c r="P164" s="93">
        <v>0.66200000000000003</v>
      </c>
      <c r="Q164" s="93" t="s">
        <v>52</v>
      </c>
      <c r="R164" s="93" t="s">
        <v>52</v>
      </c>
      <c r="S164" s="93">
        <v>0.85000000000000009</v>
      </c>
      <c r="T164" s="63" t="s">
        <v>92</v>
      </c>
      <c r="U164" s="95" t="s">
        <v>489</v>
      </c>
      <c r="V164" s="63" t="s">
        <v>80</v>
      </c>
      <c r="W164" s="63" t="s">
        <v>78</v>
      </c>
      <c r="X164" s="63" t="s">
        <v>78</v>
      </c>
      <c r="Y164" s="63" t="s">
        <v>78</v>
      </c>
      <c r="Z164" s="63" t="s">
        <v>78</v>
      </c>
      <c r="AA164" s="63" t="s">
        <v>78</v>
      </c>
      <c r="AB164" s="63" t="s">
        <v>78</v>
      </c>
      <c r="AC164" s="63" t="s">
        <v>78</v>
      </c>
      <c r="AD164" s="63" t="s">
        <v>487</v>
      </c>
      <c r="AE164" s="63" t="s">
        <v>61</v>
      </c>
      <c r="AF164" s="63" t="s">
        <v>461</v>
      </c>
      <c r="AG164" s="153"/>
      <c r="AH164" s="124">
        <v>521.79</v>
      </c>
      <c r="AI164" s="124">
        <v>23.65</v>
      </c>
      <c r="AJ164" s="124">
        <v>55</v>
      </c>
      <c r="AK164" s="124">
        <v>506.16</v>
      </c>
      <c r="AL164" s="124">
        <v>30.25</v>
      </c>
      <c r="AM164" s="128">
        <v>55</v>
      </c>
      <c r="AN164" s="204" t="s">
        <v>52</v>
      </c>
      <c r="AO164" s="204" t="s">
        <v>52</v>
      </c>
      <c r="AP164" s="204" t="s">
        <v>52</v>
      </c>
      <c r="AQ164" s="204" t="s">
        <v>52</v>
      </c>
      <c r="AR164" s="128"/>
      <c r="AS164" s="128"/>
    </row>
    <row r="165" spans="1:48" s="60" customFormat="1" ht="19" customHeight="1">
      <c r="A165" s="129" t="s">
        <v>510</v>
      </c>
      <c r="B165" s="130">
        <v>128</v>
      </c>
      <c r="C165" s="129" t="s">
        <v>47</v>
      </c>
      <c r="D165" s="88" t="s">
        <v>454</v>
      </c>
      <c r="E165" s="88" t="s">
        <v>66</v>
      </c>
      <c r="F165" s="88" t="s">
        <v>49</v>
      </c>
      <c r="G165" s="88" t="s">
        <v>239</v>
      </c>
      <c r="H165" s="285" t="s">
        <v>924</v>
      </c>
      <c r="I165" s="285" t="str">
        <f t="shared" si="6"/>
        <v>cm</v>
      </c>
      <c r="J165" s="112">
        <v>1</v>
      </c>
      <c r="K165" s="60" t="s">
        <v>511</v>
      </c>
      <c r="L165" s="60">
        <v>7</v>
      </c>
      <c r="M165" s="90">
        <v>12.5</v>
      </c>
      <c r="N165" s="90" t="s">
        <v>456</v>
      </c>
      <c r="O165" s="90" t="s">
        <v>52</v>
      </c>
      <c r="P165" s="90">
        <v>0.20300000000000001</v>
      </c>
      <c r="Q165" s="90">
        <v>0.01</v>
      </c>
      <c r="R165" s="90">
        <v>0.47</v>
      </c>
      <c r="S165" s="90">
        <v>0.21099999999999997</v>
      </c>
      <c r="T165" s="60" t="s">
        <v>53</v>
      </c>
      <c r="U165" s="92" t="s">
        <v>512</v>
      </c>
      <c r="V165" s="60" t="s">
        <v>458</v>
      </c>
      <c r="W165" s="60" t="s">
        <v>153</v>
      </c>
      <c r="X165" s="60" t="s">
        <v>459</v>
      </c>
      <c r="Y165" s="60" t="s">
        <v>58</v>
      </c>
      <c r="Z165" s="60">
        <v>1800</v>
      </c>
      <c r="AA165" s="60">
        <v>20</v>
      </c>
      <c r="AB165" s="60">
        <v>90</v>
      </c>
      <c r="AC165" s="60" t="s">
        <v>59</v>
      </c>
      <c r="AD165" s="60" t="s">
        <v>514</v>
      </c>
      <c r="AE165" s="60" t="s">
        <v>95</v>
      </c>
      <c r="AF165" s="60" t="s">
        <v>515</v>
      </c>
      <c r="AG165" s="146" t="s">
        <v>516</v>
      </c>
      <c r="AH165" s="127">
        <v>54.06</v>
      </c>
      <c r="AI165" s="127">
        <v>15.41</v>
      </c>
      <c r="AJ165" s="127">
        <v>269</v>
      </c>
      <c r="AK165" s="127">
        <v>56.94</v>
      </c>
      <c r="AL165" s="127">
        <v>16.7</v>
      </c>
      <c r="AM165" s="127">
        <v>269</v>
      </c>
      <c r="AN165" s="203" t="s">
        <v>52</v>
      </c>
      <c r="AO165" s="203" t="s">
        <v>52</v>
      </c>
      <c r="AP165" s="203" t="s">
        <v>52</v>
      </c>
      <c r="AQ165" s="203" t="s">
        <v>52</v>
      </c>
      <c r="AR165" s="127"/>
      <c r="AS165" s="127"/>
    </row>
    <row r="166" spans="1:48" s="63" customFormat="1" ht="19" customHeight="1">
      <c r="A166" s="131"/>
      <c r="B166" s="132"/>
      <c r="C166" s="131"/>
      <c r="D166" s="89"/>
      <c r="E166" s="89"/>
      <c r="F166" s="89"/>
      <c r="G166" s="89"/>
      <c r="H166" s="286" t="s">
        <v>919</v>
      </c>
      <c r="I166" s="286" t="str">
        <f t="shared" si="6"/>
        <v xml:space="preserve">m </v>
      </c>
      <c r="J166" s="113">
        <v>0</v>
      </c>
      <c r="K166" s="63" t="s">
        <v>517</v>
      </c>
      <c r="L166" s="63">
        <v>7</v>
      </c>
      <c r="M166" s="93">
        <v>12.5</v>
      </c>
      <c r="N166" s="93" t="s">
        <v>456</v>
      </c>
      <c r="O166" s="93" t="s">
        <v>52</v>
      </c>
      <c r="P166" s="93">
        <v>0.20300000000000001</v>
      </c>
      <c r="Q166" s="93">
        <v>0.01</v>
      </c>
      <c r="R166" s="93">
        <v>0.47</v>
      </c>
      <c r="S166" s="93">
        <v>0.21099999999999997</v>
      </c>
      <c r="T166" s="63" t="s">
        <v>92</v>
      </c>
      <c r="U166" s="95" t="s">
        <v>518</v>
      </c>
      <c r="V166" s="63" t="s">
        <v>466</v>
      </c>
      <c r="W166" s="63" t="s">
        <v>78</v>
      </c>
      <c r="X166" s="63" t="s">
        <v>459</v>
      </c>
      <c r="Y166" s="63" t="s">
        <v>58</v>
      </c>
      <c r="Z166" s="63">
        <v>1800</v>
      </c>
      <c r="AA166" s="63">
        <v>20</v>
      </c>
      <c r="AB166" s="63">
        <v>90</v>
      </c>
      <c r="AC166" s="63" t="s">
        <v>78</v>
      </c>
      <c r="AD166" s="63" t="s">
        <v>514</v>
      </c>
      <c r="AE166" s="63" t="s">
        <v>95</v>
      </c>
      <c r="AF166" s="63" t="s">
        <v>515</v>
      </c>
      <c r="AG166" s="147" t="s">
        <v>516</v>
      </c>
      <c r="AH166" s="128">
        <v>53.19</v>
      </c>
      <c r="AI166" s="128">
        <v>14.1</v>
      </c>
      <c r="AJ166" s="128">
        <v>288</v>
      </c>
      <c r="AK166" s="128">
        <v>53.6</v>
      </c>
      <c r="AL166" s="128">
        <v>17.55</v>
      </c>
      <c r="AM166" s="128">
        <v>288</v>
      </c>
      <c r="AN166" s="204" t="s">
        <v>52</v>
      </c>
      <c r="AO166" s="204" t="s">
        <v>52</v>
      </c>
      <c r="AP166" s="204" t="s">
        <v>52</v>
      </c>
      <c r="AQ166" s="204" t="s">
        <v>52</v>
      </c>
      <c r="AR166" s="128"/>
      <c r="AS166" s="128"/>
    </row>
    <row r="167" spans="1:48" s="134" customFormat="1" ht="19" customHeight="1">
      <c r="A167" s="133" t="s">
        <v>519</v>
      </c>
      <c r="B167" s="117">
        <v>129.1</v>
      </c>
      <c r="C167" s="133" t="s">
        <v>47</v>
      </c>
      <c r="D167" s="88" t="s">
        <v>454</v>
      </c>
      <c r="E167" s="116" t="s">
        <v>66</v>
      </c>
      <c r="F167" s="116" t="s">
        <v>49</v>
      </c>
      <c r="G167" s="116" t="s">
        <v>239</v>
      </c>
      <c r="H167" s="283" t="s">
        <v>924</v>
      </c>
      <c r="I167" s="283" t="str">
        <f t="shared" si="6"/>
        <v xml:space="preserve">m </v>
      </c>
      <c r="J167" s="112">
        <v>1</v>
      </c>
      <c r="K167" s="134" t="s">
        <v>520</v>
      </c>
      <c r="L167" s="134">
        <v>3</v>
      </c>
      <c r="M167" s="135">
        <v>8.5</v>
      </c>
      <c r="N167" s="135">
        <v>1</v>
      </c>
      <c r="O167" s="135" t="s">
        <v>52</v>
      </c>
      <c r="P167" s="135" t="s">
        <v>52</v>
      </c>
      <c r="Q167" s="135" t="s">
        <v>52</v>
      </c>
      <c r="R167" s="135">
        <v>0.5</v>
      </c>
      <c r="S167" s="135">
        <v>0.78</v>
      </c>
      <c r="T167" s="134" t="s">
        <v>92</v>
      </c>
      <c r="U167" s="136" t="s">
        <v>521</v>
      </c>
      <c r="V167" s="134" t="s">
        <v>458</v>
      </c>
      <c r="W167" s="134" t="s">
        <v>153</v>
      </c>
      <c r="X167" s="60" t="s">
        <v>459</v>
      </c>
      <c r="Y167" s="134" t="s">
        <v>58</v>
      </c>
      <c r="Z167" s="165">
        <v>7650</v>
      </c>
      <c r="AA167" s="165">
        <v>85</v>
      </c>
      <c r="AB167" s="165">
        <v>90</v>
      </c>
      <c r="AC167" s="134" t="s">
        <v>59</v>
      </c>
      <c r="AD167" s="134" t="s">
        <v>522</v>
      </c>
      <c r="AE167" s="134" t="s">
        <v>95</v>
      </c>
      <c r="AF167" s="60" t="s">
        <v>515</v>
      </c>
      <c r="AG167" s="154" t="s">
        <v>52</v>
      </c>
      <c r="AH167" s="112" t="s">
        <v>52</v>
      </c>
      <c r="AI167" s="112" t="s">
        <v>52</v>
      </c>
      <c r="AJ167" s="112" t="s">
        <v>52</v>
      </c>
      <c r="AK167" s="112">
        <v>13.52</v>
      </c>
      <c r="AL167" s="112">
        <v>2.77</v>
      </c>
      <c r="AM167" s="112">
        <v>48</v>
      </c>
      <c r="AN167" s="203" t="s">
        <v>52</v>
      </c>
      <c r="AO167" s="203" t="s">
        <v>52</v>
      </c>
      <c r="AP167" s="203" t="s">
        <v>52</v>
      </c>
      <c r="AQ167" s="203" t="s">
        <v>52</v>
      </c>
      <c r="AR167" s="112"/>
      <c r="AS167" s="112"/>
      <c r="AV167" s="134" t="s">
        <v>523</v>
      </c>
    </row>
    <row r="168" spans="1:48" s="134" customFormat="1" ht="19" customHeight="1">
      <c r="A168" s="133"/>
      <c r="B168" s="117"/>
      <c r="C168" s="133"/>
      <c r="D168" s="116"/>
      <c r="E168" s="116"/>
      <c r="F168" s="116"/>
      <c r="G168" s="116"/>
      <c r="H168" s="283"/>
      <c r="I168" s="283" t="str">
        <f t="shared" si="6"/>
        <v/>
      </c>
      <c r="J168" s="112"/>
      <c r="M168" s="135"/>
      <c r="N168" s="135"/>
      <c r="O168" s="135"/>
      <c r="P168" s="135"/>
      <c r="Q168" s="135"/>
      <c r="R168" s="135"/>
      <c r="S168" s="135"/>
      <c r="U168" s="136"/>
      <c r="Z168" s="165"/>
      <c r="AA168" s="165"/>
      <c r="AB168" s="165"/>
      <c r="AD168" s="134" t="s">
        <v>524</v>
      </c>
      <c r="AE168" s="134" t="s">
        <v>95</v>
      </c>
      <c r="AF168" s="60" t="s">
        <v>515</v>
      </c>
      <c r="AG168" s="154" t="s">
        <v>52</v>
      </c>
      <c r="AH168" s="112" t="s">
        <v>52</v>
      </c>
      <c r="AI168" s="112" t="s">
        <v>52</v>
      </c>
      <c r="AJ168" s="112" t="s">
        <v>52</v>
      </c>
      <c r="AK168" s="112">
        <v>6</v>
      </c>
      <c r="AL168" s="112">
        <v>1.62</v>
      </c>
      <c r="AM168" s="112">
        <v>48</v>
      </c>
      <c r="AN168" s="203" t="s">
        <v>52</v>
      </c>
      <c r="AO168" s="203" t="s">
        <v>52</v>
      </c>
      <c r="AP168" s="203" t="s">
        <v>52</v>
      </c>
      <c r="AQ168" s="203" t="s">
        <v>52</v>
      </c>
      <c r="AR168" s="112"/>
      <c r="AS168" s="112"/>
    </row>
    <row r="169" spans="1:48" s="134" customFormat="1" ht="19" customHeight="1">
      <c r="A169" s="133"/>
      <c r="B169" s="117"/>
      <c r="C169" s="133"/>
      <c r="D169" s="116"/>
      <c r="E169" s="116"/>
      <c r="F169" s="116"/>
      <c r="G169" s="116"/>
      <c r="H169" s="283"/>
      <c r="I169" s="283" t="str">
        <f t="shared" si="6"/>
        <v/>
      </c>
      <c r="J169" s="112"/>
      <c r="M169" s="135"/>
      <c r="N169" s="135"/>
      <c r="O169" s="135"/>
      <c r="P169" s="135"/>
      <c r="Q169" s="135"/>
      <c r="R169" s="135"/>
      <c r="S169" s="135"/>
      <c r="U169" s="136"/>
      <c r="Z169" s="165"/>
      <c r="AA169" s="165"/>
      <c r="AB169" s="165"/>
      <c r="AD169" s="134" t="s">
        <v>525</v>
      </c>
      <c r="AE169" s="134" t="s">
        <v>95</v>
      </c>
      <c r="AF169" s="60" t="s">
        <v>515</v>
      </c>
      <c r="AG169" s="154" t="s">
        <v>52</v>
      </c>
      <c r="AH169" s="112" t="s">
        <v>52</v>
      </c>
      <c r="AI169" s="112" t="s">
        <v>52</v>
      </c>
      <c r="AJ169" s="112" t="s">
        <v>52</v>
      </c>
      <c r="AK169" s="112">
        <v>7.42</v>
      </c>
      <c r="AL169" s="112">
        <v>1.54</v>
      </c>
      <c r="AM169" s="112">
        <v>48</v>
      </c>
      <c r="AN169" s="203" t="s">
        <v>52</v>
      </c>
      <c r="AO169" s="203" t="s">
        <v>52</v>
      </c>
      <c r="AP169" s="203" t="s">
        <v>52</v>
      </c>
      <c r="AQ169" s="203" t="s">
        <v>52</v>
      </c>
      <c r="AR169" s="112"/>
      <c r="AS169" s="112"/>
    </row>
    <row r="170" spans="1:48" s="134" customFormat="1" ht="19" customHeight="1">
      <c r="A170" s="133"/>
      <c r="B170" s="117"/>
      <c r="C170" s="133"/>
      <c r="D170" s="116"/>
      <c r="E170" s="116"/>
      <c r="F170" s="116"/>
      <c r="G170" s="116"/>
      <c r="H170" s="283"/>
      <c r="I170" s="283" t="str">
        <f t="shared" si="6"/>
        <v/>
      </c>
      <c r="J170" s="112"/>
      <c r="M170" s="135"/>
      <c r="N170" s="135"/>
      <c r="O170" s="135"/>
      <c r="P170" s="135"/>
      <c r="Q170" s="135"/>
      <c r="R170" s="135"/>
      <c r="S170" s="135"/>
      <c r="U170" s="136"/>
      <c r="Z170" s="165"/>
      <c r="AA170" s="165"/>
      <c r="AB170" s="165"/>
      <c r="AD170" s="165" t="s">
        <v>526</v>
      </c>
      <c r="AE170" s="165" t="s">
        <v>95</v>
      </c>
      <c r="AF170" s="165" t="s">
        <v>515</v>
      </c>
      <c r="AG170" s="166" t="s">
        <v>52</v>
      </c>
      <c r="AH170" s="167">
        <v>5.77</v>
      </c>
      <c r="AI170" s="167">
        <v>2.56</v>
      </c>
      <c r="AJ170" s="167">
        <v>48</v>
      </c>
      <c r="AK170" s="167" t="s">
        <v>52</v>
      </c>
      <c r="AL170" s="167" t="s">
        <v>52</v>
      </c>
      <c r="AM170" s="167" t="s">
        <v>52</v>
      </c>
      <c r="AN170" s="203" t="s">
        <v>52</v>
      </c>
      <c r="AO170" s="203" t="s">
        <v>52</v>
      </c>
      <c r="AP170" s="203" t="s">
        <v>52</v>
      </c>
      <c r="AQ170" s="203" t="s">
        <v>52</v>
      </c>
      <c r="AR170" s="112"/>
      <c r="AS170" s="112"/>
    </row>
    <row r="171" spans="1:48" s="134" customFormat="1" ht="19" customHeight="1">
      <c r="A171" s="133"/>
      <c r="B171" s="117"/>
      <c r="C171" s="133"/>
      <c r="D171" s="116"/>
      <c r="E171" s="116"/>
      <c r="F171" s="116"/>
      <c r="G171" s="116"/>
      <c r="H171" s="283"/>
      <c r="I171" s="283" t="str">
        <f t="shared" si="6"/>
        <v/>
      </c>
      <c r="J171" s="112"/>
      <c r="M171" s="135"/>
      <c r="N171" s="135"/>
      <c r="O171" s="135"/>
      <c r="P171" s="135"/>
      <c r="Q171" s="135"/>
      <c r="R171" s="135"/>
      <c r="S171" s="135"/>
      <c r="U171" s="136"/>
      <c r="Z171" s="165"/>
      <c r="AA171" s="165"/>
      <c r="AB171" s="165"/>
      <c r="AD171" s="165" t="s">
        <v>527</v>
      </c>
      <c r="AE171" s="165" t="s">
        <v>95</v>
      </c>
      <c r="AF171" s="165" t="s">
        <v>515</v>
      </c>
      <c r="AG171" s="166" t="s">
        <v>52</v>
      </c>
      <c r="AH171" s="167">
        <v>2.87</v>
      </c>
      <c r="AI171" s="167">
        <v>1.2</v>
      </c>
      <c r="AJ171" s="167">
        <v>48</v>
      </c>
      <c r="AK171" s="167" t="s">
        <v>52</v>
      </c>
      <c r="AL171" s="167" t="s">
        <v>52</v>
      </c>
      <c r="AM171" s="167" t="s">
        <v>52</v>
      </c>
      <c r="AN171" s="203" t="s">
        <v>52</v>
      </c>
      <c r="AO171" s="203" t="s">
        <v>52</v>
      </c>
      <c r="AP171" s="203" t="s">
        <v>52</v>
      </c>
      <c r="AQ171" s="203" t="s">
        <v>52</v>
      </c>
      <c r="AR171" s="112"/>
      <c r="AS171" s="112"/>
    </row>
    <row r="172" spans="1:48" s="134" customFormat="1" ht="19" customHeight="1">
      <c r="A172" s="342"/>
      <c r="B172" s="117"/>
      <c r="C172" s="133"/>
      <c r="D172" s="116"/>
      <c r="E172" s="116"/>
      <c r="F172" s="116"/>
      <c r="G172" s="116"/>
      <c r="H172" s="283" t="s">
        <v>919</v>
      </c>
      <c r="I172" s="283" t="str">
        <f t="shared" si="6"/>
        <v xml:space="preserve">m </v>
      </c>
      <c r="J172" s="112">
        <v>0</v>
      </c>
      <c r="K172" s="134" t="s">
        <v>528</v>
      </c>
      <c r="L172" s="134">
        <v>3</v>
      </c>
      <c r="M172" s="135">
        <v>8.5</v>
      </c>
      <c r="N172" s="135">
        <v>1</v>
      </c>
      <c r="O172" s="135" t="s">
        <v>52</v>
      </c>
      <c r="P172" s="135" t="s">
        <v>52</v>
      </c>
      <c r="Q172" s="135" t="s">
        <v>52</v>
      </c>
      <c r="R172" s="135">
        <v>0.5</v>
      </c>
      <c r="S172" s="135">
        <v>0.78</v>
      </c>
      <c r="T172" s="134" t="s">
        <v>92</v>
      </c>
      <c r="U172" s="136" t="s">
        <v>529</v>
      </c>
      <c r="V172" s="134" t="s">
        <v>466</v>
      </c>
      <c r="W172" s="134" t="s">
        <v>153</v>
      </c>
      <c r="X172" s="134" t="s">
        <v>78</v>
      </c>
      <c r="Y172" s="134" t="s">
        <v>58</v>
      </c>
      <c r="Z172" s="134" t="s">
        <v>78</v>
      </c>
      <c r="AA172" s="134" t="s">
        <v>78</v>
      </c>
      <c r="AB172" s="134" t="s">
        <v>78</v>
      </c>
      <c r="AC172" s="134" t="s">
        <v>78</v>
      </c>
      <c r="AD172" s="134" t="s">
        <v>522</v>
      </c>
      <c r="AE172" s="134" t="s">
        <v>95</v>
      </c>
      <c r="AF172" s="134" t="s">
        <v>530</v>
      </c>
      <c r="AG172" s="154" t="s">
        <v>52</v>
      </c>
      <c r="AH172" s="112" t="s">
        <v>52</v>
      </c>
      <c r="AI172" s="112" t="s">
        <v>52</v>
      </c>
      <c r="AJ172" s="112" t="s">
        <v>52</v>
      </c>
      <c r="AK172" s="112">
        <v>13.73</v>
      </c>
      <c r="AL172" s="112">
        <v>2.4500000000000002</v>
      </c>
      <c r="AM172" s="112">
        <v>42</v>
      </c>
      <c r="AN172" s="203" t="s">
        <v>52</v>
      </c>
      <c r="AO172" s="203" t="s">
        <v>52</v>
      </c>
      <c r="AP172" s="203" t="s">
        <v>52</v>
      </c>
      <c r="AQ172" s="203" t="s">
        <v>52</v>
      </c>
      <c r="AR172" s="112"/>
      <c r="AS172" s="112"/>
    </row>
    <row r="173" spans="1:48" s="134" customFormat="1" ht="19" customHeight="1">
      <c r="A173" s="342"/>
      <c r="B173" s="117"/>
      <c r="C173" s="133"/>
      <c r="D173" s="116"/>
      <c r="E173" s="116"/>
      <c r="F173" s="116"/>
      <c r="G173" s="116"/>
      <c r="H173" s="283"/>
      <c r="I173" s="283" t="str">
        <f t="shared" si="6"/>
        <v/>
      </c>
      <c r="J173" s="112"/>
      <c r="M173" s="135"/>
      <c r="N173" s="135"/>
      <c r="O173" s="135"/>
      <c r="P173" s="135"/>
      <c r="Q173" s="135"/>
      <c r="R173" s="135"/>
      <c r="S173" s="135"/>
      <c r="U173" s="136"/>
      <c r="Z173" s="165"/>
      <c r="AA173" s="165"/>
      <c r="AB173" s="165"/>
      <c r="AD173" s="134" t="s">
        <v>524</v>
      </c>
      <c r="AE173" s="134" t="s">
        <v>95</v>
      </c>
      <c r="AF173" s="134" t="s">
        <v>530</v>
      </c>
      <c r="AG173" s="154" t="s">
        <v>52</v>
      </c>
      <c r="AH173" s="112" t="s">
        <v>52</v>
      </c>
      <c r="AI173" s="112" t="s">
        <v>52</v>
      </c>
      <c r="AJ173" s="112" t="s">
        <v>52</v>
      </c>
      <c r="AK173" s="112">
        <v>6.46</v>
      </c>
      <c r="AL173" s="112">
        <v>1.41</v>
      </c>
      <c r="AM173" s="112">
        <v>42</v>
      </c>
      <c r="AN173" s="203" t="s">
        <v>52</v>
      </c>
      <c r="AO173" s="203" t="s">
        <v>52</v>
      </c>
      <c r="AP173" s="203" t="s">
        <v>52</v>
      </c>
      <c r="AQ173" s="203" t="s">
        <v>52</v>
      </c>
      <c r="AR173" s="112"/>
      <c r="AS173" s="112"/>
    </row>
    <row r="174" spans="1:48" s="134" customFormat="1" ht="19" customHeight="1">
      <c r="A174" s="342"/>
      <c r="B174" s="117"/>
      <c r="C174" s="133"/>
      <c r="D174" s="116"/>
      <c r="E174" s="116"/>
      <c r="F174" s="116"/>
      <c r="G174" s="116"/>
      <c r="H174" s="283"/>
      <c r="I174" s="283" t="str">
        <f t="shared" si="6"/>
        <v/>
      </c>
      <c r="J174" s="112"/>
      <c r="M174" s="135"/>
      <c r="N174" s="135"/>
      <c r="O174" s="135"/>
      <c r="P174" s="135"/>
      <c r="Q174" s="135"/>
      <c r="R174" s="135"/>
      <c r="S174" s="135"/>
      <c r="U174" s="136"/>
      <c r="Z174" s="165"/>
      <c r="AA174" s="165"/>
      <c r="AB174" s="165"/>
      <c r="AD174" s="134" t="s">
        <v>525</v>
      </c>
      <c r="AE174" s="134" t="s">
        <v>95</v>
      </c>
      <c r="AF174" s="134" t="s">
        <v>530</v>
      </c>
      <c r="AG174" s="154" t="s">
        <v>52</v>
      </c>
      <c r="AH174" s="112" t="s">
        <v>52</v>
      </c>
      <c r="AI174" s="112" t="s">
        <v>52</v>
      </c>
      <c r="AJ174" s="112" t="s">
        <v>52</v>
      </c>
      <c r="AK174" s="112">
        <v>7.02</v>
      </c>
      <c r="AL174" s="112">
        <v>1.87</v>
      </c>
      <c r="AM174" s="112">
        <v>42</v>
      </c>
      <c r="AN174" s="203" t="s">
        <v>52</v>
      </c>
      <c r="AO174" s="203" t="s">
        <v>52</v>
      </c>
      <c r="AP174" s="203" t="s">
        <v>52</v>
      </c>
      <c r="AQ174" s="203" t="s">
        <v>52</v>
      </c>
      <c r="AR174" s="112"/>
      <c r="AS174" s="112"/>
    </row>
    <row r="175" spans="1:48" s="134" customFormat="1" ht="19" customHeight="1">
      <c r="A175" s="342"/>
      <c r="B175" s="117"/>
      <c r="C175" s="133"/>
      <c r="D175" s="116"/>
      <c r="E175" s="116"/>
      <c r="F175" s="116"/>
      <c r="G175" s="116"/>
      <c r="H175" s="283"/>
      <c r="I175" s="283" t="str">
        <f t="shared" si="6"/>
        <v/>
      </c>
      <c r="J175" s="112"/>
      <c r="M175" s="135"/>
      <c r="N175" s="135"/>
      <c r="O175" s="135"/>
      <c r="P175" s="135"/>
      <c r="Q175" s="135"/>
      <c r="R175" s="135"/>
      <c r="S175" s="135"/>
      <c r="U175" s="136"/>
      <c r="Z175" s="165"/>
      <c r="AA175" s="165"/>
      <c r="AB175" s="165"/>
      <c r="AD175" s="165" t="s">
        <v>526</v>
      </c>
      <c r="AE175" s="165" t="s">
        <v>95</v>
      </c>
      <c r="AF175" s="165" t="s">
        <v>515</v>
      </c>
      <c r="AG175" s="166" t="s">
        <v>52</v>
      </c>
      <c r="AH175" s="167">
        <v>6.51</v>
      </c>
      <c r="AI175" s="167">
        <v>2.6</v>
      </c>
      <c r="AJ175" s="167">
        <v>42</v>
      </c>
      <c r="AK175" s="167" t="s">
        <v>52</v>
      </c>
      <c r="AL175" s="167" t="s">
        <v>52</v>
      </c>
      <c r="AM175" s="167" t="s">
        <v>52</v>
      </c>
      <c r="AN175" s="203" t="s">
        <v>52</v>
      </c>
      <c r="AO175" s="203" t="s">
        <v>52</v>
      </c>
      <c r="AP175" s="203" t="s">
        <v>52</v>
      </c>
      <c r="AQ175" s="203" t="s">
        <v>52</v>
      </c>
      <c r="AR175" s="112"/>
      <c r="AS175" s="112"/>
    </row>
    <row r="176" spans="1:48" s="134" customFormat="1" ht="19" customHeight="1">
      <c r="A176" s="342"/>
      <c r="B176" s="117"/>
      <c r="C176" s="133"/>
      <c r="D176" s="116"/>
      <c r="E176" s="116"/>
      <c r="F176" s="116"/>
      <c r="G176" s="116"/>
      <c r="H176" s="283"/>
      <c r="I176" s="283" t="str">
        <f t="shared" si="6"/>
        <v/>
      </c>
      <c r="J176" s="112"/>
      <c r="M176" s="135"/>
      <c r="N176" s="135"/>
      <c r="O176" s="135"/>
      <c r="P176" s="135"/>
      <c r="Q176" s="135"/>
      <c r="R176" s="135"/>
      <c r="S176" s="135"/>
      <c r="U176" s="136"/>
      <c r="Z176" s="165"/>
      <c r="AA176" s="165"/>
      <c r="AB176" s="165"/>
      <c r="AD176" s="165" t="s">
        <v>527</v>
      </c>
      <c r="AE176" s="165" t="s">
        <v>95</v>
      </c>
      <c r="AF176" s="165" t="s">
        <v>515</v>
      </c>
      <c r="AG176" s="166" t="s">
        <v>52</v>
      </c>
      <c r="AH176" s="167">
        <v>3.23</v>
      </c>
      <c r="AI176" s="167">
        <v>1.49</v>
      </c>
      <c r="AJ176" s="167">
        <v>42</v>
      </c>
      <c r="AK176" s="167" t="s">
        <v>52</v>
      </c>
      <c r="AL176" s="167" t="s">
        <v>52</v>
      </c>
      <c r="AM176" s="167" t="s">
        <v>52</v>
      </c>
      <c r="AN176" s="203" t="s">
        <v>52</v>
      </c>
      <c r="AO176" s="203" t="s">
        <v>52</v>
      </c>
      <c r="AP176" s="203" t="s">
        <v>52</v>
      </c>
      <c r="AQ176" s="203" t="s">
        <v>52</v>
      </c>
      <c r="AR176" s="112"/>
      <c r="AS176" s="112"/>
    </row>
    <row r="177" spans="1:48" s="134" customFormat="1" ht="19" customHeight="1">
      <c r="A177" s="133" t="s">
        <v>519</v>
      </c>
      <c r="B177" s="117">
        <v>129.19999999999999</v>
      </c>
      <c r="C177" s="133" t="s">
        <v>47</v>
      </c>
      <c r="D177" s="88" t="s">
        <v>454</v>
      </c>
      <c r="E177" s="116" t="s">
        <v>66</v>
      </c>
      <c r="F177" s="116" t="s">
        <v>49</v>
      </c>
      <c r="G177" s="116" t="s">
        <v>239</v>
      </c>
      <c r="H177" s="283" t="s">
        <v>924</v>
      </c>
      <c r="I177" s="283" t="str">
        <f t="shared" si="6"/>
        <v xml:space="preserve">m </v>
      </c>
      <c r="J177" s="112">
        <v>1</v>
      </c>
      <c r="K177" s="134" t="s">
        <v>531</v>
      </c>
      <c r="L177" s="134">
        <v>5</v>
      </c>
      <c r="M177" s="135">
        <v>10.5</v>
      </c>
      <c r="N177" s="135">
        <v>1</v>
      </c>
      <c r="O177" s="135" t="s">
        <v>52</v>
      </c>
      <c r="P177" s="135" t="s">
        <v>52</v>
      </c>
      <c r="Q177" s="135" t="s">
        <v>52</v>
      </c>
      <c r="R177" s="135">
        <v>0.5</v>
      </c>
      <c r="S177" s="135">
        <v>0.78</v>
      </c>
      <c r="T177" s="134" t="s">
        <v>92</v>
      </c>
      <c r="U177" s="136" t="s">
        <v>521</v>
      </c>
      <c r="V177" s="134" t="s">
        <v>458</v>
      </c>
      <c r="W177" s="134" t="s">
        <v>153</v>
      </c>
      <c r="X177" s="60" t="s">
        <v>459</v>
      </c>
      <c r="Y177" s="134" t="s">
        <v>58</v>
      </c>
      <c r="Z177" s="165">
        <v>7650</v>
      </c>
      <c r="AA177" s="165">
        <v>85</v>
      </c>
      <c r="AB177" s="165">
        <v>90</v>
      </c>
      <c r="AC177" s="134" t="s">
        <v>59</v>
      </c>
      <c r="AD177" s="134" t="s">
        <v>522</v>
      </c>
      <c r="AE177" s="134" t="s">
        <v>95</v>
      </c>
      <c r="AF177" s="60" t="s">
        <v>515</v>
      </c>
      <c r="AG177" s="154" t="s">
        <v>52</v>
      </c>
      <c r="AH177" s="112" t="s">
        <v>52</v>
      </c>
      <c r="AI177" s="112" t="s">
        <v>52</v>
      </c>
      <c r="AJ177" s="112" t="s">
        <v>52</v>
      </c>
      <c r="AK177" s="112">
        <v>14.61</v>
      </c>
      <c r="AL177" s="112">
        <v>2.67</v>
      </c>
      <c r="AM177" s="112">
        <v>40</v>
      </c>
      <c r="AN177" s="203" t="s">
        <v>52</v>
      </c>
      <c r="AO177" s="203" t="s">
        <v>52</v>
      </c>
      <c r="AP177" s="203" t="s">
        <v>52</v>
      </c>
      <c r="AQ177" s="203" t="s">
        <v>52</v>
      </c>
      <c r="AR177" s="112"/>
      <c r="AS177" s="112"/>
    </row>
    <row r="178" spans="1:48" s="134" customFormat="1" ht="19" customHeight="1">
      <c r="A178" s="133"/>
      <c r="B178" s="117"/>
      <c r="C178" s="133"/>
      <c r="D178" s="116"/>
      <c r="E178" s="116"/>
      <c r="F178" s="116"/>
      <c r="G178" s="116"/>
      <c r="H178" s="283"/>
      <c r="I178" s="283" t="str">
        <f t="shared" si="6"/>
        <v/>
      </c>
      <c r="J178" s="112"/>
      <c r="M178" s="135"/>
      <c r="N178" s="135"/>
      <c r="O178" s="135"/>
      <c r="P178" s="135"/>
      <c r="Q178" s="135"/>
      <c r="R178" s="135"/>
      <c r="S178" s="135"/>
      <c r="U178" s="136"/>
      <c r="Z178" s="165"/>
      <c r="AA178" s="165"/>
      <c r="AB178" s="165"/>
      <c r="AD178" s="134" t="s">
        <v>524</v>
      </c>
      <c r="AE178" s="134" t="s">
        <v>95</v>
      </c>
      <c r="AF178" s="60" t="s">
        <v>515</v>
      </c>
      <c r="AG178" s="154" t="s">
        <v>52</v>
      </c>
      <c r="AH178" s="112" t="s">
        <v>52</v>
      </c>
      <c r="AI178" s="112" t="s">
        <v>52</v>
      </c>
      <c r="AJ178" s="112" t="s">
        <v>52</v>
      </c>
      <c r="AK178" s="112">
        <v>5.9</v>
      </c>
      <c r="AL178" s="112">
        <v>1.61</v>
      </c>
      <c r="AM178" s="112">
        <v>40</v>
      </c>
      <c r="AN178" s="203" t="s">
        <v>52</v>
      </c>
      <c r="AO178" s="203" t="s">
        <v>52</v>
      </c>
      <c r="AP178" s="203" t="s">
        <v>52</v>
      </c>
      <c r="AQ178" s="203" t="s">
        <v>52</v>
      </c>
      <c r="AR178" s="112"/>
      <c r="AS178" s="112"/>
    </row>
    <row r="179" spans="1:48" s="134" customFormat="1" ht="19" customHeight="1">
      <c r="A179" s="133"/>
      <c r="B179" s="117"/>
      <c r="C179" s="133"/>
      <c r="D179" s="116"/>
      <c r="E179" s="116"/>
      <c r="F179" s="116"/>
      <c r="G179" s="116"/>
      <c r="H179" s="283"/>
      <c r="I179" s="283" t="str">
        <f t="shared" si="6"/>
        <v/>
      </c>
      <c r="J179" s="112"/>
      <c r="M179" s="135"/>
      <c r="N179" s="135"/>
      <c r="O179" s="135"/>
      <c r="P179" s="135"/>
      <c r="Q179" s="135"/>
      <c r="R179" s="135"/>
      <c r="S179" s="135"/>
      <c r="U179" s="136"/>
      <c r="Z179" s="165"/>
      <c r="AA179" s="165"/>
      <c r="AB179" s="165"/>
      <c r="AD179" s="134" t="s">
        <v>525</v>
      </c>
      <c r="AE179" s="134" t="s">
        <v>95</v>
      </c>
      <c r="AF179" s="60" t="s">
        <v>515</v>
      </c>
      <c r="AG179" s="154" t="s">
        <v>52</v>
      </c>
      <c r="AH179" s="112" t="s">
        <v>52</v>
      </c>
      <c r="AI179" s="112" t="s">
        <v>52</v>
      </c>
      <c r="AJ179" s="112" t="s">
        <v>52</v>
      </c>
      <c r="AK179" s="112">
        <v>8.7100000000000009</v>
      </c>
      <c r="AL179" s="112">
        <v>1.47</v>
      </c>
      <c r="AM179" s="112">
        <v>40</v>
      </c>
      <c r="AN179" s="203" t="s">
        <v>52</v>
      </c>
      <c r="AO179" s="203" t="s">
        <v>52</v>
      </c>
      <c r="AP179" s="203" t="s">
        <v>52</v>
      </c>
      <c r="AQ179" s="203" t="s">
        <v>52</v>
      </c>
      <c r="AR179" s="112"/>
      <c r="AS179" s="112"/>
    </row>
    <row r="180" spans="1:48" s="134" customFormat="1" ht="19" customHeight="1">
      <c r="A180" s="133"/>
      <c r="B180" s="117"/>
      <c r="C180" s="133"/>
      <c r="D180" s="116"/>
      <c r="E180" s="116"/>
      <c r="F180" s="116"/>
      <c r="G180" s="116"/>
      <c r="H180" s="283"/>
      <c r="I180" s="283" t="str">
        <f t="shared" si="6"/>
        <v/>
      </c>
      <c r="J180" s="112"/>
      <c r="M180" s="135"/>
      <c r="N180" s="135"/>
      <c r="O180" s="135"/>
      <c r="P180" s="135"/>
      <c r="Q180" s="135"/>
      <c r="R180" s="135"/>
      <c r="S180" s="135"/>
      <c r="U180" s="136"/>
      <c r="Z180" s="165"/>
      <c r="AA180" s="165"/>
      <c r="AB180" s="165"/>
      <c r="AD180" s="165" t="s">
        <v>526</v>
      </c>
      <c r="AE180" s="165" t="s">
        <v>95</v>
      </c>
      <c r="AF180" s="165" t="s">
        <v>515</v>
      </c>
      <c r="AG180" s="166" t="s">
        <v>52</v>
      </c>
      <c r="AH180" s="167">
        <v>7.06</v>
      </c>
      <c r="AI180" s="167">
        <v>2.56</v>
      </c>
      <c r="AJ180" s="167">
        <v>40</v>
      </c>
      <c r="AK180" s="167" t="s">
        <v>52</v>
      </c>
      <c r="AL180" s="167" t="s">
        <v>52</v>
      </c>
      <c r="AM180" s="167" t="s">
        <v>52</v>
      </c>
      <c r="AN180" s="203" t="s">
        <v>52</v>
      </c>
      <c r="AO180" s="203" t="s">
        <v>52</v>
      </c>
      <c r="AP180" s="203" t="s">
        <v>52</v>
      </c>
      <c r="AQ180" s="203" t="s">
        <v>52</v>
      </c>
      <c r="AR180" s="112"/>
      <c r="AS180" s="112"/>
    </row>
    <row r="181" spans="1:48" s="134" customFormat="1" ht="19" customHeight="1">
      <c r="A181" s="133"/>
      <c r="B181" s="117"/>
      <c r="C181" s="133"/>
      <c r="D181" s="116"/>
      <c r="E181" s="116"/>
      <c r="F181" s="116"/>
      <c r="G181" s="116"/>
      <c r="H181" s="283"/>
      <c r="I181" s="283" t="str">
        <f t="shared" si="6"/>
        <v/>
      </c>
      <c r="J181" s="112"/>
      <c r="M181" s="135"/>
      <c r="N181" s="135"/>
      <c r="O181" s="135"/>
      <c r="P181" s="135"/>
      <c r="Q181" s="135"/>
      <c r="R181" s="135"/>
      <c r="S181" s="135"/>
      <c r="U181" s="136"/>
      <c r="Z181" s="165"/>
      <c r="AA181" s="165"/>
      <c r="AB181" s="165"/>
      <c r="AD181" s="165" t="s">
        <v>527</v>
      </c>
      <c r="AE181" s="165" t="s">
        <v>95</v>
      </c>
      <c r="AF181" s="165" t="s">
        <v>515</v>
      </c>
      <c r="AG181" s="166" t="s">
        <v>52</v>
      </c>
      <c r="AH181" s="167">
        <v>3.31</v>
      </c>
      <c r="AI181" s="167">
        <v>1.49</v>
      </c>
      <c r="AJ181" s="167">
        <v>40</v>
      </c>
      <c r="AK181" s="167" t="s">
        <v>52</v>
      </c>
      <c r="AL181" s="167" t="s">
        <v>52</v>
      </c>
      <c r="AM181" s="167" t="s">
        <v>52</v>
      </c>
      <c r="AN181" s="203" t="s">
        <v>52</v>
      </c>
      <c r="AO181" s="203" t="s">
        <v>52</v>
      </c>
      <c r="AP181" s="203" t="s">
        <v>52</v>
      </c>
      <c r="AQ181" s="203" t="s">
        <v>52</v>
      </c>
      <c r="AR181" s="112"/>
      <c r="AS181" s="112"/>
      <c r="AT181"/>
      <c r="AV181" s="134" t="s">
        <v>532</v>
      </c>
    </row>
    <row r="182" spans="1:48" s="134" customFormat="1" ht="19" customHeight="1">
      <c r="A182" s="133"/>
      <c r="B182" s="117"/>
      <c r="C182" s="133"/>
      <c r="D182" s="116"/>
      <c r="E182" s="116"/>
      <c r="F182" s="116"/>
      <c r="G182" s="116"/>
      <c r="H182" s="283" t="s">
        <v>919</v>
      </c>
      <c r="I182" s="283" t="str">
        <f t="shared" si="6"/>
        <v xml:space="preserve">m </v>
      </c>
      <c r="J182" s="112">
        <v>0</v>
      </c>
      <c r="K182" s="134" t="s">
        <v>533</v>
      </c>
      <c r="L182" s="134">
        <v>5</v>
      </c>
      <c r="M182" s="135">
        <v>10.5</v>
      </c>
      <c r="N182" s="135">
        <v>1</v>
      </c>
      <c r="O182" s="135" t="s">
        <v>52</v>
      </c>
      <c r="P182" s="135" t="s">
        <v>52</v>
      </c>
      <c r="Q182" s="135" t="s">
        <v>52</v>
      </c>
      <c r="R182" s="135">
        <v>0.5</v>
      </c>
      <c r="S182" s="135">
        <v>0.78</v>
      </c>
      <c r="T182" s="134" t="s">
        <v>92</v>
      </c>
      <c r="U182" s="136" t="s">
        <v>529</v>
      </c>
      <c r="V182" s="134" t="s">
        <v>466</v>
      </c>
      <c r="W182" s="134" t="s">
        <v>153</v>
      </c>
      <c r="X182" s="134" t="s">
        <v>78</v>
      </c>
      <c r="Y182" s="134" t="s">
        <v>58</v>
      </c>
      <c r="Z182" s="134" t="s">
        <v>78</v>
      </c>
      <c r="AA182" s="134" t="s">
        <v>78</v>
      </c>
      <c r="AB182" s="134" t="s">
        <v>78</v>
      </c>
      <c r="AC182" s="134" t="s">
        <v>78</v>
      </c>
      <c r="AD182" s="134" t="s">
        <v>522</v>
      </c>
      <c r="AE182" s="134" t="s">
        <v>95</v>
      </c>
      <c r="AF182" s="134" t="s">
        <v>530</v>
      </c>
      <c r="AG182" s="154" t="s">
        <v>52</v>
      </c>
      <c r="AH182" s="112" t="s">
        <v>52</v>
      </c>
      <c r="AI182" s="112" t="s">
        <v>52</v>
      </c>
      <c r="AJ182" s="112" t="s">
        <v>52</v>
      </c>
      <c r="AK182" s="112">
        <v>13.61</v>
      </c>
      <c r="AL182" s="112">
        <v>1.98</v>
      </c>
      <c r="AM182" s="112">
        <v>42</v>
      </c>
      <c r="AN182" s="203" t="s">
        <v>52</v>
      </c>
      <c r="AO182" s="203" t="s">
        <v>52</v>
      </c>
      <c r="AP182" s="203" t="s">
        <v>52</v>
      </c>
      <c r="AQ182" s="203" t="s">
        <v>52</v>
      </c>
      <c r="AR182" s="112"/>
      <c r="AS182" s="112"/>
    </row>
    <row r="183" spans="1:48" s="134" customFormat="1" ht="19" customHeight="1">
      <c r="A183" s="133"/>
      <c r="B183" s="117"/>
      <c r="C183" s="133"/>
      <c r="D183" s="116"/>
      <c r="E183" s="116"/>
      <c r="F183" s="116"/>
      <c r="G183" s="116"/>
      <c r="H183" s="283"/>
      <c r="I183" s="283" t="str">
        <f t="shared" si="6"/>
        <v/>
      </c>
      <c r="J183" s="112"/>
      <c r="M183" s="135"/>
      <c r="N183" s="135"/>
      <c r="O183" s="135"/>
      <c r="P183" s="135"/>
      <c r="Q183" s="135"/>
      <c r="R183" s="135"/>
      <c r="S183" s="135"/>
      <c r="U183" s="136"/>
      <c r="AD183" s="134" t="s">
        <v>524</v>
      </c>
      <c r="AE183" s="134" t="s">
        <v>95</v>
      </c>
      <c r="AF183" s="134" t="s">
        <v>530</v>
      </c>
      <c r="AG183" s="154" t="s">
        <v>52</v>
      </c>
      <c r="AH183" s="112" t="s">
        <v>52</v>
      </c>
      <c r="AI183" s="112" t="s">
        <v>52</v>
      </c>
      <c r="AJ183" s="112" t="s">
        <v>52</v>
      </c>
      <c r="AK183" s="112">
        <v>4.67</v>
      </c>
      <c r="AL183" s="112">
        <v>1.44</v>
      </c>
      <c r="AM183" s="112">
        <v>42</v>
      </c>
      <c r="AN183" s="203" t="s">
        <v>52</v>
      </c>
      <c r="AO183" s="203" t="s">
        <v>52</v>
      </c>
      <c r="AP183" s="203" t="s">
        <v>52</v>
      </c>
      <c r="AQ183" s="203" t="s">
        <v>52</v>
      </c>
      <c r="AR183" s="112"/>
      <c r="AS183" s="112"/>
    </row>
    <row r="184" spans="1:48" s="134" customFormat="1" ht="19" customHeight="1">
      <c r="A184" s="133"/>
      <c r="B184" s="117"/>
      <c r="C184" s="133"/>
      <c r="D184" s="116"/>
      <c r="E184" s="116"/>
      <c r="F184" s="116"/>
      <c r="G184" s="116"/>
      <c r="H184" s="283"/>
      <c r="I184" s="283" t="str">
        <f t="shared" si="6"/>
        <v/>
      </c>
      <c r="J184" s="112"/>
      <c r="M184" s="135"/>
      <c r="N184" s="135"/>
      <c r="O184" s="135"/>
      <c r="P184" s="135"/>
      <c r="Q184" s="135"/>
      <c r="R184" s="135"/>
      <c r="S184" s="135"/>
      <c r="U184" s="136"/>
      <c r="AD184" s="134" t="s">
        <v>525</v>
      </c>
      <c r="AE184" s="134" t="s">
        <v>95</v>
      </c>
      <c r="AF184" s="134" t="s">
        <v>530</v>
      </c>
      <c r="AG184" s="154" t="s">
        <v>52</v>
      </c>
      <c r="AH184" s="112" t="s">
        <v>52</v>
      </c>
      <c r="AI184" s="112" t="s">
        <v>52</v>
      </c>
      <c r="AJ184" s="112" t="s">
        <v>52</v>
      </c>
      <c r="AK184" s="112">
        <v>8.65</v>
      </c>
      <c r="AL184" s="112">
        <v>1.51</v>
      </c>
      <c r="AM184" s="112">
        <v>42</v>
      </c>
      <c r="AN184" s="203" t="s">
        <v>52</v>
      </c>
      <c r="AO184" s="203" t="s">
        <v>52</v>
      </c>
      <c r="AP184" s="203" t="s">
        <v>52</v>
      </c>
      <c r="AQ184" s="203" t="s">
        <v>52</v>
      </c>
      <c r="AR184" s="112"/>
      <c r="AS184" s="112"/>
    </row>
    <row r="185" spans="1:48" s="134" customFormat="1" ht="19" customHeight="1">
      <c r="A185" s="133"/>
      <c r="B185" s="117"/>
      <c r="C185" s="133"/>
      <c r="D185" s="116"/>
      <c r="E185" s="116"/>
      <c r="F185" s="116"/>
      <c r="G185" s="116"/>
      <c r="H185" s="283"/>
      <c r="I185" s="283" t="str">
        <f t="shared" si="6"/>
        <v/>
      </c>
      <c r="J185" s="112"/>
      <c r="M185" s="135"/>
      <c r="N185" s="135"/>
      <c r="O185" s="135"/>
      <c r="P185" s="135"/>
      <c r="Q185" s="135"/>
      <c r="R185" s="135"/>
      <c r="S185" s="135"/>
      <c r="U185" s="136"/>
      <c r="AD185" s="165" t="s">
        <v>526</v>
      </c>
      <c r="AE185" s="165" t="s">
        <v>95</v>
      </c>
      <c r="AF185" s="165" t="s">
        <v>530</v>
      </c>
      <c r="AG185" s="166" t="s">
        <v>52</v>
      </c>
      <c r="AH185" s="167">
        <v>6.65</v>
      </c>
      <c r="AI185" s="167">
        <v>1.87</v>
      </c>
      <c r="AJ185" s="167">
        <v>42</v>
      </c>
      <c r="AK185" s="167" t="s">
        <v>52</v>
      </c>
      <c r="AL185" s="167" t="s">
        <v>52</v>
      </c>
      <c r="AM185" s="167" t="s">
        <v>52</v>
      </c>
      <c r="AN185" s="203" t="s">
        <v>52</v>
      </c>
      <c r="AO185" s="203" t="s">
        <v>52</v>
      </c>
      <c r="AP185" s="203" t="s">
        <v>52</v>
      </c>
      <c r="AQ185" s="203" t="s">
        <v>52</v>
      </c>
      <c r="AR185" s="112"/>
      <c r="AS185" s="112"/>
    </row>
    <row r="186" spans="1:48" s="138" customFormat="1" ht="19" customHeight="1">
      <c r="A186" s="137"/>
      <c r="B186" s="123"/>
      <c r="C186" s="137"/>
      <c r="D186" s="122"/>
      <c r="E186" s="122"/>
      <c r="F186" s="122"/>
      <c r="G186" s="122"/>
      <c r="H186" s="284"/>
      <c r="I186" s="284" t="str">
        <f t="shared" si="6"/>
        <v/>
      </c>
      <c r="J186" s="113"/>
      <c r="M186" s="139"/>
      <c r="N186" s="139"/>
      <c r="O186" s="139"/>
      <c r="P186" s="139"/>
      <c r="Q186" s="139"/>
      <c r="R186" s="139"/>
      <c r="S186" s="139"/>
      <c r="U186" s="140"/>
      <c r="AD186" s="168" t="s">
        <v>527</v>
      </c>
      <c r="AE186" s="168" t="s">
        <v>95</v>
      </c>
      <c r="AF186" s="168" t="s">
        <v>530</v>
      </c>
      <c r="AG186" s="169" t="s">
        <v>52</v>
      </c>
      <c r="AH186" s="170">
        <v>3.35</v>
      </c>
      <c r="AI186" s="170">
        <v>0.89</v>
      </c>
      <c r="AJ186" s="170">
        <v>42</v>
      </c>
      <c r="AK186" s="170" t="s">
        <v>52</v>
      </c>
      <c r="AL186" s="170" t="s">
        <v>52</v>
      </c>
      <c r="AM186" s="170" t="s">
        <v>52</v>
      </c>
      <c r="AN186" s="204" t="s">
        <v>52</v>
      </c>
      <c r="AO186" s="204" t="s">
        <v>52</v>
      </c>
      <c r="AP186" s="204" t="s">
        <v>52</v>
      </c>
      <c r="AQ186" s="204" t="s">
        <v>52</v>
      </c>
      <c r="AR186" s="113"/>
      <c r="AS186" s="113"/>
    </row>
    <row r="187" spans="1:48" s="60" customFormat="1" ht="19" customHeight="1">
      <c r="A187" s="129" t="s">
        <v>534</v>
      </c>
      <c r="B187" s="130">
        <v>130</v>
      </c>
      <c r="C187" s="129" t="s">
        <v>245</v>
      </c>
      <c r="D187" s="88" t="s">
        <v>535</v>
      </c>
      <c r="E187" s="88" t="s">
        <v>66</v>
      </c>
      <c r="F187" s="88" t="s">
        <v>49</v>
      </c>
      <c r="G187" s="88" t="s">
        <v>50</v>
      </c>
      <c r="H187" s="285" t="s">
        <v>924</v>
      </c>
      <c r="I187" s="285" t="str">
        <f t="shared" si="6"/>
        <v xml:space="preserve">m </v>
      </c>
      <c r="J187" s="112">
        <v>1</v>
      </c>
      <c r="K187" s="60" t="s">
        <v>198</v>
      </c>
      <c r="L187" s="99">
        <v>7</v>
      </c>
      <c r="M187" s="161">
        <v>13.5833333333333</v>
      </c>
      <c r="N187" s="90" t="s">
        <v>52</v>
      </c>
      <c r="O187" s="90" t="s">
        <v>52</v>
      </c>
      <c r="P187" s="90">
        <v>0.8</v>
      </c>
      <c r="Q187" s="90" t="s">
        <v>52</v>
      </c>
      <c r="R187" s="90">
        <v>0.3</v>
      </c>
      <c r="S187" s="90" t="s">
        <v>52</v>
      </c>
      <c r="T187" s="60" t="s">
        <v>92</v>
      </c>
      <c r="U187" s="92" t="s">
        <v>536</v>
      </c>
      <c r="V187" s="60" t="s">
        <v>458</v>
      </c>
      <c r="W187" s="60" t="s">
        <v>153</v>
      </c>
      <c r="X187" s="60" t="s">
        <v>459</v>
      </c>
      <c r="Y187" s="60" t="s">
        <v>72</v>
      </c>
      <c r="Z187" s="60">
        <v>405</v>
      </c>
      <c r="AA187" s="60">
        <v>9</v>
      </c>
      <c r="AB187" s="60">
        <v>45</v>
      </c>
      <c r="AC187" s="60" t="s">
        <v>59</v>
      </c>
      <c r="AD187" s="60" t="s">
        <v>537</v>
      </c>
      <c r="AE187" s="60" t="s">
        <v>61</v>
      </c>
      <c r="AF187" s="60" t="s">
        <v>538</v>
      </c>
      <c r="AG187" s="146" t="s">
        <v>539</v>
      </c>
      <c r="AH187" s="127">
        <v>12.73</v>
      </c>
      <c r="AI187" s="127">
        <v>4.38</v>
      </c>
      <c r="AJ187" s="127">
        <v>40</v>
      </c>
      <c r="AK187" s="127">
        <v>13.77</v>
      </c>
      <c r="AL187" s="127">
        <v>4.9400000000000004</v>
      </c>
      <c r="AM187" s="127">
        <v>40</v>
      </c>
      <c r="AN187" s="203" t="s">
        <v>52</v>
      </c>
      <c r="AO187" s="203" t="s">
        <v>52</v>
      </c>
      <c r="AP187" s="203" t="s">
        <v>52</v>
      </c>
      <c r="AQ187" s="203" t="s">
        <v>52</v>
      </c>
      <c r="AR187" s="127"/>
      <c r="AS187" s="127"/>
    </row>
    <row r="188" spans="1:48" s="63" customFormat="1" ht="19" customHeight="1">
      <c r="A188" s="131"/>
      <c r="B188" s="132"/>
      <c r="C188" s="131"/>
      <c r="D188" s="89"/>
      <c r="E188" s="89"/>
      <c r="F188" s="89"/>
      <c r="G188" s="89"/>
      <c r="H188" s="286" t="s">
        <v>919</v>
      </c>
      <c r="I188" s="286" t="str">
        <f t="shared" si="6"/>
        <v>.</v>
      </c>
      <c r="J188" s="113">
        <v>0</v>
      </c>
      <c r="K188" s="63" t="s">
        <v>540</v>
      </c>
      <c r="L188" s="100">
        <v>7</v>
      </c>
      <c r="M188" s="162">
        <v>13.5</v>
      </c>
      <c r="N188" s="93" t="s">
        <v>52</v>
      </c>
      <c r="O188" s="93" t="s">
        <v>52</v>
      </c>
      <c r="P188" s="93">
        <v>0.8</v>
      </c>
      <c r="Q188" s="93" t="s">
        <v>52</v>
      </c>
      <c r="R188" s="93">
        <v>0.24</v>
      </c>
      <c r="S188" s="93" t="s">
        <v>52</v>
      </c>
      <c r="T188" s="63" t="s">
        <v>78</v>
      </c>
      <c r="U188" s="95" t="s">
        <v>541</v>
      </c>
      <c r="V188" s="63" t="s">
        <v>80</v>
      </c>
      <c r="W188" s="63" t="s">
        <v>78</v>
      </c>
      <c r="X188" s="63" t="s">
        <v>78</v>
      </c>
      <c r="Y188" s="63" t="s">
        <v>78</v>
      </c>
      <c r="Z188" s="63" t="s">
        <v>78</v>
      </c>
      <c r="AA188" s="63" t="s">
        <v>78</v>
      </c>
      <c r="AB188" s="63" t="s">
        <v>78</v>
      </c>
      <c r="AC188" s="63" t="s">
        <v>78</v>
      </c>
      <c r="AD188" s="63" t="s">
        <v>537</v>
      </c>
      <c r="AE188" s="63" t="s">
        <v>61</v>
      </c>
      <c r="AF188" s="63" t="s">
        <v>538</v>
      </c>
      <c r="AG188" s="147" t="s">
        <v>539</v>
      </c>
      <c r="AH188" s="128">
        <v>13.14</v>
      </c>
      <c r="AI188" s="128">
        <v>4.5199999999999996</v>
      </c>
      <c r="AJ188" s="128">
        <v>50</v>
      </c>
      <c r="AK188" s="128">
        <v>11.96</v>
      </c>
      <c r="AL188" s="128">
        <v>5.32</v>
      </c>
      <c r="AM188" s="128">
        <v>50</v>
      </c>
      <c r="AN188" s="204" t="s">
        <v>52</v>
      </c>
      <c r="AO188" s="204" t="s">
        <v>52</v>
      </c>
      <c r="AP188" s="204" t="s">
        <v>52</v>
      </c>
      <c r="AQ188" s="204" t="s">
        <v>52</v>
      </c>
      <c r="AR188" s="128"/>
      <c r="AS188" s="128"/>
    </row>
    <row r="189" spans="1:48" s="60" customFormat="1" ht="19" customHeight="1">
      <c r="A189" s="116" t="s">
        <v>709</v>
      </c>
      <c r="B189" s="117">
        <v>131</v>
      </c>
      <c r="C189" s="116" t="s">
        <v>47</v>
      </c>
      <c r="D189" s="88" t="s">
        <v>454</v>
      </c>
      <c r="E189" s="88" t="s">
        <v>66</v>
      </c>
      <c r="F189" s="88" t="s">
        <v>49</v>
      </c>
      <c r="G189" s="88" t="s">
        <v>50</v>
      </c>
      <c r="H189" s="285" t="s">
        <v>926</v>
      </c>
      <c r="I189" s="285" t="str">
        <f t="shared" si="6"/>
        <v xml:space="preserve">m </v>
      </c>
      <c r="J189" s="127">
        <v>1</v>
      </c>
      <c r="K189" s="60" t="s">
        <v>542</v>
      </c>
      <c r="L189" s="60" t="s">
        <v>68</v>
      </c>
      <c r="M189" s="90">
        <v>11.2</v>
      </c>
      <c r="N189" s="90">
        <v>1</v>
      </c>
      <c r="O189" s="90" t="s">
        <v>52</v>
      </c>
      <c r="P189" s="90">
        <v>0.85</v>
      </c>
      <c r="Q189" s="90">
        <v>0.25</v>
      </c>
      <c r="R189" s="90">
        <v>0.52500000000000002</v>
      </c>
      <c r="S189" s="90">
        <v>0.74</v>
      </c>
      <c r="T189" s="60" t="s">
        <v>92</v>
      </c>
      <c r="U189" s="141" t="s">
        <v>543</v>
      </c>
      <c r="V189" s="60" t="s">
        <v>458</v>
      </c>
      <c r="W189" s="60" t="s">
        <v>56</v>
      </c>
      <c r="X189" s="60" t="s">
        <v>57</v>
      </c>
      <c r="Y189" s="60" t="s">
        <v>72</v>
      </c>
      <c r="Z189" s="60">
        <v>525</v>
      </c>
      <c r="AA189" s="60">
        <v>15</v>
      </c>
      <c r="AB189" s="60">
        <v>35</v>
      </c>
      <c r="AC189" s="60" t="s">
        <v>59</v>
      </c>
      <c r="AD189" s="60" t="s">
        <v>544</v>
      </c>
      <c r="AE189" s="134" t="s">
        <v>95</v>
      </c>
      <c r="AF189" s="60" t="s">
        <v>461</v>
      </c>
      <c r="AG189" s="152" t="s">
        <v>545</v>
      </c>
      <c r="AH189" s="120">
        <v>4.5</v>
      </c>
      <c r="AI189" s="120">
        <v>2.7</v>
      </c>
      <c r="AJ189" s="120">
        <v>10</v>
      </c>
      <c r="AK189" s="120">
        <v>6.3</v>
      </c>
      <c r="AL189" s="120">
        <v>3.1</v>
      </c>
      <c r="AM189" s="127">
        <v>10</v>
      </c>
      <c r="AN189" s="203" t="s">
        <v>52</v>
      </c>
      <c r="AO189" s="203" t="s">
        <v>52</v>
      </c>
      <c r="AP189" s="203" t="s">
        <v>52</v>
      </c>
      <c r="AQ189" s="203" t="s">
        <v>52</v>
      </c>
      <c r="AR189" s="127"/>
      <c r="AS189" s="127"/>
    </row>
    <row r="190" spans="1:48" s="60" customFormat="1" ht="19" customHeight="1">
      <c r="A190" s="116"/>
      <c r="B190" s="117"/>
      <c r="C190" s="116"/>
      <c r="D190" s="88"/>
      <c r="E190" s="88"/>
      <c r="F190" s="88"/>
      <c r="G190" s="88"/>
      <c r="H190" s="285" t="s">
        <v>926</v>
      </c>
      <c r="I190" s="285" t="str">
        <f t="shared" si="6"/>
        <v xml:space="preserve">m </v>
      </c>
      <c r="J190" s="127">
        <v>2</v>
      </c>
      <c r="K190" s="60" t="s">
        <v>546</v>
      </c>
      <c r="L190" s="60" t="s">
        <v>68</v>
      </c>
      <c r="M190" s="90">
        <v>11.2</v>
      </c>
      <c r="N190" s="90">
        <v>1</v>
      </c>
      <c r="O190" s="90" t="s">
        <v>52</v>
      </c>
      <c r="P190" s="90">
        <v>0.85</v>
      </c>
      <c r="Q190" s="90">
        <v>0.25</v>
      </c>
      <c r="R190" s="90">
        <v>0.52500000000000002</v>
      </c>
      <c r="S190" s="90">
        <v>0.74</v>
      </c>
      <c r="T190" s="60" t="s">
        <v>92</v>
      </c>
      <c r="U190" s="92" t="s">
        <v>543</v>
      </c>
      <c r="V190" s="60" t="s">
        <v>458</v>
      </c>
      <c r="W190" s="60" t="s">
        <v>56</v>
      </c>
      <c r="X190" s="60" t="s">
        <v>57</v>
      </c>
      <c r="Y190" s="60" t="s">
        <v>72</v>
      </c>
      <c r="Z190" s="60">
        <v>525</v>
      </c>
      <c r="AA190" s="60">
        <v>15</v>
      </c>
      <c r="AB190" s="60">
        <v>35</v>
      </c>
      <c r="AC190" s="60" t="s">
        <v>59</v>
      </c>
      <c r="AD190" s="60" t="s">
        <v>544</v>
      </c>
      <c r="AE190" s="134" t="s">
        <v>95</v>
      </c>
      <c r="AF190" s="60" t="s">
        <v>461</v>
      </c>
      <c r="AG190" s="152" t="s">
        <v>545</v>
      </c>
      <c r="AH190" s="120">
        <v>4.5</v>
      </c>
      <c r="AI190" s="120">
        <v>2.8</v>
      </c>
      <c r="AJ190" s="120">
        <v>10</v>
      </c>
      <c r="AK190" s="120">
        <v>6.2</v>
      </c>
      <c r="AL190" s="120">
        <v>4.9000000000000004</v>
      </c>
      <c r="AM190" s="127">
        <v>10</v>
      </c>
      <c r="AN190" s="203" t="s">
        <v>52</v>
      </c>
      <c r="AO190" s="203" t="s">
        <v>52</v>
      </c>
      <c r="AP190" s="203" t="s">
        <v>52</v>
      </c>
      <c r="AQ190" s="203" t="s">
        <v>52</v>
      </c>
      <c r="AR190" s="127"/>
      <c r="AS190" s="127"/>
    </row>
    <row r="191" spans="1:48" s="60" customFormat="1" ht="19" customHeight="1">
      <c r="A191" s="116"/>
      <c r="B191" s="117"/>
      <c r="C191" s="116"/>
      <c r="D191" s="88"/>
      <c r="E191" s="88"/>
      <c r="F191" s="88"/>
      <c r="G191" s="88"/>
      <c r="H191" s="285" t="s">
        <v>926</v>
      </c>
      <c r="I191" s="285" t="str">
        <f t="shared" si="6"/>
        <v xml:space="preserve">m </v>
      </c>
      <c r="J191" s="127">
        <v>3</v>
      </c>
      <c r="K191" s="60" t="s">
        <v>547</v>
      </c>
      <c r="L191" s="60" t="s">
        <v>68</v>
      </c>
      <c r="M191" s="90">
        <v>11.2</v>
      </c>
      <c r="N191" s="90">
        <v>1</v>
      </c>
      <c r="O191" s="90" t="s">
        <v>52</v>
      </c>
      <c r="P191" s="90">
        <v>0.85</v>
      </c>
      <c r="Q191" s="90">
        <v>0.25</v>
      </c>
      <c r="R191" s="90">
        <v>0.52500000000000002</v>
      </c>
      <c r="S191" s="90">
        <v>0.74</v>
      </c>
      <c r="T191" s="60" t="s">
        <v>92</v>
      </c>
      <c r="U191" s="92" t="s">
        <v>543</v>
      </c>
      <c r="V191" s="60" t="s">
        <v>458</v>
      </c>
      <c r="W191" s="60" t="s">
        <v>56</v>
      </c>
      <c r="X191" s="60" t="s">
        <v>57</v>
      </c>
      <c r="Y191" s="60" t="s">
        <v>72</v>
      </c>
      <c r="Z191" s="60">
        <v>525</v>
      </c>
      <c r="AA191" s="60">
        <v>15</v>
      </c>
      <c r="AB191" s="60">
        <v>35</v>
      </c>
      <c r="AC191" s="60" t="s">
        <v>59</v>
      </c>
      <c r="AD191" s="60" t="s">
        <v>544</v>
      </c>
      <c r="AE191" s="134" t="s">
        <v>95</v>
      </c>
      <c r="AF191" s="60" t="s">
        <v>461</v>
      </c>
      <c r="AG191" s="152" t="s">
        <v>545</v>
      </c>
      <c r="AH191" s="120">
        <v>4.9000000000000004</v>
      </c>
      <c r="AI191" s="120">
        <v>1.9</v>
      </c>
      <c r="AJ191" s="120">
        <v>10</v>
      </c>
      <c r="AK191" s="120">
        <v>11.2</v>
      </c>
      <c r="AL191" s="120">
        <v>4.9000000000000004</v>
      </c>
      <c r="AM191" s="127">
        <v>10</v>
      </c>
      <c r="AN191" s="203" t="s">
        <v>52</v>
      </c>
      <c r="AO191" s="203" t="s">
        <v>52</v>
      </c>
      <c r="AP191" s="203" t="s">
        <v>52</v>
      </c>
      <c r="AQ191" s="203" t="s">
        <v>52</v>
      </c>
      <c r="AR191" s="127"/>
      <c r="AS191" s="127"/>
    </row>
    <row r="192" spans="1:48" s="63" customFormat="1" ht="19" customHeight="1">
      <c r="A192" s="122"/>
      <c r="B192" s="123"/>
      <c r="C192" s="122"/>
      <c r="D192" s="89"/>
      <c r="E192" s="89"/>
      <c r="F192" s="89"/>
      <c r="G192" s="89"/>
      <c r="H192" s="286" t="s">
        <v>919</v>
      </c>
      <c r="I192" s="286" t="str">
        <f t="shared" si="6"/>
        <v xml:space="preserve">m </v>
      </c>
      <c r="J192" s="128">
        <v>0</v>
      </c>
      <c r="K192" s="63" t="s">
        <v>548</v>
      </c>
      <c r="L192" s="63" t="s">
        <v>68</v>
      </c>
      <c r="M192" s="93">
        <v>11.2</v>
      </c>
      <c r="N192" s="93">
        <v>1</v>
      </c>
      <c r="O192" s="93" t="s">
        <v>52</v>
      </c>
      <c r="P192" s="93">
        <v>0.85</v>
      </c>
      <c r="Q192" s="93">
        <v>0.25</v>
      </c>
      <c r="R192" s="93">
        <v>0.52500000000000002</v>
      </c>
      <c r="S192" s="93">
        <v>0.74</v>
      </c>
      <c r="T192" s="63" t="s">
        <v>92</v>
      </c>
      <c r="U192" s="95" t="s">
        <v>543</v>
      </c>
      <c r="V192" s="63" t="s">
        <v>458</v>
      </c>
      <c r="W192" s="63" t="s">
        <v>56</v>
      </c>
      <c r="X192" s="63" t="s">
        <v>57</v>
      </c>
      <c r="Y192" s="63" t="s">
        <v>72</v>
      </c>
      <c r="Z192" s="63">
        <v>525</v>
      </c>
      <c r="AA192" s="63">
        <v>15</v>
      </c>
      <c r="AB192" s="63">
        <v>35</v>
      </c>
      <c r="AC192" s="63" t="s">
        <v>59</v>
      </c>
      <c r="AD192" s="63" t="s">
        <v>544</v>
      </c>
      <c r="AE192" s="138" t="s">
        <v>95</v>
      </c>
      <c r="AF192" s="63" t="s">
        <v>461</v>
      </c>
      <c r="AG192" s="153" t="s">
        <v>545</v>
      </c>
      <c r="AH192" s="124">
        <v>4.3</v>
      </c>
      <c r="AI192" s="124">
        <v>2.2000000000000002</v>
      </c>
      <c r="AJ192" s="124">
        <v>10</v>
      </c>
      <c r="AK192" s="124">
        <v>6.3</v>
      </c>
      <c r="AL192" s="124">
        <v>2.5</v>
      </c>
      <c r="AM192" s="128">
        <v>10</v>
      </c>
      <c r="AN192" s="204" t="s">
        <v>52</v>
      </c>
      <c r="AO192" s="204" t="s">
        <v>52</v>
      </c>
      <c r="AP192" s="204" t="s">
        <v>52</v>
      </c>
      <c r="AQ192" s="204" t="s">
        <v>52</v>
      </c>
      <c r="AR192" s="128"/>
      <c r="AS192" s="128"/>
    </row>
    <row r="193" spans="1:45" s="60" customFormat="1" ht="19" customHeight="1">
      <c r="A193" s="116" t="s">
        <v>710</v>
      </c>
      <c r="B193" s="117">
        <v>132</v>
      </c>
      <c r="C193" s="116" t="s">
        <v>47</v>
      </c>
      <c r="D193" s="88" t="s">
        <v>454</v>
      </c>
      <c r="E193" s="88" t="s">
        <v>66</v>
      </c>
      <c r="F193" s="88" t="s">
        <v>49</v>
      </c>
      <c r="G193" s="88" t="s">
        <v>50</v>
      </c>
      <c r="H193" s="285" t="s">
        <v>926</v>
      </c>
      <c r="I193" s="285" t="str">
        <f t="shared" si="6"/>
        <v xml:space="preserve">m </v>
      </c>
      <c r="J193" s="127">
        <v>1</v>
      </c>
      <c r="K193" s="60" t="s">
        <v>549</v>
      </c>
      <c r="L193" s="60" t="s">
        <v>68</v>
      </c>
      <c r="M193" s="90">
        <v>11</v>
      </c>
      <c r="N193" s="90">
        <v>1</v>
      </c>
      <c r="O193" s="90" t="s">
        <v>52</v>
      </c>
      <c r="P193" s="90" t="s">
        <v>52</v>
      </c>
      <c r="Q193" s="90" t="s">
        <v>52</v>
      </c>
      <c r="R193" s="90">
        <v>0.5</v>
      </c>
      <c r="S193" s="90" t="s">
        <v>52</v>
      </c>
      <c r="T193" s="60" t="s">
        <v>92</v>
      </c>
      <c r="U193" s="92" t="s">
        <v>550</v>
      </c>
      <c r="V193" s="60" t="s">
        <v>458</v>
      </c>
      <c r="W193" s="60" t="s">
        <v>56</v>
      </c>
      <c r="X193" s="60" t="s">
        <v>57</v>
      </c>
      <c r="Y193" s="60" t="s">
        <v>72</v>
      </c>
      <c r="Z193" s="60">
        <v>525</v>
      </c>
      <c r="AA193" s="60">
        <v>15</v>
      </c>
      <c r="AB193" s="60">
        <v>35</v>
      </c>
      <c r="AC193" s="60" t="s">
        <v>59</v>
      </c>
      <c r="AD193" s="60" t="s">
        <v>544</v>
      </c>
      <c r="AE193" s="60" t="s">
        <v>95</v>
      </c>
      <c r="AF193" s="60" t="s">
        <v>461</v>
      </c>
      <c r="AG193" s="152" t="s">
        <v>545</v>
      </c>
      <c r="AH193" s="120">
        <v>4.5</v>
      </c>
      <c r="AI193" s="120">
        <v>2</v>
      </c>
      <c r="AJ193" s="120">
        <v>10</v>
      </c>
      <c r="AK193" s="120">
        <v>8.1</v>
      </c>
      <c r="AL193" s="120">
        <v>2.6</v>
      </c>
      <c r="AM193" s="127">
        <v>10</v>
      </c>
      <c r="AN193" s="203" t="s">
        <v>52</v>
      </c>
      <c r="AO193" s="203" t="s">
        <v>52</v>
      </c>
      <c r="AP193" s="203" t="s">
        <v>52</v>
      </c>
      <c r="AQ193" s="203" t="s">
        <v>52</v>
      </c>
      <c r="AR193" s="127"/>
      <c r="AS193" s="127"/>
    </row>
    <row r="194" spans="1:45" s="60" customFormat="1" ht="19" customHeight="1">
      <c r="A194" s="116"/>
      <c r="B194" s="117"/>
      <c r="C194" s="116"/>
      <c r="D194" s="88"/>
      <c r="E194" s="88"/>
      <c r="F194" s="88"/>
      <c r="G194" s="88"/>
      <c r="H194" s="285" t="s">
        <v>921</v>
      </c>
      <c r="I194" s="285" t="str">
        <f t="shared" si="6"/>
        <v xml:space="preserve">m </v>
      </c>
      <c r="J194" s="127">
        <v>0</v>
      </c>
      <c r="K194" s="60" t="s">
        <v>551</v>
      </c>
      <c r="L194" s="60" t="s">
        <v>68</v>
      </c>
      <c r="M194" s="90">
        <v>11</v>
      </c>
      <c r="N194" s="90">
        <v>1</v>
      </c>
      <c r="O194" s="90" t="s">
        <v>52</v>
      </c>
      <c r="P194" s="90" t="s">
        <v>52</v>
      </c>
      <c r="Q194" s="90" t="s">
        <v>52</v>
      </c>
      <c r="R194" s="90">
        <v>0.5</v>
      </c>
      <c r="S194" s="90" t="s">
        <v>52</v>
      </c>
      <c r="T194" s="60" t="s">
        <v>92</v>
      </c>
      <c r="U194" s="92" t="s">
        <v>550</v>
      </c>
      <c r="V194" s="60" t="s">
        <v>458</v>
      </c>
      <c r="W194" s="60" t="s">
        <v>56</v>
      </c>
      <c r="X194" s="60" t="s">
        <v>57</v>
      </c>
      <c r="Y194" s="60" t="s">
        <v>72</v>
      </c>
      <c r="Z194" s="60">
        <v>525</v>
      </c>
      <c r="AA194" s="60">
        <v>15</v>
      </c>
      <c r="AB194" s="60">
        <v>35</v>
      </c>
      <c r="AC194" s="60" t="s">
        <v>59</v>
      </c>
      <c r="AD194" s="60" t="s">
        <v>544</v>
      </c>
      <c r="AE194" s="60" t="s">
        <v>95</v>
      </c>
      <c r="AF194" s="60" t="s">
        <v>461</v>
      </c>
      <c r="AG194" s="152" t="s">
        <v>545</v>
      </c>
      <c r="AH194" s="120">
        <v>5.9</v>
      </c>
      <c r="AI194" s="120">
        <v>2.2999999999999998</v>
      </c>
      <c r="AJ194" s="120">
        <v>10</v>
      </c>
      <c r="AK194" s="120">
        <v>7.7</v>
      </c>
      <c r="AL194" s="120">
        <v>3.1</v>
      </c>
      <c r="AM194" s="127">
        <v>10</v>
      </c>
      <c r="AN194" s="203" t="s">
        <v>52</v>
      </c>
      <c r="AO194" s="203" t="s">
        <v>52</v>
      </c>
      <c r="AP194" s="203" t="s">
        <v>52</v>
      </c>
      <c r="AQ194" s="203" t="s">
        <v>52</v>
      </c>
      <c r="AR194" s="127"/>
      <c r="AS194" s="127"/>
    </row>
    <row r="195" spans="1:45" s="63" customFormat="1" ht="19" customHeight="1">
      <c r="A195" s="122"/>
      <c r="B195" s="123"/>
      <c r="C195" s="122"/>
      <c r="D195" s="89"/>
      <c r="E195" s="89"/>
      <c r="F195" s="89"/>
      <c r="G195" s="89"/>
      <c r="H195" s="286" t="s">
        <v>927</v>
      </c>
      <c r="I195" s="286" t="str">
        <f t="shared" si="6"/>
        <v xml:space="preserve">m </v>
      </c>
      <c r="J195" s="128">
        <v>2</v>
      </c>
      <c r="K195" s="63" t="s">
        <v>552</v>
      </c>
      <c r="L195" s="63" t="s">
        <v>68</v>
      </c>
      <c r="M195" s="93">
        <v>11</v>
      </c>
      <c r="N195" s="93">
        <v>1</v>
      </c>
      <c r="O195" s="93" t="s">
        <v>52</v>
      </c>
      <c r="P195" s="93" t="s">
        <v>52</v>
      </c>
      <c r="Q195" s="93" t="s">
        <v>52</v>
      </c>
      <c r="R195" s="93">
        <v>0.5</v>
      </c>
      <c r="S195" s="93" t="s">
        <v>52</v>
      </c>
      <c r="T195" s="63" t="s">
        <v>92</v>
      </c>
      <c r="U195" s="95" t="s">
        <v>550</v>
      </c>
      <c r="V195" s="63" t="s">
        <v>458</v>
      </c>
      <c r="W195" s="63" t="s">
        <v>56</v>
      </c>
      <c r="X195" s="63" t="s">
        <v>57</v>
      </c>
      <c r="Y195" s="63" t="s">
        <v>72</v>
      </c>
      <c r="Z195" s="63">
        <v>525</v>
      </c>
      <c r="AA195" s="63">
        <v>15</v>
      </c>
      <c r="AB195" s="63">
        <v>35</v>
      </c>
      <c r="AC195" s="63" t="s">
        <v>59</v>
      </c>
      <c r="AD195" s="63" t="s">
        <v>544</v>
      </c>
      <c r="AE195" s="138" t="s">
        <v>95</v>
      </c>
      <c r="AF195" s="63" t="s">
        <v>461</v>
      </c>
      <c r="AG195" s="153" t="s">
        <v>545</v>
      </c>
      <c r="AH195" s="124">
        <v>5.5</v>
      </c>
      <c r="AI195" s="124">
        <v>1.5</v>
      </c>
      <c r="AJ195" s="124">
        <v>10</v>
      </c>
      <c r="AK195" s="124">
        <v>13.5</v>
      </c>
      <c r="AL195" s="124">
        <v>2.2999999999999998</v>
      </c>
      <c r="AM195" s="128">
        <v>10</v>
      </c>
      <c r="AN195" s="204" t="s">
        <v>52</v>
      </c>
      <c r="AO195" s="204" t="s">
        <v>52</v>
      </c>
      <c r="AP195" s="204" t="s">
        <v>52</v>
      </c>
      <c r="AQ195" s="204" t="s">
        <v>52</v>
      </c>
      <c r="AR195" s="128"/>
      <c r="AS195" s="128"/>
    </row>
    <row r="196" spans="1:45" s="60" customFormat="1" ht="19" customHeight="1">
      <c r="A196" s="116" t="s">
        <v>711</v>
      </c>
      <c r="B196" s="117">
        <v>133</v>
      </c>
      <c r="C196" s="116" t="s">
        <v>47</v>
      </c>
      <c r="D196" s="88" t="s">
        <v>454</v>
      </c>
      <c r="E196" s="88" t="s">
        <v>48</v>
      </c>
      <c r="F196" s="88" t="s">
        <v>229</v>
      </c>
      <c r="G196" s="88" t="s">
        <v>239</v>
      </c>
      <c r="H196" s="285" t="s">
        <v>924</v>
      </c>
      <c r="I196" s="285" t="str">
        <f t="shared" ref="I196:I259" si="9">IF(T196="BAU",".",LEFT(T196,2))</f>
        <v xml:space="preserve">c </v>
      </c>
      <c r="J196" s="127">
        <v>1</v>
      </c>
      <c r="K196" s="60" t="s">
        <v>553</v>
      </c>
      <c r="L196" s="60" t="s">
        <v>52</v>
      </c>
      <c r="M196" s="90">
        <v>8.16</v>
      </c>
      <c r="N196" s="90">
        <v>1</v>
      </c>
      <c r="O196" s="90">
        <v>0.89</v>
      </c>
      <c r="P196" s="90" t="s">
        <v>52</v>
      </c>
      <c r="Q196" s="90" t="s">
        <v>52</v>
      </c>
      <c r="R196" s="90">
        <v>0.41666666666666663</v>
      </c>
      <c r="S196" s="90">
        <v>0.16000000000000003</v>
      </c>
      <c r="T196" s="134" t="s">
        <v>69</v>
      </c>
      <c r="U196" s="92" t="s">
        <v>554</v>
      </c>
      <c r="V196" s="60" t="s">
        <v>466</v>
      </c>
      <c r="W196" s="60" t="s">
        <v>56</v>
      </c>
      <c r="X196" s="60" t="s">
        <v>57</v>
      </c>
      <c r="Y196" s="134" t="s">
        <v>58</v>
      </c>
      <c r="Z196" s="60">
        <v>2400</v>
      </c>
      <c r="AA196" s="99">
        <v>25</v>
      </c>
      <c r="AB196" s="99">
        <v>120</v>
      </c>
      <c r="AC196" s="60" t="s">
        <v>59</v>
      </c>
      <c r="AD196" s="60" t="s">
        <v>555</v>
      </c>
      <c r="AE196" s="110" t="s">
        <v>61</v>
      </c>
      <c r="AF196" s="60" t="s">
        <v>461</v>
      </c>
      <c r="AG196" s="152" t="s">
        <v>52</v>
      </c>
      <c r="AH196" s="120">
        <v>7.75</v>
      </c>
      <c r="AI196" s="120">
        <v>2.41</v>
      </c>
      <c r="AJ196" s="120">
        <v>12</v>
      </c>
      <c r="AK196" s="120">
        <v>7.75</v>
      </c>
      <c r="AL196" s="120">
        <v>2.56</v>
      </c>
      <c r="AM196" s="127">
        <v>12</v>
      </c>
      <c r="AN196" s="203" t="s">
        <v>52</v>
      </c>
      <c r="AO196" s="203" t="s">
        <v>52</v>
      </c>
      <c r="AP196" s="203" t="s">
        <v>52</v>
      </c>
      <c r="AQ196" s="203" t="s">
        <v>52</v>
      </c>
      <c r="AR196" s="127"/>
      <c r="AS196" s="127"/>
    </row>
    <row r="197" spans="1:45" s="63" customFormat="1" ht="19" customHeight="1">
      <c r="A197" s="122"/>
      <c r="B197" s="123"/>
      <c r="C197" s="122"/>
      <c r="D197" s="89"/>
      <c r="E197" s="89"/>
      <c r="F197" s="89"/>
      <c r="G197" s="89"/>
      <c r="H197" s="286" t="s">
        <v>919</v>
      </c>
      <c r="I197" s="286" t="str">
        <f t="shared" si="9"/>
        <v xml:space="preserve">c </v>
      </c>
      <c r="J197" s="128">
        <v>0</v>
      </c>
      <c r="K197" s="63" t="s">
        <v>556</v>
      </c>
      <c r="L197" s="63" t="s">
        <v>52</v>
      </c>
      <c r="M197" s="93">
        <v>8.16</v>
      </c>
      <c r="N197" s="93">
        <v>1</v>
      </c>
      <c r="O197" s="93">
        <v>0.89</v>
      </c>
      <c r="P197" s="93" t="s">
        <v>52</v>
      </c>
      <c r="Q197" s="93" t="s">
        <v>52</v>
      </c>
      <c r="R197" s="93">
        <v>0.41666666666666663</v>
      </c>
      <c r="S197" s="93">
        <v>0.16000000000000003</v>
      </c>
      <c r="T197" s="138" t="s">
        <v>69</v>
      </c>
      <c r="U197" s="95" t="s">
        <v>554</v>
      </c>
      <c r="V197" s="63" t="s">
        <v>466</v>
      </c>
      <c r="W197" s="63" t="s">
        <v>56</v>
      </c>
      <c r="X197" s="63" t="s">
        <v>57</v>
      </c>
      <c r="Y197" s="138" t="s">
        <v>58</v>
      </c>
      <c r="Z197" s="63">
        <v>2400</v>
      </c>
      <c r="AA197" s="100">
        <v>25</v>
      </c>
      <c r="AB197" s="100">
        <v>120</v>
      </c>
      <c r="AC197" s="63" t="s">
        <v>59</v>
      </c>
      <c r="AD197" s="63" t="s">
        <v>555</v>
      </c>
      <c r="AE197" s="111" t="s">
        <v>61</v>
      </c>
      <c r="AF197" s="63" t="s">
        <v>461</v>
      </c>
      <c r="AG197" s="153" t="s">
        <v>52</v>
      </c>
      <c r="AH197" s="124">
        <v>8.25</v>
      </c>
      <c r="AI197" s="124">
        <v>2.41</v>
      </c>
      <c r="AJ197" s="124">
        <v>12</v>
      </c>
      <c r="AK197" s="124">
        <v>8.5</v>
      </c>
      <c r="AL197" s="124">
        <v>2.2799999999999998</v>
      </c>
      <c r="AM197" s="128">
        <v>12</v>
      </c>
      <c r="AN197" s="204" t="s">
        <v>52</v>
      </c>
      <c r="AO197" s="204" t="s">
        <v>52</v>
      </c>
      <c r="AP197" s="204" t="s">
        <v>52</v>
      </c>
      <c r="AQ197" s="204" t="s">
        <v>52</v>
      </c>
      <c r="AR197" s="128"/>
      <c r="AS197" s="128"/>
    </row>
    <row r="198" spans="1:45" s="290" customFormat="1" ht="19" customHeight="1">
      <c r="A198" s="116" t="s">
        <v>712</v>
      </c>
      <c r="B198" s="117" t="s">
        <v>932</v>
      </c>
      <c r="C198" s="307" t="s">
        <v>47</v>
      </c>
      <c r="D198" s="290" t="s">
        <v>454</v>
      </c>
      <c r="E198" s="290" t="s">
        <v>66</v>
      </c>
      <c r="F198" s="290" t="s">
        <v>49</v>
      </c>
      <c r="G198" s="290" t="s">
        <v>50</v>
      </c>
      <c r="H198" s="289"/>
      <c r="I198" s="289"/>
      <c r="J198" s="289">
        <v>1</v>
      </c>
      <c r="K198" s="290" t="s">
        <v>557</v>
      </c>
      <c r="L198" s="290">
        <v>3</v>
      </c>
      <c r="M198" s="296" t="s">
        <v>52</v>
      </c>
      <c r="N198" s="296">
        <v>1</v>
      </c>
      <c r="O198" s="296">
        <v>0.13</v>
      </c>
      <c r="P198" s="296">
        <v>0.47</v>
      </c>
      <c r="Q198" s="296">
        <v>0.25</v>
      </c>
      <c r="R198" s="296">
        <v>0.56000000000000005</v>
      </c>
      <c r="S198" s="296">
        <v>0.81</v>
      </c>
      <c r="T198" s="290" t="s">
        <v>92</v>
      </c>
      <c r="U198" s="297" t="s">
        <v>558</v>
      </c>
      <c r="V198" s="290" t="s">
        <v>458</v>
      </c>
      <c r="W198" s="290" t="s">
        <v>56</v>
      </c>
      <c r="X198" s="307" t="s">
        <v>513</v>
      </c>
      <c r="Y198" s="307" t="s">
        <v>58</v>
      </c>
      <c r="Z198" s="290">
        <v>517.65000000000009</v>
      </c>
      <c r="AA198" s="290">
        <v>29</v>
      </c>
      <c r="AB198" s="290">
        <v>17.850000000000001</v>
      </c>
      <c r="AC198" s="290" t="s">
        <v>59</v>
      </c>
      <c r="AD198" s="290" t="s">
        <v>559</v>
      </c>
      <c r="AE198" s="290" t="s">
        <v>61</v>
      </c>
      <c r="AF198" s="290" t="s">
        <v>538</v>
      </c>
      <c r="AG198" s="308" t="s">
        <v>560</v>
      </c>
      <c r="AH198" s="309">
        <v>86.56</v>
      </c>
      <c r="AI198" s="309">
        <v>7.88</v>
      </c>
      <c r="AJ198" s="309">
        <v>100</v>
      </c>
      <c r="AK198" s="309">
        <v>86.13</v>
      </c>
      <c r="AL198" s="309">
        <v>10.74</v>
      </c>
      <c r="AM198" s="293">
        <v>92</v>
      </c>
      <c r="AN198" s="310" t="s">
        <v>52</v>
      </c>
      <c r="AO198" s="310" t="s">
        <v>52</v>
      </c>
      <c r="AP198" s="310" t="s">
        <v>52</v>
      </c>
      <c r="AQ198" s="310" t="s">
        <v>52</v>
      </c>
      <c r="AR198" s="289"/>
      <c r="AS198" s="289"/>
    </row>
    <row r="199" spans="1:45" s="301" customFormat="1" ht="19" customHeight="1">
      <c r="A199" s="122"/>
      <c r="B199" s="123"/>
      <c r="C199" s="311"/>
      <c r="H199" s="300"/>
      <c r="I199" s="300"/>
      <c r="J199" s="300">
        <v>0</v>
      </c>
      <c r="K199" s="301" t="s">
        <v>561</v>
      </c>
      <c r="L199" s="301">
        <v>3</v>
      </c>
      <c r="M199" s="302" t="s">
        <v>52</v>
      </c>
      <c r="N199" s="302">
        <v>1</v>
      </c>
      <c r="O199" s="302">
        <v>0.18</v>
      </c>
      <c r="P199" s="302">
        <v>0.52</v>
      </c>
      <c r="Q199" s="302">
        <v>0.27</v>
      </c>
      <c r="R199" s="302">
        <v>0.54</v>
      </c>
      <c r="S199" s="302">
        <v>0.66</v>
      </c>
      <c r="T199" s="301" t="s">
        <v>92</v>
      </c>
      <c r="U199" s="303" t="s">
        <v>735</v>
      </c>
      <c r="V199" s="301" t="s">
        <v>236</v>
      </c>
      <c r="W199" s="301" t="s">
        <v>78</v>
      </c>
      <c r="X199" s="311" t="s">
        <v>513</v>
      </c>
      <c r="Y199" s="311" t="s">
        <v>58</v>
      </c>
      <c r="Z199" s="301" t="s">
        <v>78</v>
      </c>
      <c r="AA199" s="301" t="s">
        <v>78</v>
      </c>
      <c r="AB199" s="301" t="s">
        <v>78</v>
      </c>
      <c r="AC199" s="301" t="s">
        <v>59</v>
      </c>
      <c r="AD199" s="301" t="s">
        <v>559</v>
      </c>
      <c r="AE199" s="301" t="s">
        <v>61</v>
      </c>
      <c r="AF199" s="301" t="s">
        <v>538</v>
      </c>
      <c r="AG199" s="312" t="s">
        <v>560</v>
      </c>
      <c r="AH199" s="313">
        <v>84.64</v>
      </c>
      <c r="AI199" s="313">
        <v>8.6300000000000008</v>
      </c>
      <c r="AJ199" s="313">
        <v>100</v>
      </c>
      <c r="AK199" s="313">
        <v>85.14</v>
      </c>
      <c r="AL199" s="313">
        <v>12.78</v>
      </c>
      <c r="AM199" s="314">
        <v>92</v>
      </c>
      <c r="AN199" s="315" t="s">
        <v>52</v>
      </c>
      <c r="AO199" s="315" t="s">
        <v>52</v>
      </c>
      <c r="AP199" s="315" t="s">
        <v>52</v>
      </c>
      <c r="AQ199" s="315" t="s">
        <v>52</v>
      </c>
      <c r="AR199" s="300"/>
      <c r="AS199" s="300"/>
    </row>
    <row r="200" spans="1:45" s="60" customFormat="1" ht="19" customHeight="1">
      <c r="A200" s="116" t="s">
        <v>713</v>
      </c>
      <c r="B200" s="117">
        <v>135</v>
      </c>
      <c r="C200" s="116" t="s">
        <v>47</v>
      </c>
      <c r="D200" s="88" t="s">
        <v>454</v>
      </c>
      <c r="E200" s="88" t="s">
        <v>66</v>
      </c>
      <c r="F200" s="88" t="s">
        <v>49</v>
      </c>
      <c r="G200" s="88" t="s">
        <v>239</v>
      </c>
      <c r="H200" s="285" t="s">
        <v>918</v>
      </c>
      <c r="I200" s="285" t="str">
        <f t="shared" si="9"/>
        <v>cm</v>
      </c>
      <c r="J200" s="127">
        <v>1</v>
      </c>
      <c r="K200" s="60" t="s">
        <v>562</v>
      </c>
      <c r="L200" s="60">
        <v>6</v>
      </c>
      <c r="M200" s="90">
        <v>11.5</v>
      </c>
      <c r="N200" s="90">
        <v>1</v>
      </c>
      <c r="O200" s="90">
        <v>1</v>
      </c>
      <c r="P200" s="90">
        <v>0.55000000000000004</v>
      </c>
      <c r="Q200" s="90" t="s">
        <v>52</v>
      </c>
      <c r="R200" s="90">
        <v>0.6</v>
      </c>
      <c r="S200" s="90">
        <v>0.35</v>
      </c>
      <c r="T200" s="60" t="s">
        <v>53</v>
      </c>
      <c r="U200" s="92" t="s">
        <v>563</v>
      </c>
      <c r="V200" s="60" t="s">
        <v>466</v>
      </c>
      <c r="W200" s="99" t="s">
        <v>56</v>
      </c>
      <c r="X200" s="60" t="s">
        <v>57</v>
      </c>
      <c r="Y200" s="134" t="s">
        <v>58</v>
      </c>
      <c r="Z200" s="60">
        <v>9000</v>
      </c>
      <c r="AA200" s="60">
        <v>180</v>
      </c>
      <c r="AB200" s="60">
        <v>50</v>
      </c>
      <c r="AC200" s="60" t="s">
        <v>59</v>
      </c>
      <c r="AD200" s="60" t="s">
        <v>564</v>
      </c>
      <c r="AE200" s="60" t="s">
        <v>61</v>
      </c>
      <c r="AF200" s="60" t="s">
        <v>538</v>
      </c>
      <c r="AG200" s="152" t="s">
        <v>565</v>
      </c>
      <c r="AH200" s="120">
        <v>4.8499999999999996</v>
      </c>
      <c r="AI200" s="120">
        <v>2.11</v>
      </c>
      <c r="AJ200" s="142">
        <v>20</v>
      </c>
      <c r="AK200" s="120">
        <v>7.8</v>
      </c>
      <c r="AL200" s="120">
        <v>2.61</v>
      </c>
      <c r="AM200" s="142">
        <v>20</v>
      </c>
      <c r="AN200" s="200" t="s">
        <v>52</v>
      </c>
      <c r="AO200" s="200" t="s">
        <v>52</v>
      </c>
      <c r="AP200" s="200" t="s">
        <v>52</v>
      </c>
      <c r="AQ200" s="200" t="s">
        <v>52</v>
      </c>
      <c r="AR200" s="120"/>
      <c r="AS200" s="120"/>
    </row>
    <row r="201" spans="1:45" s="60" customFormat="1" ht="19" customHeight="1">
      <c r="A201" s="116"/>
      <c r="B201" s="117"/>
      <c r="C201" s="116"/>
      <c r="D201" s="88"/>
      <c r="E201" s="88"/>
      <c r="F201" s="88"/>
      <c r="G201" s="88"/>
      <c r="H201" s="285"/>
      <c r="I201" s="285" t="str">
        <f t="shared" si="9"/>
        <v/>
      </c>
      <c r="J201" s="127"/>
      <c r="M201" s="90"/>
      <c r="N201" s="90"/>
      <c r="O201" s="90"/>
      <c r="P201" s="90"/>
      <c r="Q201" s="90"/>
      <c r="R201" s="90"/>
      <c r="S201" s="90"/>
      <c r="U201" s="92"/>
      <c r="AD201" s="60" t="s">
        <v>566</v>
      </c>
      <c r="AE201" s="60" t="s">
        <v>61</v>
      </c>
      <c r="AF201" s="60" t="s">
        <v>538</v>
      </c>
      <c r="AG201" s="152" t="s">
        <v>565</v>
      </c>
      <c r="AH201" s="120">
        <v>7.65</v>
      </c>
      <c r="AI201" s="120">
        <v>2.5</v>
      </c>
      <c r="AJ201" s="120">
        <v>20</v>
      </c>
      <c r="AK201" s="120">
        <v>12</v>
      </c>
      <c r="AL201" s="120">
        <v>4.4400000000000004</v>
      </c>
      <c r="AM201" s="120">
        <v>20</v>
      </c>
      <c r="AN201" s="200" t="s">
        <v>52</v>
      </c>
      <c r="AO201" s="200" t="s">
        <v>52</v>
      </c>
      <c r="AP201" s="200" t="s">
        <v>52</v>
      </c>
      <c r="AQ201" s="200" t="s">
        <v>52</v>
      </c>
      <c r="AR201" s="120"/>
      <c r="AS201" s="120"/>
    </row>
    <row r="202" spans="1:45" s="60" customFormat="1" ht="19" customHeight="1">
      <c r="A202" s="116"/>
      <c r="B202" s="117"/>
      <c r="C202" s="116"/>
      <c r="D202" s="88"/>
      <c r="E202" s="88"/>
      <c r="F202" s="88"/>
      <c r="G202" s="88"/>
      <c r="H202" s="285"/>
      <c r="I202" s="285" t="str">
        <f t="shared" si="9"/>
        <v/>
      </c>
      <c r="J202" s="127"/>
      <c r="M202" s="90"/>
      <c r="N202" s="90"/>
      <c r="O202" s="90"/>
      <c r="P202" s="90"/>
      <c r="Q202" s="90"/>
      <c r="R202" s="90"/>
      <c r="S202" s="90"/>
      <c r="U202" s="92"/>
      <c r="AD202" s="60" t="s">
        <v>567</v>
      </c>
      <c r="AE202" s="60" t="s">
        <v>61</v>
      </c>
      <c r="AF202" s="60" t="s">
        <v>538</v>
      </c>
      <c r="AG202" s="152" t="s">
        <v>568</v>
      </c>
      <c r="AH202" s="120">
        <v>186.2</v>
      </c>
      <c r="AI202" s="120">
        <v>11.12</v>
      </c>
      <c r="AJ202" s="120">
        <v>20</v>
      </c>
      <c r="AK202" s="120">
        <v>195.79</v>
      </c>
      <c r="AL202" s="120">
        <v>6.9</v>
      </c>
      <c r="AM202" s="120">
        <v>20</v>
      </c>
      <c r="AN202" s="120">
        <v>201.17</v>
      </c>
      <c r="AO202" s="120">
        <v>7.17</v>
      </c>
      <c r="AP202" s="120">
        <v>20</v>
      </c>
      <c r="AQ202" s="120">
        <v>12</v>
      </c>
      <c r="AR202" s="120"/>
      <c r="AS202" s="120"/>
    </row>
    <row r="203" spans="1:45" s="60" customFormat="1" ht="19" customHeight="1">
      <c r="A203" s="116"/>
      <c r="B203" s="117"/>
      <c r="C203" s="116"/>
      <c r="D203" s="88"/>
      <c r="E203" s="88"/>
      <c r="F203" s="88"/>
      <c r="G203" s="88"/>
      <c r="H203" s="285" t="s">
        <v>919</v>
      </c>
      <c r="I203" s="285" t="str">
        <f t="shared" si="9"/>
        <v xml:space="preserve">m </v>
      </c>
      <c r="J203" s="127">
        <v>0</v>
      </c>
      <c r="K203" s="60" t="s">
        <v>569</v>
      </c>
      <c r="L203" s="60">
        <v>6</v>
      </c>
      <c r="M203" s="90">
        <v>11.5</v>
      </c>
      <c r="N203" s="90">
        <v>1</v>
      </c>
      <c r="O203" s="90">
        <v>1</v>
      </c>
      <c r="P203" s="90">
        <v>0.55000000000000004</v>
      </c>
      <c r="Q203" s="90" t="s">
        <v>52</v>
      </c>
      <c r="R203" s="90">
        <v>0.75</v>
      </c>
      <c r="S203" s="90">
        <v>0.35</v>
      </c>
      <c r="T203" s="99" t="s">
        <v>92</v>
      </c>
      <c r="U203" s="92" t="s">
        <v>570</v>
      </c>
      <c r="V203" s="99" t="s">
        <v>466</v>
      </c>
      <c r="X203" s="60" t="s">
        <v>57</v>
      </c>
      <c r="Y203" s="134" t="s">
        <v>58</v>
      </c>
      <c r="Z203" s="60" t="s">
        <v>78</v>
      </c>
      <c r="AA203" s="60" t="s">
        <v>78</v>
      </c>
      <c r="AB203" s="60" t="s">
        <v>78</v>
      </c>
      <c r="AC203" s="60" t="s">
        <v>59</v>
      </c>
      <c r="AD203" s="60" t="s">
        <v>564</v>
      </c>
      <c r="AE203" s="60" t="s">
        <v>61</v>
      </c>
      <c r="AF203" s="60" t="s">
        <v>538</v>
      </c>
      <c r="AG203" s="152" t="s">
        <v>565</v>
      </c>
      <c r="AH203" s="120">
        <v>4.4000000000000004</v>
      </c>
      <c r="AI203" s="120">
        <v>2.19</v>
      </c>
      <c r="AJ203" s="120">
        <v>20</v>
      </c>
      <c r="AK203" s="120">
        <v>5.2</v>
      </c>
      <c r="AL203" s="120">
        <v>1.85</v>
      </c>
      <c r="AM203" s="120">
        <v>20</v>
      </c>
      <c r="AN203" s="200" t="s">
        <v>52</v>
      </c>
      <c r="AO203" s="200" t="s">
        <v>52</v>
      </c>
      <c r="AP203" s="200" t="s">
        <v>52</v>
      </c>
      <c r="AQ203" s="200" t="s">
        <v>52</v>
      </c>
      <c r="AR203" s="120"/>
      <c r="AS203" s="120"/>
    </row>
    <row r="204" spans="1:45" s="60" customFormat="1" ht="19" customHeight="1">
      <c r="A204" s="116"/>
      <c r="B204" s="117"/>
      <c r="C204" s="116"/>
      <c r="D204" s="88"/>
      <c r="E204" s="88"/>
      <c r="F204" s="88"/>
      <c r="G204" s="88"/>
      <c r="H204" s="285"/>
      <c r="I204" s="285" t="str">
        <f t="shared" si="9"/>
        <v/>
      </c>
      <c r="J204" s="127"/>
      <c r="M204" s="90"/>
      <c r="N204" s="90"/>
      <c r="O204" s="90"/>
      <c r="P204" s="90"/>
      <c r="Q204" s="90"/>
      <c r="R204" s="90"/>
      <c r="S204" s="90"/>
      <c r="U204" s="92"/>
      <c r="AD204" s="60" t="s">
        <v>566</v>
      </c>
      <c r="AE204" s="60" t="s">
        <v>61</v>
      </c>
      <c r="AF204" s="60" t="s">
        <v>538</v>
      </c>
      <c r="AG204" s="152" t="s">
        <v>565</v>
      </c>
      <c r="AH204" s="120">
        <v>8.5</v>
      </c>
      <c r="AI204" s="120">
        <v>3.02</v>
      </c>
      <c r="AJ204" s="120">
        <v>20</v>
      </c>
      <c r="AK204" s="120">
        <v>7.8</v>
      </c>
      <c r="AL204" s="120">
        <v>4.7</v>
      </c>
      <c r="AM204" s="120">
        <v>20</v>
      </c>
      <c r="AN204" s="200" t="s">
        <v>52</v>
      </c>
      <c r="AO204" s="200" t="s">
        <v>52</v>
      </c>
      <c r="AP204" s="200" t="s">
        <v>52</v>
      </c>
      <c r="AQ204" s="200" t="s">
        <v>52</v>
      </c>
      <c r="AR204" s="120"/>
      <c r="AS204" s="120"/>
    </row>
    <row r="205" spans="1:45" s="63" customFormat="1" ht="19" customHeight="1">
      <c r="A205" s="122"/>
      <c r="B205" s="123"/>
      <c r="C205" s="122"/>
      <c r="D205" s="89"/>
      <c r="E205" s="89"/>
      <c r="F205" s="89"/>
      <c r="G205" s="89"/>
      <c r="H205" s="286"/>
      <c r="I205" s="286" t="str">
        <f t="shared" si="9"/>
        <v/>
      </c>
      <c r="J205" s="128"/>
      <c r="M205" s="93"/>
      <c r="N205" s="93"/>
      <c r="O205" s="93"/>
      <c r="P205" s="93"/>
      <c r="Q205" s="93"/>
      <c r="R205" s="93"/>
      <c r="S205" s="93"/>
      <c r="U205" s="95"/>
      <c r="AD205" s="63" t="s">
        <v>567</v>
      </c>
      <c r="AE205" s="63" t="s">
        <v>61</v>
      </c>
      <c r="AF205" s="63" t="s">
        <v>538</v>
      </c>
      <c r="AG205" s="153" t="s">
        <v>568</v>
      </c>
      <c r="AH205" s="124">
        <v>185.47</v>
      </c>
      <c r="AI205" s="124">
        <v>9.02</v>
      </c>
      <c r="AJ205" s="124">
        <v>20</v>
      </c>
      <c r="AK205" s="124">
        <v>188.94</v>
      </c>
      <c r="AL205" s="124">
        <v>9.4</v>
      </c>
      <c r="AM205" s="124">
        <v>20</v>
      </c>
      <c r="AN205" s="124">
        <v>199.33</v>
      </c>
      <c r="AO205" s="124">
        <v>8.58</v>
      </c>
      <c r="AP205" s="124">
        <v>20</v>
      </c>
      <c r="AQ205" s="124">
        <v>12</v>
      </c>
      <c r="AR205" s="124"/>
      <c r="AS205" s="124"/>
    </row>
    <row r="206" spans="1:45" s="60" customFormat="1">
      <c r="A206" s="116" t="s">
        <v>747</v>
      </c>
      <c r="B206" s="117">
        <v>136</v>
      </c>
      <c r="C206" s="116" t="s">
        <v>47</v>
      </c>
      <c r="D206" s="88" t="s">
        <v>454</v>
      </c>
      <c r="E206" s="88" t="s">
        <v>66</v>
      </c>
      <c r="F206" s="88" t="s">
        <v>49</v>
      </c>
      <c r="G206" s="88" t="s">
        <v>50</v>
      </c>
      <c r="H206" s="285" t="s">
        <v>924</v>
      </c>
      <c r="I206" s="285" t="str">
        <f t="shared" si="9"/>
        <v xml:space="preserve">m </v>
      </c>
      <c r="J206" s="127">
        <v>1</v>
      </c>
      <c r="K206" s="60" t="s">
        <v>748</v>
      </c>
      <c r="L206" s="60">
        <v>5</v>
      </c>
      <c r="M206" s="90">
        <v>10.7</v>
      </c>
      <c r="N206" s="90">
        <v>1</v>
      </c>
      <c r="O206" s="90" t="s">
        <v>52</v>
      </c>
      <c r="P206" s="90">
        <v>0.85</v>
      </c>
      <c r="Q206" s="90">
        <f>3/11</f>
        <v>0.27272727272727271</v>
      </c>
      <c r="R206" s="90">
        <f>4/11</f>
        <v>0.36363636363636365</v>
      </c>
      <c r="S206" s="90">
        <f>1-1/11</f>
        <v>0.90909090909090906</v>
      </c>
      <c r="T206" s="60" t="s">
        <v>92</v>
      </c>
      <c r="U206" s="92" t="s">
        <v>749</v>
      </c>
      <c r="V206" s="60" t="s">
        <v>458</v>
      </c>
      <c r="W206" s="60" t="s">
        <v>56</v>
      </c>
      <c r="X206" s="60" t="s">
        <v>57</v>
      </c>
      <c r="Y206" s="60" t="s">
        <v>72</v>
      </c>
      <c r="Z206" s="60">
        <f>AA206*AB206</f>
        <v>420</v>
      </c>
      <c r="AA206" s="60">
        <v>12</v>
      </c>
      <c r="AB206" s="60">
        <v>35</v>
      </c>
      <c r="AC206" s="60" t="s">
        <v>148</v>
      </c>
      <c r="AD206" s="60" t="s">
        <v>544</v>
      </c>
      <c r="AE206" s="60" t="s">
        <v>95</v>
      </c>
      <c r="AF206" s="60" t="s">
        <v>461</v>
      </c>
      <c r="AG206" s="152" t="s">
        <v>545</v>
      </c>
      <c r="AH206" s="142">
        <v>5.6</v>
      </c>
      <c r="AI206" s="142">
        <v>1.4</v>
      </c>
      <c r="AJ206" s="142">
        <v>11</v>
      </c>
      <c r="AK206" s="142">
        <v>12.1</v>
      </c>
      <c r="AL206" s="142">
        <v>2.6</v>
      </c>
      <c r="AM206" s="142">
        <v>11</v>
      </c>
      <c r="AN206" s="200" t="s">
        <v>52</v>
      </c>
      <c r="AO206" s="200" t="s">
        <v>52</v>
      </c>
      <c r="AP206" s="200" t="s">
        <v>52</v>
      </c>
      <c r="AQ206" s="200" t="s">
        <v>52</v>
      </c>
      <c r="AR206" s="120"/>
      <c r="AS206" s="120"/>
    </row>
    <row r="207" spans="1:45" s="60" customFormat="1">
      <c r="A207" s="116"/>
      <c r="B207" s="117"/>
      <c r="C207" s="116"/>
      <c r="D207" s="88"/>
      <c r="E207" s="88"/>
      <c r="F207" s="88"/>
      <c r="G207" s="88"/>
      <c r="H207" s="285" t="s">
        <v>52</v>
      </c>
      <c r="I207" s="285" t="str">
        <f t="shared" si="9"/>
        <v xml:space="preserve">m </v>
      </c>
      <c r="J207" s="127">
        <v>2</v>
      </c>
      <c r="K207" s="60" t="s">
        <v>750</v>
      </c>
      <c r="L207" s="60">
        <v>5</v>
      </c>
      <c r="M207" s="90">
        <v>10.4</v>
      </c>
      <c r="N207" s="90">
        <v>1</v>
      </c>
      <c r="O207" s="90" t="s">
        <v>52</v>
      </c>
      <c r="P207" s="90">
        <v>0.85</v>
      </c>
      <c r="Q207" s="90">
        <f t="shared" ref="Q207:Q208" si="10">3/11</f>
        <v>0.27272727272727271</v>
      </c>
      <c r="R207" s="90">
        <f>4/11</f>
        <v>0.36363636363636365</v>
      </c>
      <c r="S207" s="90">
        <f>1-4/11</f>
        <v>0.63636363636363635</v>
      </c>
      <c r="T207" s="60" t="s">
        <v>92</v>
      </c>
      <c r="U207" s="92" t="s">
        <v>749</v>
      </c>
      <c r="V207" s="60" t="s">
        <v>458</v>
      </c>
      <c r="W207" s="60" t="s">
        <v>56</v>
      </c>
      <c r="X207" s="60" t="s">
        <v>57</v>
      </c>
      <c r="Y207" s="60" t="s">
        <v>72</v>
      </c>
      <c r="Z207" s="60">
        <f t="shared" ref="Z207:Z209" si="11">AA207*AB207</f>
        <v>420</v>
      </c>
      <c r="AA207" s="60">
        <v>12</v>
      </c>
      <c r="AB207" s="60">
        <v>35</v>
      </c>
      <c r="AC207" s="60" t="s">
        <v>148</v>
      </c>
      <c r="AD207" s="60" t="s">
        <v>544</v>
      </c>
      <c r="AE207" s="60" t="s">
        <v>95</v>
      </c>
      <c r="AF207" s="60" t="s">
        <v>461</v>
      </c>
      <c r="AG207" s="152" t="s">
        <v>545</v>
      </c>
      <c r="AH207" s="120">
        <v>5.4</v>
      </c>
      <c r="AI207" s="120">
        <v>1.2</v>
      </c>
      <c r="AJ207" s="120">
        <v>11</v>
      </c>
      <c r="AK207" s="120">
        <v>10</v>
      </c>
      <c r="AL207" s="120">
        <v>1.9</v>
      </c>
      <c r="AM207" s="120">
        <v>11</v>
      </c>
      <c r="AN207" s="200" t="s">
        <v>52</v>
      </c>
      <c r="AO207" s="200" t="s">
        <v>52</v>
      </c>
      <c r="AP207" s="200" t="s">
        <v>52</v>
      </c>
      <c r="AQ207" s="200" t="s">
        <v>52</v>
      </c>
      <c r="AR207" s="120"/>
      <c r="AS207" s="120"/>
    </row>
    <row r="208" spans="1:45" s="60" customFormat="1">
      <c r="A208" s="116"/>
      <c r="B208" s="117"/>
      <c r="C208" s="116"/>
      <c r="D208" s="88"/>
      <c r="E208" s="88"/>
      <c r="F208" s="88"/>
      <c r="G208" s="88"/>
      <c r="H208" s="285" t="s">
        <v>925</v>
      </c>
      <c r="I208" s="285" t="str">
        <f t="shared" si="9"/>
        <v xml:space="preserve">m </v>
      </c>
      <c r="J208" s="127">
        <v>3</v>
      </c>
      <c r="K208" s="60" t="s">
        <v>751</v>
      </c>
      <c r="L208" s="60">
        <v>5</v>
      </c>
      <c r="M208" s="90">
        <v>10.8</v>
      </c>
      <c r="N208" s="90">
        <v>1</v>
      </c>
      <c r="O208" s="90" t="s">
        <v>52</v>
      </c>
      <c r="P208" s="90">
        <v>0.85</v>
      </c>
      <c r="Q208" s="90">
        <f t="shared" si="10"/>
        <v>0.27272727272727271</v>
      </c>
      <c r="R208" s="90">
        <f>5/11</f>
        <v>0.45454545454545453</v>
      </c>
      <c r="S208" s="90">
        <f>1-3/11</f>
        <v>0.72727272727272729</v>
      </c>
      <c r="T208" s="60" t="s">
        <v>92</v>
      </c>
      <c r="U208" s="92" t="s">
        <v>749</v>
      </c>
      <c r="V208" s="60" t="s">
        <v>458</v>
      </c>
      <c r="W208" s="60" t="s">
        <v>56</v>
      </c>
      <c r="X208" s="60" t="s">
        <v>57</v>
      </c>
      <c r="Y208" s="60" t="s">
        <v>72</v>
      </c>
      <c r="Z208" s="60">
        <f t="shared" si="11"/>
        <v>420</v>
      </c>
      <c r="AA208" s="60">
        <v>12</v>
      </c>
      <c r="AB208" s="60">
        <v>35</v>
      </c>
      <c r="AC208" s="60" t="s">
        <v>148</v>
      </c>
      <c r="AD208" s="60" t="s">
        <v>544</v>
      </c>
      <c r="AE208" s="60" t="s">
        <v>95</v>
      </c>
      <c r="AF208" s="60" t="s">
        <v>461</v>
      </c>
      <c r="AG208" s="152" t="s">
        <v>545</v>
      </c>
      <c r="AH208" s="120">
        <v>5.8</v>
      </c>
      <c r="AI208" s="120">
        <v>1.5</v>
      </c>
      <c r="AJ208" s="120">
        <v>11</v>
      </c>
      <c r="AK208" s="120">
        <v>13.1</v>
      </c>
      <c r="AL208" s="120">
        <v>2.4</v>
      </c>
      <c r="AM208" s="120">
        <v>11</v>
      </c>
      <c r="AN208" s="200" t="s">
        <v>52</v>
      </c>
      <c r="AO208" s="200" t="s">
        <v>52</v>
      </c>
      <c r="AP208" s="200" t="s">
        <v>52</v>
      </c>
      <c r="AQ208" s="200" t="s">
        <v>52</v>
      </c>
      <c r="AR208" s="120"/>
      <c r="AS208" s="120"/>
    </row>
    <row r="209" spans="1:47" s="63" customFormat="1">
      <c r="A209" s="122"/>
      <c r="B209" s="123"/>
      <c r="C209" s="122"/>
      <c r="D209" s="89"/>
      <c r="E209" s="89"/>
      <c r="F209" s="89"/>
      <c r="G209" s="89"/>
      <c r="H209" s="286" t="s">
        <v>919</v>
      </c>
      <c r="I209" s="286" t="str">
        <f t="shared" si="9"/>
        <v xml:space="preserve">m </v>
      </c>
      <c r="J209" s="128">
        <v>0</v>
      </c>
      <c r="K209" s="63" t="s">
        <v>752</v>
      </c>
      <c r="L209" s="63">
        <v>5</v>
      </c>
      <c r="M209" s="93">
        <v>10.8</v>
      </c>
      <c r="N209" s="93">
        <v>1</v>
      </c>
      <c r="O209" s="93" t="s">
        <v>52</v>
      </c>
      <c r="P209" s="93">
        <v>0.85</v>
      </c>
      <c r="Q209" s="93">
        <f>2/11</f>
        <v>0.18181818181818182</v>
      </c>
      <c r="R209" s="93">
        <f>3/11</f>
        <v>0.27272727272727271</v>
      </c>
      <c r="S209" s="93">
        <f>1-3/11</f>
        <v>0.72727272727272729</v>
      </c>
      <c r="T209" s="63" t="s">
        <v>92</v>
      </c>
      <c r="U209" s="95" t="s">
        <v>749</v>
      </c>
      <c r="V209" s="63" t="s">
        <v>458</v>
      </c>
      <c r="W209" s="63" t="s">
        <v>56</v>
      </c>
      <c r="X209" s="63" t="s">
        <v>57</v>
      </c>
      <c r="Y209" s="63" t="s">
        <v>72</v>
      </c>
      <c r="Z209" s="63">
        <f t="shared" si="11"/>
        <v>420</v>
      </c>
      <c r="AA209" s="63">
        <v>12</v>
      </c>
      <c r="AB209" s="63">
        <v>35</v>
      </c>
      <c r="AC209" s="63" t="s">
        <v>148</v>
      </c>
      <c r="AD209" s="63" t="s">
        <v>544</v>
      </c>
      <c r="AE209" s="63" t="s">
        <v>95</v>
      </c>
      <c r="AF209" s="63" t="s">
        <v>461</v>
      </c>
      <c r="AG209" s="153" t="s">
        <v>545</v>
      </c>
      <c r="AH209" s="124">
        <v>5.5</v>
      </c>
      <c r="AI209" s="124">
        <v>3.2</v>
      </c>
      <c r="AJ209" s="124">
        <v>11</v>
      </c>
      <c r="AK209" s="124">
        <v>7.1</v>
      </c>
      <c r="AL209" s="124">
        <v>2.1</v>
      </c>
      <c r="AM209" s="124">
        <v>11</v>
      </c>
      <c r="AN209" s="201" t="s">
        <v>52</v>
      </c>
      <c r="AO209" s="201" t="s">
        <v>52</v>
      </c>
      <c r="AP209" s="201" t="s">
        <v>52</v>
      </c>
      <c r="AQ209" s="201" t="s">
        <v>52</v>
      </c>
      <c r="AR209" s="124"/>
      <c r="AS209" s="124"/>
    </row>
    <row r="210" spans="1:47" s="60" customFormat="1">
      <c r="A210" s="116" t="s">
        <v>753</v>
      </c>
      <c r="B210" s="117">
        <v>137</v>
      </c>
      <c r="C210" s="116" t="s">
        <v>47</v>
      </c>
      <c r="D210" s="88" t="s">
        <v>454</v>
      </c>
      <c r="E210" s="88" t="s">
        <v>66</v>
      </c>
      <c r="F210" s="88" t="s">
        <v>49</v>
      </c>
      <c r="G210" s="88" t="s">
        <v>754</v>
      </c>
      <c r="H210" s="285" t="s">
        <v>922</v>
      </c>
      <c r="I210" s="285" t="str">
        <f t="shared" si="9"/>
        <v xml:space="preserve">m </v>
      </c>
      <c r="J210" s="127">
        <v>1</v>
      </c>
      <c r="K210" s="60" t="s">
        <v>755</v>
      </c>
      <c r="L210" s="126">
        <v>5</v>
      </c>
      <c r="M210" s="186">
        <v>10.6</v>
      </c>
      <c r="N210" s="186">
        <v>1</v>
      </c>
      <c r="O210" s="186" t="s">
        <v>52</v>
      </c>
      <c r="P210" s="186">
        <v>0.85</v>
      </c>
      <c r="Q210" s="186">
        <v>0.25</v>
      </c>
      <c r="R210" s="186">
        <f>19/33</f>
        <v>0.5757575757575758</v>
      </c>
      <c r="S210" s="186">
        <f>1-0.26</f>
        <v>0.74</v>
      </c>
      <c r="T210" s="60" t="s">
        <v>92</v>
      </c>
      <c r="U210" s="92" t="s">
        <v>756</v>
      </c>
      <c r="V210" s="60" t="s">
        <v>458</v>
      </c>
      <c r="W210" s="60" t="s">
        <v>56</v>
      </c>
      <c r="X210" s="60" t="s">
        <v>57</v>
      </c>
      <c r="Y210" s="60" t="s">
        <v>72</v>
      </c>
      <c r="Z210" s="60">
        <f>AA210*AB210</f>
        <v>525</v>
      </c>
      <c r="AA210" s="60">
        <v>15</v>
      </c>
      <c r="AB210" s="60">
        <v>35</v>
      </c>
      <c r="AC210" s="60" t="s">
        <v>148</v>
      </c>
      <c r="AD210" s="60" t="s">
        <v>544</v>
      </c>
      <c r="AE210" s="60" t="s">
        <v>95</v>
      </c>
      <c r="AF210" s="60" t="s">
        <v>461</v>
      </c>
      <c r="AG210" s="152" t="s">
        <v>545</v>
      </c>
      <c r="AH210" s="120">
        <v>5.7</v>
      </c>
      <c r="AI210" s="120">
        <v>1.7</v>
      </c>
      <c r="AJ210" s="120">
        <v>11</v>
      </c>
      <c r="AK210" s="120">
        <v>7.9</v>
      </c>
      <c r="AL210" s="120">
        <v>3.1</v>
      </c>
      <c r="AM210" s="120">
        <v>11</v>
      </c>
      <c r="AN210" s="120">
        <v>7.8</v>
      </c>
      <c r="AO210" s="120">
        <v>2.6</v>
      </c>
      <c r="AP210" s="120">
        <v>11</v>
      </c>
      <c r="AQ210" s="120">
        <v>2.5</v>
      </c>
      <c r="AR210" s="120"/>
      <c r="AS210" s="120"/>
      <c r="AU210" s="60">
        <v>1</v>
      </c>
    </row>
    <row r="211" spans="1:47" s="60" customFormat="1">
      <c r="A211" s="116"/>
      <c r="B211" s="117"/>
      <c r="C211" s="116"/>
      <c r="D211" s="88"/>
      <c r="E211" s="88"/>
      <c r="F211" s="88"/>
      <c r="G211" s="88"/>
      <c r="H211" s="285" t="s">
        <v>52</v>
      </c>
      <c r="I211" s="285" t="str">
        <f t="shared" si="9"/>
        <v xml:space="preserve">m </v>
      </c>
      <c r="J211" s="127">
        <v>2</v>
      </c>
      <c r="K211" s="60" t="s">
        <v>757</v>
      </c>
      <c r="L211" s="60">
        <v>5</v>
      </c>
      <c r="M211" s="90">
        <v>10.6</v>
      </c>
      <c r="N211" s="90">
        <v>1</v>
      </c>
      <c r="O211" s="90" t="s">
        <v>52</v>
      </c>
      <c r="P211" s="90">
        <v>0.85</v>
      </c>
      <c r="Q211" s="90">
        <v>0.25</v>
      </c>
      <c r="R211" s="90">
        <f t="shared" ref="R211:R212" si="12">19/33</f>
        <v>0.5757575757575758</v>
      </c>
      <c r="S211" s="90">
        <f t="shared" ref="S211:S212" si="13">1-0.26</f>
        <v>0.74</v>
      </c>
      <c r="T211" s="60" t="s">
        <v>92</v>
      </c>
      <c r="U211" s="92" t="s">
        <v>756</v>
      </c>
      <c r="V211" s="60" t="s">
        <v>458</v>
      </c>
      <c r="W211" s="60" t="s">
        <v>56</v>
      </c>
      <c r="X211" s="60" t="s">
        <v>57</v>
      </c>
      <c r="Y211" s="60" t="s">
        <v>72</v>
      </c>
      <c r="Z211" s="60">
        <f t="shared" ref="Z211:Z216" si="14">AA211*AB211</f>
        <v>525</v>
      </c>
      <c r="AA211" s="60">
        <v>15</v>
      </c>
      <c r="AB211" s="60">
        <v>35</v>
      </c>
      <c r="AC211" s="60" t="s">
        <v>148</v>
      </c>
      <c r="AD211" s="60" t="s">
        <v>544</v>
      </c>
      <c r="AE211" s="60" t="s">
        <v>95</v>
      </c>
      <c r="AF211" s="60" t="s">
        <v>461</v>
      </c>
      <c r="AG211" s="152" t="s">
        <v>545</v>
      </c>
      <c r="AH211" s="120">
        <v>6.4</v>
      </c>
      <c r="AI211" s="120">
        <v>1.7</v>
      </c>
      <c r="AJ211" s="120">
        <v>11</v>
      </c>
      <c r="AK211" s="120">
        <v>10.8</v>
      </c>
      <c r="AL211" s="120">
        <v>2.2000000000000002</v>
      </c>
      <c r="AM211" s="127">
        <v>11</v>
      </c>
      <c r="AN211" s="127">
        <v>10.6</v>
      </c>
      <c r="AO211" s="127">
        <v>2.6</v>
      </c>
      <c r="AP211" s="127">
        <v>11</v>
      </c>
      <c r="AQ211" s="120">
        <v>2.5</v>
      </c>
      <c r="AR211" s="127"/>
      <c r="AS211" s="127"/>
      <c r="AU211" s="60">
        <v>1</v>
      </c>
    </row>
    <row r="212" spans="1:47" s="63" customFormat="1">
      <c r="A212" s="122"/>
      <c r="B212" s="123"/>
      <c r="C212" s="122"/>
      <c r="D212" s="89"/>
      <c r="E212" s="89"/>
      <c r="F212" s="89"/>
      <c r="G212" s="89"/>
      <c r="H212" s="286" t="s">
        <v>919</v>
      </c>
      <c r="I212" s="286" t="str">
        <f t="shared" si="9"/>
        <v xml:space="preserve">m </v>
      </c>
      <c r="J212" s="128">
        <v>0</v>
      </c>
      <c r="K212" s="63" t="s">
        <v>758</v>
      </c>
      <c r="L212" s="63">
        <v>5</v>
      </c>
      <c r="M212" s="93">
        <v>10.6</v>
      </c>
      <c r="N212" s="93">
        <v>1</v>
      </c>
      <c r="O212" s="93" t="s">
        <v>52</v>
      </c>
      <c r="P212" s="93">
        <v>0.85</v>
      </c>
      <c r="Q212" s="93">
        <v>0.25</v>
      </c>
      <c r="R212" s="93">
        <f t="shared" si="12"/>
        <v>0.5757575757575758</v>
      </c>
      <c r="S212" s="93">
        <f t="shared" si="13"/>
        <v>0.74</v>
      </c>
      <c r="T212" s="63" t="s">
        <v>92</v>
      </c>
      <c r="U212" s="95" t="s">
        <v>759</v>
      </c>
      <c r="V212" s="63" t="s">
        <v>458</v>
      </c>
      <c r="W212" s="63" t="s">
        <v>56</v>
      </c>
      <c r="X212" s="63" t="s">
        <v>57</v>
      </c>
      <c r="Y212" s="63" t="s">
        <v>72</v>
      </c>
      <c r="Z212" s="63">
        <f t="shared" si="14"/>
        <v>525</v>
      </c>
      <c r="AA212" s="63">
        <v>15</v>
      </c>
      <c r="AB212" s="63">
        <v>35</v>
      </c>
      <c r="AC212" s="63" t="s">
        <v>148</v>
      </c>
      <c r="AD212" s="63" t="s">
        <v>544</v>
      </c>
      <c r="AE212" s="63" t="s">
        <v>95</v>
      </c>
      <c r="AF212" s="63" t="s">
        <v>461</v>
      </c>
      <c r="AG212" s="153" t="s">
        <v>545</v>
      </c>
      <c r="AH212" s="124">
        <v>6.5</v>
      </c>
      <c r="AI212" s="124">
        <v>2.9</v>
      </c>
      <c r="AJ212" s="124">
        <v>11</v>
      </c>
      <c r="AK212" s="124">
        <v>7.2</v>
      </c>
      <c r="AL212" s="124">
        <v>3.3</v>
      </c>
      <c r="AM212" s="128">
        <v>11</v>
      </c>
      <c r="AN212" s="128">
        <v>7.5</v>
      </c>
      <c r="AO212" s="128">
        <v>2.8</v>
      </c>
      <c r="AP212" s="128">
        <v>11</v>
      </c>
      <c r="AQ212" s="124">
        <v>2.5</v>
      </c>
      <c r="AR212" s="128"/>
      <c r="AS212" s="128"/>
      <c r="AU212" s="63">
        <v>1</v>
      </c>
    </row>
    <row r="213" spans="1:47" s="60" customFormat="1">
      <c r="A213" s="116" t="s">
        <v>760</v>
      </c>
      <c r="B213" s="117">
        <v>138</v>
      </c>
      <c r="C213" s="116" t="s">
        <v>245</v>
      </c>
      <c r="D213" s="88" t="s">
        <v>535</v>
      </c>
      <c r="E213" s="88" t="s">
        <v>66</v>
      </c>
      <c r="F213" s="88" t="s">
        <v>49</v>
      </c>
      <c r="G213" s="88" t="s">
        <v>239</v>
      </c>
      <c r="H213" s="285" t="s">
        <v>922</v>
      </c>
      <c r="I213" s="285" t="str">
        <f t="shared" si="9"/>
        <v xml:space="preserve">m </v>
      </c>
      <c r="J213" s="127">
        <v>1</v>
      </c>
      <c r="K213" s="60" t="s">
        <v>761</v>
      </c>
      <c r="L213" s="60">
        <v>4</v>
      </c>
      <c r="M213" s="90">
        <v>9.5</v>
      </c>
      <c r="N213" s="90" t="s">
        <v>52</v>
      </c>
      <c r="O213" s="90" t="s">
        <v>52</v>
      </c>
      <c r="P213" s="90">
        <f>0.074</f>
        <v>7.3999999999999996E-2</v>
      </c>
      <c r="Q213" s="90">
        <v>5.3999999999999999E-2</v>
      </c>
      <c r="R213" s="90">
        <v>0.46100000000000002</v>
      </c>
      <c r="S213" s="90">
        <f>1-0.686</f>
        <v>0.31399999999999995</v>
      </c>
      <c r="T213" s="60" t="s">
        <v>92</v>
      </c>
      <c r="U213" s="92" t="s">
        <v>762</v>
      </c>
      <c r="V213" s="60" t="s">
        <v>458</v>
      </c>
      <c r="W213" s="60" t="s">
        <v>153</v>
      </c>
      <c r="X213" s="60" t="s">
        <v>513</v>
      </c>
      <c r="Y213" s="60" t="s">
        <v>58</v>
      </c>
      <c r="Z213" s="60">
        <f t="shared" si="14"/>
        <v>2880</v>
      </c>
      <c r="AA213" s="60">
        <f>2*8*4</f>
        <v>64</v>
      </c>
      <c r="AB213" s="60">
        <v>45</v>
      </c>
      <c r="AC213" s="60" t="s">
        <v>148</v>
      </c>
      <c r="AD213" s="60" t="s">
        <v>763</v>
      </c>
      <c r="AE213" s="60" t="s">
        <v>95</v>
      </c>
      <c r="AF213" s="60" t="s">
        <v>461</v>
      </c>
      <c r="AG213" s="152" t="s">
        <v>764</v>
      </c>
      <c r="AH213" s="120">
        <v>7.33</v>
      </c>
      <c r="AI213" s="120">
        <v>3.09</v>
      </c>
      <c r="AJ213" s="120">
        <v>248</v>
      </c>
      <c r="AK213" s="120">
        <v>9.26</v>
      </c>
      <c r="AL213" s="120">
        <v>3.43</v>
      </c>
      <c r="AM213" s="127">
        <v>243</v>
      </c>
      <c r="AN213" s="200" t="s">
        <v>52</v>
      </c>
      <c r="AO213" s="200" t="s">
        <v>52</v>
      </c>
      <c r="AP213" s="200" t="s">
        <v>52</v>
      </c>
      <c r="AQ213" s="200" t="s">
        <v>52</v>
      </c>
      <c r="AR213" s="127"/>
      <c r="AS213" s="127"/>
    </row>
    <row r="214" spans="1:47" s="63" customFormat="1">
      <c r="A214" s="122"/>
      <c r="B214" s="123"/>
      <c r="C214" s="122"/>
      <c r="D214" s="89"/>
      <c r="E214" s="89"/>
      <c r="F214" s="89"/>
      <c r="G214" s="89"/>
      <c r="H214" s="286" t="s">
        <v>919</v>
      </c>
      <c r="I214" s="286" t="str">
        <f t="shared" si="9"/>
        <v xml:space="preserve">m </v>
      </c>
      <c r="J214" s="128">
        <v>0</v>
      </c>
      <c r="K214" s="63" t="s">
        <v>765</v>
      </c>
      <c r="L214" s="63">
        <v>4</v>
      </c>
      <c r="M214" s="93">
        <v>9.5</v>
      </c>
      <c r="N214" s="93" t="s">
        <v>52</v>
      </c>
      <c r="O214" s="93" t="s">
        <v>52</v>
      </c>
      <c r="P214" s="93">
        <v>5.8000000000000003E-2</v>
      </c>
      <c r="Q214" s="93">
        <v>1.9E-2</v>
      </c>
      <c r="R214" s="93">
        <v>0.49399999999999999</v>
      </c>
      <c r="S214" s="93">
        <f>1-0.747</f>
        <v>0.253</v>
      </c>
      <c r="T214" s="63" t="s">
        <v>92</v>
      </c>
      <c r="U214" s="95" t="s">
        <v>762</v>
      </c>
      <c r="V214" s="63" t="s">
        <v>80</v>
      </c>
      <c r="W214" s="63" t="s">
        <v>153</v>
      </c>
      <c r="X214" s="63" t="s">
        <v>513</v>
      </c>
      <c r="Y214" s="63" t="s">
        <v>58</v>
      </c>
      <c r="Z214" s="63">
        <f t="shared" si="14"/>
        <v>2880</v>
      </c>
      <c r="AA214" s="63">
        <f>2*8*4</f>
        <v>64</v>
      </c>
      <c r="AB214" s="63">
        <v>45</v>
      </c>
      <c r="AC214" s="63" t="s">
        <v>148</v>
      </c>
      <c r="AD214" s="63" t="s">
        <v>763</v>
      </c>
      <c r="AE214" s="63" t="s">
        <v>95</v>
      </c>
      <c r="AF214" s="63" t="s">
        <v>461</v>
      </c>
      <c r="AG214" s="153" t="s">
        <v>764</v>
      </c>
      <c r="AH214" s="124">
        <v>6.93</v>
      </c>
      <c r="AI214" s="124">
        <v>2.96</v>
      </c>
      <c r="AJ214" s="124">
        <v>293</v>
      </c>
      <c r="AK214" s="124">
        <v>9.6199999999999992</v>
      </c>
      <c r="AL214" s="124">
        <v>3.41</v>
      </c>
      <c r="AM214" s="128">
        <v>291</v>
      </c>
      <c r="AN214" s="201" t="s">
        <v>52</v>
      </c>
      <c r="AO214" s="201" t="s">
        <v>52</v>
      </c>
      <c r="AP214" s="201" t="s">
        <v>52</v>
      </c>
      <c r="AQ214" s="201" t="s">
        <v>52</v>
      </c>
      <c r="AR214" s="128"/>
      <c r="AS214" s="128"/>
    </row>
    <row r="215" spans="1:47" s="60" customFormat="1">
      <c r="A215" s="116" t="s">
        <v>766</v>
      </c>
      <c r="B215" s="117">
        <v>139</v>
      </c>
      <c r="C215" s="116" t="s">
        <v>767</v>
      </c>
      <c r="D215" s="88" t="s">
        <v>454</v>
      </c>
      <c r="E215" s="88" t="s">
        <v>66</v>
      </c>
      <c r="F215" s="88" t="s">
        <v>49</v>
      </c>
      <c r="G215" s="88" t="s">
        <v>754</v>
      </c>
      <c r="H215" s="285" t="s">
        <v>923</v>
      </c>
      <c r="I215" s="285" t="str">
        <f t="shared" si="9"/>
        <v>cm</v>
      </c>
      <c r="J215" s="127">
        <v>1</v>
      </c>
      <c r="K215" s="60" t="s">
        <v>768</v>
      </c>
      <c r="L215" s="60">
        <v>3</v>
      </c>
      <c r="M215" s="90">
        <v>8.99</v>
      </c>
      <c r="N215" s="90">
        <v>1</v>
      </c>
      <c r="O215" s="90">
        <v>0</v>
      </c>
      <c r="P215" s="90">
        <v>0</v>
      </c>
      <c r="Q215" s="90">
        <v>0</v>
      </c>
      <c r="R215" s="90">
        <f>1-0.36</f>
        <v>0.64</v>
      </c>
      <c r="S215" s="90">
        <f>1-0.56</f>
        <v>0.43999999999999995</v>
      </c>
      <c r="T215" s="60" t="s">
        <v>53</v>
      </c>
      <c r="U215" s="92" t="s">
        <v>769</v>
      </c>
      <c r="V215" s="60" t="s">
        <v>458</v>
      </c>
      <c r="W215" s="60" t="s">
        <v>153</v>
      </c>
      <c r="X215" s="60" t="s">
        <v>57</v>
      </c>
      <c r="Y215" s="60" t="s">
        <v>72</v>
      </c>
      <c r="Z215" s="60">
        <f t="shared" si="14"/>
        <v>900</v>
      </c>
      <c r="AA215" s="60">
        <f>2.5*8</f>
        <v>20</v>
      </c>
      <c r="AB215" s="60">
        <v>45</v>
      </c>
      <c r="AC215" s="60" t="s">
        <v>59</v>
      </c>
      <c r="AD215" s="60" t="s">
        <v>770</v>
      </c>
      <c r="AE215" s="60" t="s">
        <v>61</v>
      </c>
      <c r="AF215" s="60" t="s">
        <v>538</v>
      </c>
      <c r="AG215" s="152" t="s">
        <v>771</v>
      </c>
      <c r="AH215" s="79">
        <v>2.5499999999999998</v>
      </c>
      <c r="AI215" s="79">
        <v>0.93</v>
      </c>
      <c r="AJ215" s="79">
        <v>14</v>
      </c>
      <c r="AK215" s="79">
        <v>2.36</v>
      </c>
      <c r="AL215" s="79">
        <v>1.03</v>
      </c>
      <c r="AM215" s="127">
        <v>14</v>
      </c>
      <c r="AN215" s="200" t="s">
        <v>52</v>
      </c>
      <c r="AO215" s="200" t="s">
        <v>52</v>
      </c>
      <c r="AP215" s="200" t="s">
        <v>52</v>
      </c>
      <c r="AQ215" s="200" t="s">
        <v>52</v>
      </c>
      <c r="AR215" s="127"/>
      <c r="AS215" s="127"/>
      <c r="AU215" s="60">
        <v>1</v>
      </c>
    </row>
    <row r="216" spans="1:47" s="63" customFormat="1">
      <c r="A216" s="122"/>
      <c r="B216" s="123"/>
      <c r="C216" s="122"/>
      <c r="D216" s="89"/>
      <c r="E216" s="89"/>
      <c r="F216" s="89"/>
      <c r="G216" s="89"/>
      <c r="H216" s="286" t="s">
        <v>919</v>
      </c>
      <c r="I216" s="286" t="str">
        <f t="shared" si="9"/>
        <v>cm</v>
      </c>
      <c r="J216" s="128">
        <v>0</v>
      </c>
      <c r="K216" s="63" t="s">
        <v>772</v>
      </c>
      <c r="L216" s="63">
        <v>3</v>
      </c>
      <c r="M216" s="93">
        <v>8.99</v>
      </c>
      <c r="N216" s="93">
        <v>1</v>
      </c>
      <c r="O216" s="93">
        <v>0</v>
      </c>
      <c r="P216" s="93">
        <v>0</v>
      </c>
      <c r="Q216" s="93">
        <v>0</v>
      </c>
      <c r="R216" s="93">
        <f>1-0.36</f>
        <v>0.64</v>
      </c>
      <c r="S216" s="93">
        <f>1-0.56</f>
        <v>0.43999999999999995</v>
      </c>
      <c r="T216" s="63" t="s">
        <v>53</v>
      </c>
      <c r="U216" s="95" t="s">
        <v>769</v>
      </c>
      <c r="V216" s="63" t="s">
        <v>458</v>
      </c>
      <c r="W216" s="63" t="s">
        <v>153</v>
      </c>
      <c r="X216" s="63" t="s">
        <v>57</v>
      </c>
      <c r="Y216" s="63" t="s">
        <v>72</v>
      </c>
      <c r="Z216" s="63">
        <f t="shared" si="14"/>
        <v>900</v>
      </c>
      <c r="AA216" s="63">
        <f>2.5*8</f>
        <v>20</v>
      </c>
      <c r="AB216" s="63">
        <v>45</v>
      </c>
      <c r="AC216" s="63" t="s">
        <v>59</v>
      </c>
      <c r="AD216" s="63" t="s">
        <v>770</v>
      </c>
      <c r="AE216" s="63" t="s">
        <v>61</v>
      </c>
      <c r="AF216" s="63" t="s">
        <v>538</v>
      </c>
      <c r="AG216" s="153" t="s">
        <v>771</v>
      </c>
      <c r="AH216" s="80">
        <v>1.86</v>
      </c>
      <c r="AI216" s="80">
        <v>0.95</v>
      </c>
      <c r="AJ216" s="80">
        <v>11</v>
      </c>
      <c r="AK216" s="80">
        <v>2.29</v>
      </c>
      <c r="AL216" s="80">
        <v>1.2</v>
      </c>
      <c r="AM216" s="128">
        <v>11</v>
      </c>
      <c r="AN216" s="201" t="s">
        <v>52</v>
      </c>
      <c r="AO216" s="201" t="s">
        <v>52</v>
      </c>
      <c r="AP216" s="201" t="s">
        <v>52</v>
      </c>
      <c r="AQ216" s="201" t="s">
        <v>52</v>
      </c>
      <c r="AR216" s="128"/>
      <c r="AS216" s="128"/>
      <c r="AU216" s="63">
        <v>1</v>
      </c>
    </row>
    <row r="217" spans="1:47" s="60" customFormat="1">
      <c r="A217" s="116" t="s">
        <v>773</v>
      </c>
      <c r="B217" s="117">
        <v>140.1</v>
      </c>
      <c r="C217" s="116" t="s">
        <v>47</v>
      </c>
      <c r="D217" s="88" t="s">
        <v>454</v>
      </c>
      <c r="E217" s="88" t="s">
        <v>66</v>
      </c>
      <c r="F217" s="88" t="s">
        <v>229</v>
      </c>
      <c r="G217" s="88" t="s">
        <v>239</v>
      </c>
      <c r="H217" s="285" t="s">
        <v>922</v>
      </c>
      <c r="I217" s="285" t="str">
        <f t="shared" si="9"/>
        <v>cm</v>
      </c>
      <c r="J217" s="127">
        <v>1</v>
      </c>
      <c r="K217" s="60" t="s">
        <v>774</v>
      </c>
      <c r="L217" s="60">
        <v>4</v>
      </c>
      <c r="M217" s="90">
        <v>9.5</v>
      </c>
      <c r="N217" s="90" t="s">
        <v>52</v>
      </c>
      <c r="O217" s="90" t="s">
        <v>52</v>
      </c>
      <c r="P217" s="90" t="s">
        <v>52</v>
      </c>
      <c r="Q217" s="90">
        <v>1</v>
      </c>
      <c r="R217" s="90">
        <v>1</v>
      </c>
      <c r="S217" s="186">
        <v>1</v>
      </c>
      <c r="T217" s="60" t="s">
        <v>53</v>
      </c>
      <c r="U217" s="92" t="s">
        <v>775</v>
      </c>
      <c r="V217" s="60" t="s">
        <v>458</v>
      </c>
      <c r="W217" s="126" t="s">
        <v>153</v>
      </c>
      <c r="X217" s="126" t="s">
        <v>513</v>
      </c>
      <c r="Y217" s="126" t="s">
        <v>58</v>
      </c>
      <c r="Z217" s="126">
        <f>AA217*AB217</f>
        <v>1080</v>
      </c>
      <c r="AA217" s="126">
        <f>8*3</f>
        <v>24</v>
      </c>
      <c r="AB217" s="126">
        <v>45</v>
      </c>
      <c r="AC217" s="126" t="s">
        <v>148</v>
      </c>
      <c r="AD217" s="60" t="s">
        <v>776</v>
      </c>
      <c r="AE217" s="60" t="s">
        <v>777</v>
      </c>
      <c r="AF217" s="60" t="s">
        <v>778</v>
      </c>
      <c r="AG217" s="152" t="s">
        <v>779</v>
      </c>
      <c r="AH217" s="120">
        <v>7.82</v>
      </c>
      <c r="AI217" s="120">
        <v>3.7</v>
      </c>
      <c r="AJ217" s="120">
        <v>17</v>
      </c>
      <c r="AK217" s="120">
        <v>8.4700000000000006</v>
      </c>
      <c r="AL217" s="120">
        <v>3.52</v>
      </c>
      <c r="AM217" s="127">
        <v>17</v>
      </c>
      <c r="AN217" s="200" t="s">
        <v>52</v>
      </c>
      <c r="AO217" s="200" t="s">
        <v>52</v>
      </c>
      <c r="AP217" s="200" t="s">
        <v>52</v>
      </c>
      <c r="AQ217" s="200" t="s">
        <v>52</v>
      </c>
      <c r="AR217" s="127"/>
      <c r="AS217" s="127"/>
    </row>
    <row r="218" spans="1:47" s="60" customFormat="1">
      <c r="A218" s="116"/>
      <c r="B218" s="117"/>
      <c r="C218" s="116"/>
      <c r="D218" s="88"/>
      <c r="E218" s="88"/>
      <c r="F218" s="88"/>
      <c r="G218" s="88"/>
      <c r="H218" s="285" t="s">
        <v>919</v>
      </c>
      <c r="I218" s="285" t="str">
        <f t="shared" si="9"/>
        <v>.</v>
      </c>
      <c r="J218" s="127">
        <v>0</v>
      </c>
      <c r="K218" s="60" t="s">
        <v>780</v>
      </c>
      <c r="L218" s="60">
        <v>4</v>
      </c>
      <c r="M218" s="90">
        <v>9.5</v>
      </c>
      <c r="N218" s="90" t="s">
        <v>52</v>
      </c>
      <c r="O218" s="90" t="s">
        <v>52</v>
      </c>
      <c r="P218" s="90" t="s">
        <v>52</v>
      </c>
      <c r="Q218" s="90">
        <v>1</v>
      </c>
      <c r="R218" s="90">
        <v>1</v>
      </c>
      <c r="S218" s="90">
        <v>1</v>
      </c>
      <c r="T218" s="60" t="s">
        <v>78</v>
      </c>
      <c r="U218" s="92" t="s">
        <v>781</v>
      </c>
      <c r="V218" s="60" t="s">
        <v>80</v>
      </c>
      <c r="W218" s="60" t="s">
        <v>153</v>
      </c>
      <c r="X218" s="60" t="s">
        <v>513</v>
      </c>
      <c r="Y218" s="60" t="s">
        <v>58</v>
      </c>
      <c r="Z218" s="60">
        <f t="shared" ref="Z218:Z220" si="15">AA218*AB218</f>
        <v>1080</v>
      </c>
      <c r="AA218" s="60">
        <f t="shared" ref="AA218:AA220" si="16">8*3</f>
        <v>24</v>
      </c>
      <c r="AB218" s="60">
        <v>45</v>
      </c>
      <c r="AC218" s="60" t="s">
        <v>148</v>
      </c>
      <c r="AD218" s="60" t="s">
        <v>776</v>
      </c>
      <c r="AE218" s="60" t="s">
        <v>777</v>
      </c>
      <c r="AF218" s="60" t="s">
        <v>778</v>
      </c>
      <c r="AG218" s="152" t="s">
        <v>779</v>
      </c>
      <c r="AH218" s="120">
        <v>7.64</v>
      </c>
      <c r="AI218" s="120">
        <v>3.65</v>
      </c>
      <c r="AJ218" s="120">
        <v>14</v>
      </c>
      <c r="AK218" s="120">
        <v>8</v>
      </c>
      <c r="AL218" s="120">
        <v>3.4</v>
      </c>
      <c r="AM218" s="127">
        <v>14</v>
      </c>
      <c r="AN218" s="200" t="s">
        <v>52</v>
      </c>
      <c r="AO218" s="200" t="s">
        <v>52</v>
      </c>
      <c r="AP218" s="200" t="s">
        <v>52</v>
      </c>
      <c r="AQ218" s="200" t="s">
        <v>52</v>
      </c>
      <c r="AR218" s="127"/>
      <c r="AS218" s="127"/>
    </row>
    <row r="219" spans="1:47" s="60" customFormat="1">
      <c r="A219" s="116" t="s">
        <v>773</v>
      </c>
      <c r="B219" s="117">
        <v>140.19999999999999</v>
      </c>
      <c r="C219" s="116" t="s">
        <v>47</v>
      </c>
      <c r="D219" s="88" t="s">
        <v>454</v>
      </c>
      <c r="E219" s="88" t="s">
        <v>66</v>
      </c>
      <c r="F219" s="88" t="s">
        <v>229</v>
      </c>
      <c r="G219" s="88" t="s">
        <v>239</v>
      </c>
      <c r="H219" s="285" t="s">
        <v>922</v>
      </c>
      <c r="I219" s="285" t="str">
        <f t="shared" si="9"/>
        <v>cm</v>
      </c>
      <c r="J219" s="127">
        <v>1</v>
      </c>
      <c r="K219" s="60" t="s">
        <v>774</v>
      </c>
      <c r="L219" s="60">
        <v>5</v>
      </c>
      <c r="M219" s="90">
        <v>10.5</v>
      </c>
      <c r="N219" s="90" t="s">
        <v>52</v>
      </c>
      <c r="O219" s="90" t="s">
        <v>52</v>
      </c>
      <c r="P219" s="90" t="s">
        <v>52</v>
      </c>
      <c r="Q219" s="90">
        <v>1</v>
      </c>
      <c r="R219" s="90">
        <v>1</v>
      </c>
      <c r="S219" s="90">
        <v>1</v>
      </c>
      <c r="T219" s="60" t="s">
        <v>53</v>
      </c>
      <c r="U219" s="92" t="s">
        <v>775</v>
      </c>
      <c r="V219" s="60" t="s">
        <v>458</v>
      </c>
      <c r="W219" s="60" t="s">
        <v>153</v>
      </c>
      <c r="X219" s="60" t="s">
        <v>513</v>
      </c>
      <c r="Y219" s="60" t="s">
        <v>58</v>
      </c>
      <c r="Z219" s="60">
        <f t="shared" si="15"/>
        <v>1080</v>
      </c>
      <c r="AA219" s="60">
        <f t="shared" si="16"/>
        <v>24</v>
      </c>
      <c r="AB219" s="60">
        <v>45</v>
      </c>
      <c r="AC219" s="60" t="s">
        <v>148</v>
      </c>
      <c r="AD219" s="60" t="s">
        <v>776</v>
      </c>
      <c r="AE219" s="60" t="s">
        <v>777</v>
      </c>
      <c r="AF219" s="60" t="s">
        <v>778</v>
      </c>
      <c r="AG219" s="152" t="s">
        <v>779</v>
      </c>
      <c r="AH219" s="120">
        <v>9.67</v>
      </c>
      <c r="AI219" s="120">
        <v>3.42</v>
      </c>
      <c r="AJ219" s="120">
        <v>12</v>
      </c>
      <c r="AK219" s="120">
        <v>11.58</v>
      </c>
      <c r="AL219" s="120">
        <v>3.94</v>
      </c>
      <c r="AM219" s="127">
        <v>12</v>
      </c>
      <c r="AN219" s="200" t="s">
        <v>52</v>
      </c>
      <c r="AO219" s="200" t="s">
        <v>52</v>
      </c>
      <c r="AP219" s="200" t="s">
        <v>52</v>
      </c>
      <c r="AQ219" s="200" t="s">
        <v>52</v>
      </c>
      <c r="AR219" s="127"/>
      <c r="AS219" s="127"/>
    </row>
    <row r="220" spans="1:47" s="63" customFormat="1">
      <c r="A220" s="122"/>
      <c r="B220" s="123"/>
      <c r="C220" s="122"/>
      <c r="D220" s="89"/>
      <c r="E220" s="89"/>
      <c r="F220" s="89"/>
      <c r="G220" s="89"/>
      <c r="H220" s="286" t="s">
        <v>919</v>
      </c>
      <c r="I220" s="286" t="str">
        <f t="shared" si="9"/>
        <v>.</v>
      </c>
      <c r="J220" s="128">
        <v>0</v>
      </c>
      <c r="K220" s="63" t="s">
        <v>780</v>
      </c>
      <c r="L220" s="63">
        <v>5</v>
      </c>
      <c r="M220" s="93">
        <v>10.5</v>
      </c>
      <c r="N220" s="93" t="s">
        <v>52</v>
      </c>
      <c r="O220" s="93" t="s">
        <v>52</v>
      </c>
      <c r="P220" s="93" t="s">
        <v>52</v>
      </c>
      <c r="Q220" s="93">
        <v>1</v>
      </c>
      <c r="R220" s="93">
        <v>1</v>
      </c>
      <c r="S220" s="93">
        <v>1</v>
      </c>
      <c r="T220" s="63" t="s">
        <v>78</v>
      </c>
      <c r="U220" s="95" t="s">
        <v>781</v>
      </c>
      <c r="V220" s="63" t="s">
        <v>80</v>
      </c>
      <c r="W220" s="63" t="s">
        <v>153</v>
      </c>
      <c r="X220" s="63" t="s">
        <v>513</v>
      </c>
      <c r="Y220" s="63" t="s">
        <v>58</v>
      </c>
      <c r="Z220" s="63">
        <f t="shared" si="15"/>
        <v>1080</v>
      </c>
      <c r="AA220" s="63">
        <f t="shared" si="16"/>
        <v>24</v>
      </c>
      <c r="AB220" s="63">
        <v>45</v>
      </c>
      <c r="AC220" s="63" t="s">
        <v>148</v>
      </c>
      <c r="AD220" s="63" t="s">
        <v>776</v>
      </c>
      <c r="AE220" s="63" t="s">
        <v>777</v>
      </c>
      <c r="AF220" s="63" t="s">
        <v>778</v>
      </c>
      <c r="AG220" s="153" t="s">
        <v>779</v>
      </c>
      <c r="AH220" s="124">
        <v>9.64</v>
      </c>
      <c r="AI220" s="124">
        <v>3.47</v>
      </c>
      <c r="AJ220" s="124">
        <v>14</v>
      </c>
      <c r="AK220" s="124">
        <v>10.86</v>
      </c>
      <c r="AL220" s="124">
        <v>4.05</v>
      </c>
      <c r="AM220" s="128">
        <v>14</v>
      </c>
      <c r="AN220" s="201" t="s">
        <v>52</v>
      </c>
      <c r="AO220" s="201" t="s">
        <v>52</v>
      </c>
      <c r="AP220" s="201" t="s">
        <v>52</v>
      </c>
      <c r="AQ220" s="201" t="s">
        <v>52</v>
      </c>
      <c r="AR220" s="128"/>
      <c r="AS220" s="128"/>
    </row>
    <row r="221" spans="1:47">
      <c r="A221" s="116" t="s">
        <v>796</v>
      </c>
      <c r="B221" s="117">
        <v>141</v>
      </c>
      <c r="C221" s="116" t="s">
        <v>47</v>
      </c>
      <c r="D221" s="88" t="s">
        <v>454</v>
      </c>
      <c r="E221" s="88" t="s">
        <v>66</v>
      </c>
      <c r="F221" s="88" t="s">
        <v>229</v>
      </c>
      <c r="G221" s="88" t="s">
        <v>50</v>
      </c>
      <c r="H221" s="285" t="s">
        <v>921</v>
      </c>
      <c r="I221" s="285" t="str">
        <f t="shared" si="9"/>
        <v xml:space="preserve">m </v>
      </c>
      <c r="J221" s="127">
        <v>1</v>
      </c>
      <c r="K221" s="60" t="s">
        <v>797</v>
      </c>
      <c r="L221" s="60" t="s">
        <v>91</v>
      </c>
      <c r="M221" s="90">
        <v>13.2</v>
      </c>
      <c r="N221" s="90">
        <v>0.50800000000000001</v>
      </c>
      <c r="O221" s="90">
        <v>1</v>
      </c>
      <c r="P221" s="90" t="s">
        <v>52</v>
      </c>
      <c r="Q221" s="90">
        <f>8/(16+6)</f>
        <v>0.36363636363636365</v>
      </c>
      <c r="R221" s="90">
        <v>0.72699999999999998</v>
      </c>
      <c r="S221" s="90">
        <f>1-0.227</f>
        <v>0.77300000000000002</v>
      </c>
      <c r="T221" s="60" t="s">
        <v>92</v>
      </c>
      <c r="U221" s="92" t="s">
        <v>798</v>
      </c>
      <c r="V221" s="60" t="s">
        <v>458</v>
      </c>
      <c r="W221" s="60" t="s">
        <v>56</v>
      </c>
      <c r="X221" s="60" t="s">
        <v>57</v>
      </c>
      <c r="Y221" s="60" t="s">
        <v>72</v>
      </c>
      <c r="Z221" s="60">
        <f>AA221*AB221</f>
        <v>360</v>
      </c>
      <c r="AA221" s="60">
        <v>12</v>
      </c>
      <c r="AB221" s="60">
        <v>30</v>
      </c>
      <c r="AC221" s="60" t="s">
        <v>59</v>
      </c>
      <c r="AD221" s="60" t="s">
        <v>799</v>
      </c>
      <c r="AE221" s="60" t="s">
        <v>61</v>
      </c>
      <c r="AF221" s="60" t="s">
        <v>461</v>
      </c>
      <c r="AG221" s="152" t="s">
        <v>52</v>
      </c>
      <c r="AH221" s="120">
        <v>3.82</v>
      </c>
      <c r="AI221" s="120">
        <v>1.31</v>
      </c>
      <c r="AJ221" s="120">
        <v>22</v>
      </c>
      <c r="AK221" s="120">
        <v>7.39</v>
      </c>
      <c r="AL221" s="120">
        <v>2.17</v>
      </c>
      <c r="AM221" s="127">
        <v>22</v>
      </c>
      <c r="AN221" s="199" t="s">
        <v>52</v>
      </c>
      <c r="AO221" s="199" t="s">
        <v>52</v>
      </c>
      <c r="AP221" s="199" t="s">
        <v>52</v>
      </c>
      <c r="AQ221" s="199" t="s">
        <v>52</v>
      </c>
      <c r="AR221" s="200"/>
      <c r="AS221" s="200"/>
    </row>
    <row r="222" spans="1:47">
      <c r="A222" s="116"/>
      <c r="B222" s="117"/>
      <c r="C222" s="116"/>
      <c r="F222" s="88"/>
      <c r="I222" s="285" t="str">
        <f t="shared" si="9"/>
        <v/>
      </c>
      <c r="K222" s="60"/>
      <c r="L222" s="60"/>
      <c r="M222" s="90"/>
      <c r="N222" s="90"/>
      <c r="O222" s="90"/>
      <c r="P222" s="90"/>
      <c r="Q222" s="90"/>
      <c r="R222" s="90"/>
      <c r="S222" s="90"/>
      <c r="T222" s="60"/>
      <c r="U222" s="92"/>
      <c r="V222" s="60"/>
      <c r="W222" s="60"/>
      <c r="X222" s="60"/>
      <c r="Y222" s="60"/>
      <c r="Z222" s="60"/>
      <c r="AA222" s="60"/>
      <c r="AB222" s="60"/>
      <c r="AC222" s="60"/>
      <c r="AD222" s="60" t="s">
        <v>800</v>
      </c>
      <c r="AE222" s="60" t="s">
        <v>95</v>
      </c>
      <c r="AF222" s="60" t="s">
        <v>461</v>
      </c>
      <c r="AG222" s="152" t="s">
        <v>52</v>
      </c>
      <c r="AH222" s="120">
        <v>2.14</v>
      </c>
      <c r="AI222" s="120">
        <v>1.36</v>
      </c>
      <c r="AJ222" s="120">
        <v>22</v>
      </c>
      <c r="AK222" s="120">
        <v>3.41</v>
      </c>
      <c r="AL222" s="120">
        <v>1.99</v>
      </c>
      <c r="AM222" s="127">
        <v>22</v>
      </c>
      <c r="AN222" s="200" t="s">
        <v>52</v>
      </c>
      <c r="AO222" s="200" t="s">
        <v>52</v>
      </c>
      <c r="AP222" s="200" t="s">
        <v>52</v>
      </c>
      <c r="AQ222" s="200" t="s">
        <v>52</v>
      </c>
      <c r="AR222" s="200"/>
      <c r="AS222" s="200"/>
    </row>
    <row r="223" spans="1:47">
      <c r="A223" s="116"/>
      <c r="B223" s="117"/>
      <c r="C223" s="116"/>
      <c r="F223" s="88"/>
      <c r="I223" s="285" t="str">
        <f t="shared" si="9"/>
        <v/>
      </c>
      <c r="K223" s="60"/>
      <c r="L223" s="60"/>
      <c r="M223" s="90"/>
      <c r="N223" s="90"/>
      <c r="O223" s="90"/>
      <c r="P223" s="90"/>
      <c r="Q223" s="90"/>
      <c r="R223" s="90"/>
      <c r="S223" s="90"/>
      <c r="T223" s="60"/>
      <c r="U223" s="92"/>
      <c r="V223" s="60"/>
      <c r="W223" s="60"/>
      <c r="X223" s="60"/>
      <c r="Y223" s="60"/>
      <c r="Z223" s="60"/>
      <c r="AA223" s="60"/>
      <c r="AB223" s="60"/>
      <c r="AC223" s="60"/>
      <c r="AD223" s="60" t="s">
        <v>801</v>
      </c>
      <c r="AE223" s="60" t="s">
        <v>95</v>
      </c>
      <c r="AF223" s="60" t="s">
        <v>461</v>
      </c>
      <c r="AG223" s="152" t="s">
        <v>52</v>
      </c>
      <c r="AH223" s="120">
        <v>4.32</v>
      </c>
      <c r="AI223" s="120">
        <v>1.52</v>
      </c>
      <c r="AJ223" s="120">
        <v>22</v>
      </c>
      <c r="AK223" s="120">
        <v>5.45</v>
      </c>
      <c r="AL223" s="120">
        <v>1.65</v>
      </c>
      <c r="AM223" s="127">
        <v>22</v>
      </c>
      <c r="AN223" s="200" t="s">
        <v>52</v>
      </c>
      <c r="AO223" s="200" t="s">
        <v>52</v>
      </c>
      <c r="AP223" s="200" t="s">
        <v>52</v>
      </c>
      <c r="AQ223" s="200" t="s">
        <v>52</v>
      </c>
      <c r="AR223" s="200"/>
      <c r="AS223" s="200"/>
    </row>
    <row r="224" spans="1:47">
      <c r="A224" s="116"/>
      <c r="B224" s="117"/>
      <c r="C224" s="116"/>
      <c r="F224" s="88"/>
      <c r="I224" s="285" t="str">
        <f t="shared" si="9"/>
        <v/>
      </c>
      <c r="K224" s="60"/>
      <c r="L224" s="60"/>
      <c r="M224" s="90"/>
      <c r="N224" s="90"/>
      <c r="O224" s="90"/>
      <c r="P224" s="90"/>
      <c r="Q224" s="90"/>
      <c r="R224" s="90"/>
      <c r="S224" s="90"/>
      <c r="T224" s="60"/>
      <c r="U224" s="92"/>
      <c r="V224" s="60"/>
      <c r="W224" s="60"/>
      <c r="X224" s="60"/>
      <c r="Y224" s="60"/>
      <c r="Z224" s="60"/>
      <c r="AA224" s="60"/>
      <c r="AB224" s="60"/>
      <c r="AC224" s="60"/>
      <c r="AD224" s="63" t="s">
        <v>802</v>
      </c>
      <c r="AE224" s="63" t="s">
        <v>95</v>
      </c>
      <c r="AF224" s="63" t="s">
        <v>461</v>
      </c>
      <c r="AG224" s="153" t="s">
        <v>52</v>
      </c>
      <c r="AH224" s="124">
        <v>6.45</v>
      </c>
      <c r="AI224" s="124">
        <v>2.2400000000000002</v>
      </c>
      <c r="AJ224" s="124">
        <v>22</v>
      </c>
      <c r="AK224" s="124">
        <v>8.86</v>
      </c>
      <c r="AL224" s="124">
        <v>3.39</v>
      </c>
      <c r="AM224" s="128">
        <v>22</v>
      </c>
      <c r="AN224" s="200" t="s">
        <v>52</v>
      </c>
      <c r="AO224" s="200" t="s">
        <v>52</v>
      </c>
      <c r="AP224" s="200" t="s">
        <v>52</v>
      </c>
      <c r="AQ224" s="200" t="s">
        <v>52</v>
      </c>
      <c r="AR224" s="200"/>
      <c r="AS224" s="200"/>
    </row>
    <row r="225" spans="1:49">
      <c r="A225" s="116"/>
      <c r="B225" s="117"/>
      <c r="C225" s="116"/>
      <c r="F225" s="88"/>
      <c r="H225" s="285" t="s">
        <v>922</v>
      </c>
      <c r="I225" s="285" t="str">
        <f t="shared" si="9"/>
        <v xml:space="preserve">m </v>
      </c>
      <c r="J225" s="127">
        <v>2</v>
      </c>
      <c r="K225" s="60" t="s">
        <v>803</v>
      </c>
      <c r="L225" s="60" t="s">
        <v>91</v>
      </c>
      <c r="M225" s="90">
        <v>13.2</v>
      </c>
      <c r="N225" s="90">
        <v>0.50800000000000001</v>
      </c>
      <c r="O225" s="90">
        <v>1</v>
      </c>
      <c r="P225" s="90" t="s">
        <v>52</v>
      </c>
      <c r="Q225" s="90">
        <f>8/20</f>
        <v>0.4</v>
      </c>
      <c r="R225" s="90">
        <v>0.6</v>
      </c>
      <c r="S225" s="90">
        <f>1-0.05</f>
        <v>0.95</v>
      </c>
      <c r="T225" s="60" t="s">
        <v>92</v>
      </c>
      <c r="U225" s="92" t="s">
        <v>798</v>
      </c>
      <c r="V225" s="60" t="s">
        <v>458</v>
      </c>
      <c r="W225" s="60" t="s">
        <v>56</v>
      </c>
      <c r="X225" s="60" t="s">
        <v>57</v>
      </c>
      <c r="Y225" s="60" t="s">
        <v>58</v>
      </c>
      <c r="Z225" s="60">
        <f t="shared" ref="Z225:Z229" si="17">AA225*AB225</f>
        <v>360</v>
      </c>
      <c r="AA225" s="60">
        <v>12</v>
      </c>
      <c r="AB225" s="60">
        <v>30</v>
      </c>
      <c r="AC225" s="60" t="s">
        <v>59</v>
      </c>
      <c r="AD225" s="60" t="s">
        <v>799</v>
      </c>
      <c r="AE225" s="60" t="s">
        <v>61</v>
      </c>
      <c r="AF225" s="60" t="s">
        <v>461</v>
      </c>
      <c r="AG225" s="152" t="s">
        <v>52</v>
      </c>
      <c r="AH225" s="127">
        <v>3.7</v>
      </c>
      <c r="AI225" s="127">
        <v>1.73</v>
      </c>
      <c r="AJ225" s="127">
        <v>20</v>
      </c>
      <c r="AK225" s="127">
        <v>6.35</v>
      </c>
      <c r="AL225" s="127">
        <v>1.78</v>
      </c>
      <c r="AM225" s="127">
        <v>20</v>
      </c>
      <c r="AN225" s="200" t="s">
        <v>52</v>
      </c>
      <c r="AO225" s="200" t="s">
        <v>52</v>
      </c>
      <c r="AP225" s="200" t="s">
        <v>52</v>
      </c>
      <c r="AQ225" s="200" t="s">
        <v>52</v>
      </c>
      <c r="AR225" s="200"/>
      <c r="AS225" s="200"/>
    </row>
    <row r="226" spans="1:49">
      <c r="A226" s="116"/>
      <c r="B226" s="117"/>
      <c r="C226" s="116"/>
      <c r="F226" s="88"/>
      <c r="I226" s="285" t="str">
        <f t="shared" si="9"/>
        <v/>
      </c>
      <c r="K226" s="60"/>
      <c r="L226" s="60"/>
      <c r="M226" s="90"/>
      <c r="N226" s="90"/>
      <c r="O226" s="90"/>
      <c r="P226" s="90"/>
      <c r="Q226" s="90"/>
      <c r="R226" s="90"/>
      <c r="S226" s="90"/>
      <c r="T226" s="60"/>
      <c r="U226" s="92"/>
      <c r="V226" s="60"/>
      <c r="W226" s="60"/>
      <c r="X226" s="60"/>
      <c r="Y226" s="60"/>
      <c r="Z226" s="60"/>
      <c r="AA226" s="60"/>
      <c r="AB226" s="60"/>
      <c r="AC226" s="60"/>
      <c r="AD226" s="60" t="s">
        <v>800</v>
      </c>
      <c r="AE226" s="60" t="s">
        <v>95</v>
      </c>
      <c r="AF226" s="60" t="s">
        <v>461</v>
      </c>
      <c r="AG226" s="152" t="s">
        <v>52</v>
      </c>
      <c r="AH226" s="120">
        <v>1.55</v>
      </c>
      <c r="AI226" s="120">
        <v>1.4</v>
      </c>
      <c r="AJ226" s="120">
        <v>20</v>
      </c>
      <c r="AK226" s="120">
        <v>3</v>
      </c>
      <c r="AL226" s="120">
        <v>2.1800000000000002</v>
      </c>
      <c r="AM226" s="127">
        <v>20</v>
      </c>
      <c r="AN226" s="200" t="s">
        <v>52</v>
      </c>
      <c r="AO226" s="200" t="s">
        <v>52</v>
      </c>
      <c r="AP226" s="200" t="s">
        <v>52</v>
      </c>
      <c r="AQ226" s="200" t="s">
        <v>52</v>
      </c>
      <c r="AR226" s="200"/>
      <c r="AS226" s="200"/>
    </row>
    <row r="227" spans="1:49">
      <c r="A227" s="116"/>
      <c r="B227" s="117"/>
      <c r="C227" s="116"/>
      <c r="F227" s="88"/>
      <c r="I227" s="285" t="str">
        <f t="shared" si="9"/>
        <v/>
      </c>
      <c r="K227" s="60"/>
      <c r="L227" s="60"/>
      <c r="M227" s="90"/>
      <c r="N227" s="90"/>
      <c r="O227" s="90"/>
      <c r="P227" s="90"/>
      <c r="Q227" s="90"/>
      <c r="R227" s="90"/>
      <c r="S227" s="90"/>
      <c r="T227" s="60"/>
      <c r="U227" s="92"/>
      <c r="V227" s="60"/>
      <c r="W227" s="60"/>
      <c r="X227" s="60"/>
      <c r="Y227" s="60"/>
      <c r="Z227" s="60"/>
      <c r="AA227" s="60"/>
      <c r="AB227" s="60"/>
      <c r="AC227" s="60"/>
      <c r="AD227" s="60" t="s">
        <v>801</v>
      </c>
      <c r="AE227" s="60" t="s">
        <v>95</v>
      </c>
      <c r="AF227" s="60" t="s">
        <v>461</v>
      </c>
      <c r="AG227" s="152" t="s">
        <v>52</v>
      </c>
      <c r="AH227" s="120">
        <v>4.2</v>
      </c>
      <c r="AI227" s="120">
        <v>1.44</v>
      </c>
      <c r="AJ227" s="120">
        <v>20</v>
      </c>
      <c r="AK227" s="120">
        <v>4.95</v>
      </c>
      <c r="AL227" s="120">
        <v>1.79</v>
      </c>
      <c r="AM227" s="127">
        <v>20</v>
      </c>
      <c r="AN227" s="200" t="s">
        <v>52</v>
      </c>
      <c r="AO227" s="200" t="s">
        <v>52</v>
      </c>
      <c r="AP227" s="200" t="s">
        <v>52</v>
      </c>
      <c r="AQ227" s="200" t="s">
        <v>52</v>
      </c>
      <c r="AR227" s="200"/>
      <c r="AS227" s="200"/>
    </row>
    <row r="228" spans="1:49">
      <c r="A228" s="116"/>
      <c r="B228" s="117"/>
      <c r="C228" s="116"/>
      <c r="F228" s="88"/>
      <c r="I228" s="285" t="str">
        <f t="shared" si="9"/>
        <v/>
      </c>
      <c r="K228" s="60"/>
      <c r="L228" s="60"/>
      <c r="M228" s="90"/>
      <c r="N228" s="90"/>
      <c r="O228" s="90"/>
      <c r="P228" s="90"/>
      <c r="Q228" s="90"/>
      <c r="R228" s="90"/>
      <c r="S228" s="90"/>
      <c r="T228" s="60"/>
      <c r="U228" s="92"/>
      <c r="V228" s="60"/>
      <c r="W228" s="60"/>
      <c r="X228" s="60"/>
      <c r="Y228" s="60"/>
      <c r="Z228" s="60"/>
      <c r="AA228" s="60"/>
      <c r="AB228" s="60"/>
      <c r="AC228" s="60"/>
      <c r="AD228" s="63" t="s">
        <v>802</v>
      </c>
      <c r="AE228" s="63" t="s">
        <v>95</v>
      </c>
      <c r="AF228" s="63" t="s">
        <v>461</v>
      </c>
      <c r="AG228" s="153" t="s">
        <v>52</v>
      </c>
      <c r="AH228" s="124">
        <v>5.75</v>
      </c>
      <c r="AI228" s="124">
        <v>2.2000000000000002</v>
      </c>
      <c r="AJ228" s="124">
        <v>20</v>
      </c>
      <c r="AK228" s="124">
        <v>7.95</v>
      </c>
      <c r="AL228" s="124">
        <v>3.76</v>
      </c>
      <c r="AM228" s="128">
        <v>20</v>
      </c>
      <c r="AN228" s="200" t="s">
        <v>52</v>
      </c>
      <c r="AO228" s="200" t="s">
        <v>52</v>
      </c>
      <c r="AP228" s="200" t="s">
        <v>52</v>
      </c>
      <c r="AQ228" s="200" t="s">
        <v>52</v>
      </c>
      <c r="AR228" s="200"/>
      <c r="AS228" s="200"/>
    </row>
    <row r="229" spans="1:49">
      <c r="A229" s="116"/>
      <c r="B229" s="117"/>
      <c r="C229" s="116"/>
      <c r="F229" s="88"/>
      <c r="H229" s="285" t="s">
        <v>919</v>
      </c>
      <c r="I229" s="285" t="str">
        <f t="shared" si="9"/>
        <v>cm</v>
      </c>
      <c r="J229" s="127">
        <v>0</v>
      </c>
      <c r="K229" s="60" t="s">
        <v>804</v>
      </c>
      <c r="L229" s="60" t="s">
        <v>91</v>
      </c>
      <c r="M229" s="90">
        <v>13.2</v>
      </c>
      <c r="N229" s="90">
        <v>0.50800000000000001</v>
      </c>
      <c r="O229" s="90">
        <v>1</v>
      </c>
      <c r="P229" s="90" t="s">
        <v>52</v>
      </c>
      <c r="Q229" s="90">
        <f>8/21</f>
        <v>0.38095238095238093</v>
      </c>
      <c r="R229" s="90">
        <v>0.71399999999999997</v>
      </c>
      <c r="S229" s="90">
        <f>1-0.095</f>
        <v>0.90500000000000003</v>
      </c>
      <c r="T229" s="60" t="s">
        <v>53</v>
      </c>
      <c r="U229" s="92" t="s">
        <v>805</v>
      </c>
      <c r="V229" s="60" t="s">
        <v>466</v>
      </c>
      <c r="W229" s="60" t="s">
        <v>56</v>
      </c>
      <c r="X229" s="60" t="s">
        <v>57</v>
      </c>
      <c r="Y229" s="60" t="s">
        <v>58</v>
      </c>
      <c r="Z229" s="60">
        <f t="shared" si="17"/>
        <v>360</v>
      </c>
      <c r="AA229" s="60">
        <v>12</v>
      </c>
      <c r="AB229" s="60">
        <v>30</v>
      </c>
      <c r="AC229" s="60" t="s">
        <v>59</v>
      </c>
      <c r="AD229" s="60" t="s">
        <v>799</v>
      </c>
      <c r="AE229" s="60" t="s">
        <v>61</v>
      </c>
      <c r="AF229" s="60" t="s">
        <v>461</v>
      </c>
      <c r="AG229" s="152" t="s">
        <v>52</v>
      </c>
      <c r="AH229" s="120">
        <v>3.79</v>
      </c>
      <c r="AI229" s="120">
        <v>1.61</v>
      </c>
      <c r="AJ229" s="120">
        <v>21</v>
      </c>
      <c r="AK229" s="120">
        <v>4.93</v>
      </c>
      <c r="AL229" s="120">
        <v>1.55</v>
      </c>
      <c r="AM229" s="127">
        <v>21</v>
      </c>
      <c r="AN229" s="200" t="s">
        <v>52</v>
      </c>
      <c r="AO229" s="200" t="s">
        <v>52</v>
      </c>
      <c r="AP229" s="200" t="s">
        <v>52</v>
      </c>
      <c r="AQ229" s="200" t="s">
        <v>52</v>
      </c>
      <c r="AR229" s="200"/>
      <c r="AS229" s="200"/>
    </row>
    <row r="230" spans="1:49">
      <c r="A230" s="116"/>
      <c r="B230" s="117"/>
      <c r="C230" s="116"/>
      <c r="F230" s="88"/>
      <c r="I230" s="285" t="str">
        <f t="shared" si="9"/>
        <v/>
      </c>
      <c r="K230" s="60"/>
      <c r="L230" s="60"/>
      <c r="M230" s="90"/>
      <c r="N230" s="90"/>
      <c r="O230" s="90"/>
      <c r="P230" s="90"/>
      <c r="Q230" s="90"/>
      <c r="R230" s="90"/>
      <c r="S230" s="90"/>
      <c r="T230" s="60"/>
      <c r="U230" s="92"/>
      <c r="V230" s="60"/>
      <c r="W230" s="60"/>
      <c r="X230" s="60"/>
      <c r="Y230" s="60"/>
      <c r="Z230" s="60"/>
      <c r="AA230" s="60"/>
      <c r="AB230" s="60"/>
      <c r="AC230" s="60"/>
      <c r="AD230" s="60" t="s">
        <v>800</v>
      </c>
      <c r="AE230" s="60" t="s">
        <v>95</v>
      </c>
      <c r="AF230" s="60" t="s">
        <v>461</v>
      </c>
      <c r="AG230" s="152" t="s">
        <v>52</v>
      </c>
      <c r="AH230" s="120">
        <v>1.71</v>
      </c>
      <c r="AI230" s="120">
        <v>1.19</v>
      </c>
      <c r="AJ230" s="120">
        <v>21</v>
      </c>
      <c r="AK230" s="120">
        <v>3.05</v>
      </c>
      <c r="AL230" s="120">
        <v>2.11</v>
      </c>
      <c r="AM230" s="127">
        <v>21</v>
      </c>
      <c r="AN230" s="200" t="s">
        <v>52</v>
      </c>
      <c r="AO230" s="200" t="s">
        <v>52</v>
      </c>
      <c r="AP230" s="200" t="s">
        <v>52</v>
      </c>
      <c r="AQ230" s="200" t="s">
        <v>52</v>
      </c>
      <c r="AR230" s="200"/>
      <c r="AS230" s="200"/>
    </row>
    <row r="231" spans="1:49">
      <c r="A231" s="116"/>
      <c r="B231" s="117"/>
      <c r="C231" s="116"/>
      <c r="F231" s="88"/>
      <c r="I231" s="285" t="str">
        <f t="shared" si="9"/>
        <v/>
      </c>
      <c r="K231" s="60"/>
      <c r="L231" s="60"/>
      <c r="M231" s="90"/>
      <c r="N231" s="90"/>
      <c r="O231" s="90"/>
      <c r="P231" s="90"/>
      <c r="Q231" s="90"/>
      <c r="R231" s="90"/>
      <c r="S231" s="90"/>
      <c r="T231" s="60"/>
      <c r="U231" s="92"/>
      <c r="V231" s="60"/>
      <c r="W231" s="60"/>
      <c r="X231" s="60"/>
      <c r="Y231" s="60"/>
      <c r="Z231" s="60"/>
      <c r="AA231" s="60"/>
      <c r="AB231" s="60"/>
      <c r="AC231" s="60"/>
      <c r="AD231" s="60" t="s">
        <v>801</v>
      </c>
      <c r="AE231" s="60" t="s">
        <v>95</v>
      </c>
      <c r="AF231" s="60" t="s">
        <v>461</v>
      </c>
      <c r="AG231" s="152" t="s">
        <v>52</v>
      </c>
      <c r="AH231" s="127">
        <v>4.0999999999999996</v>
      </c>
      <c r="AI231" s="127">
        <v>1.22</v>
      </c>
      <c r="AJ231" s="127">
        <v>21</v>
      </c>
      <c r="AK231" s="127">
        <v>5.19</v>
      </c>
      <c r="AL231" s="127">
        <v>2.02</v>
      </c>
      <c r="AM231" s="127">
        <v>21</v>
      </c>
      <c r="AN231" s="200" t="s">
        <v>52</v>
      </c>
      <c r="AO231" s="200" t="s">
        <v>52</v>
      </c>
      <c r="AP231" s="200" t="s">
        <v>52</v>
      </c>
      <c r="AQ231" s="200" t="s">
        <v>52</v>
      </c>
      <c r="AR231" s="200"/>
      <c r="AS231" s="200"/>
    </row>
    <row r="232" spans="1:49">
      <c r="A232" s="122"/>
      <c r="B232" s="123"/>
      <c r="C232" s="122"/>
      <c r="D232" s="89"/>
      <c r="E232" s="89"/>
      <c r="F232" s="89"/>
      <c r="G232" s="89"/>
      <c r="H232" s="286"/>
      <c r="I232" s="286" t="str">
        <f t="shared" si="9"/>
        <v/>
      </c>
      <c r="J232" s="128"/>
      <c r="K232" s="63"/>
      <c r="L232" s="63"/>
      <c r="M232" s="93"/>
      <c r="N232" s="93"/>
      <c r="O232" s="93"/>
      <c r="P232" s="93"/>
      <c r="Q232" s="93"/>
      <c r="R232" s="93"/>
      <c r="S232" s="93"/>
      <c r="T232" s="63"/>
      <c r="U232" s="95"/>
      <c r="V232" s="63"/>
      <c r="W232" s="63"/>
      <c r="X232" s="63"/>
      <c r="Y232" s="63"/>
      <c r="Z232" s="63"/>
      <c r="AA232" s="63"/>
      <c r="AB232" s="63"/>
      <c r="AC232" s="63"/>
      <c r="AD232" s="63" t="s">
        <v>802</v>
      </c>
      <c r="AE232" s="63" t="s">
        <v>95</v>
      </c>
      <c r="AF232" s="63" t="s">
        <v>461</v>
      </c>
      <c r="AG232" s="153" t="s">
        <v>52</v>
      </c>
      <c r="AH232" s="128">
        <v>5.81</v>
      </c>
      <c r="AI232" s="128">
        <v>2.1800000000000002</v>
      </c>
      <c r="AJ232" s="128">
        <v>21</v>
      </c>
      <c r="AK232" s="128">
        <v>8.24</v>
      </c>
      <c r="AL232" s="128">
        <v>3.86</v>
      </c>
      <c r="AM232" s="128">
        <v>21</v>
      </c>
      <c r="AN232" s="201" t="s">
        <v>52</v>
      </c>
      <c r="AO232" s="201" t="s">
        <v>52</v>
      </c>
      <c r="AP232" s="201" t="s">
        <v>52</v>
      </c>
      <c r="AQ232" s="201" t="s">
        <v>52</v>
      </c>
      <c r="AR232" s="201"/>
      <c r="AS232" s="201"/>
    </row>
    <row r="233" spans="1:49">
      <c r="A233" s="116" t="s">
        <v>806</v>
      </c>
      <c r="B233" s="117">
        <v>142.1</v>
      </c>
      <c r="C233" s="116" t="s">
        <v>177</v>
      </c>
      <c r="D233" s="88" t="s">
        <v>454</v>
      </c>
      <c r="E233" s="88" t="s">
        <v>66</v>
      </c>
      <c r="F233" s="88" t="s">
        <v>49</v>
      </c>
      <c r="G233" s="88" t="s">
        <v>50</v>
      </c>
      <c r="H233" s="285" t="s">
        <v>921</v>
      </c>
      <c r="I233" s="285" t="str">
        <f t="shared" si="9"/>
        <v xml:space="preserve">m </v>
      </c>
      <c r="J233" s="127">
        <v>1</v>
      </c>
      <c r="K233" s="60" t="s">
        <v>807</v>
      </c>
      <c r="L233" s="60">
        <v>7</v>
      </c>
      <c r="M233" s="90">
        <v>13</v>
      </c>
      <c r="N233" s="90">
        <v>1</v>
      </c>
      <c r="O233" s="90" t="s">
        <v>52</v>
      </c>
      <c r="P233" s="90">
        <v>1</v>
      </c>
      <c r="Q233" s="90" t="s">
        <v>52</v>
      </c>
      <c r="R233" s="90">
        <f>27/40</f>
        <v>0.67500000000000004</v>
      </c>
      <c r="S233" s="90" t="s">
        <v>52</v>
      </c>
      <c r="T233" s="60" t="s">
        <v>92</v>
      </c>
      <c r="U233" s="92" t="s">
        <v>808</v>
      </c>
      <c r="V233" s="60" t="s">
        <v>458</v>
      </c>
      <c r="W233" s="60" t="s">
        <v>56</v>
      </c>
      <c r="X233" s="60" t="s">
        <v>57</v>
      </c>
      <c r="Y233" s="60" t="s">
        <v>72</v>
      </c>
      <c r="Z233" s="60">
        <f t="shared" ref="Z233:Z240" si="18">AA233*AB233</f>
        <v>540</v>
      </c>
      <c r="AA233" s="60">
        <v>9</v>
      </c>
      <c r="AB233" s="60">
        <v>60</v>
      </c>
      <c r="AC233" s="60" t="s">
        <v>148</v>
      </c>
      <c r="AD233" s="126" t="s">
        <v>390</v>
      </c>
      <c r="AE233" s="60" t="s">
        <v>95</v>
      </c>
      <c r="AF233" s="60" t="s">
        <v>530</v>
      </c>
      <c r="AG233" s="152" t="s">
        <v>52</v>
      </c>
      <c r="AH233" s="120">
        <v>4.18</v>
      </c>
      <c r="AI233" s="120">
        <v>2.6</v>
      </c>
      <c r="AJ233" s="120">
        <v>11</v>
      </c>
      <c r="AK233" s="120">
        <v>8.18</v>
      </c>
      <c r="AL233" s="120">
        <v>1.72</v>
      </c>
      <c r="AM233" s="127">
        <v>11</v>
      </c>
      <c r="AN233" s="127">
        <v>6.64</v>
      </c>
      <c r="AO233" s="127">
        <v>3.11</v>
      </c>
      <c r="AP233" s="127">
        <v>11</v>
      </c>
      <c r="AQ233" s="127">
        <v>1</v>
      </c>
    </row>
    <row r="234" spans="1:49">
      <c r="A234" s="116"/>
      <c r="B234" s="117"/>
      <c r="C234" s="116"/>
      <c r="F234" s="88"/>
      <c r="H234" s="285" t="s">
        <v>921</v>
      </c>
      <c r="I234" s="285" t="str">
        <f t="shared" si="9"/>
        <v xml:space="preserve">m </v>
      </c>
      <c r="J234" s="127">
        <v>2</v>
      </c>
      <c r="K234" s="60" t="s">
        <v>809</v>
      </c>
      <c r="L234" s="60">
        <v>7</v>
      </c>
      <c r="M234" s="90">
        <v>13</v>
      </c>
      <c r="N234" s="90">
        <v>1</v>
      </c>
      <c r="O234" s="90" t="s">
        <v>52</v>
      </c>
      <c r="P234" s="90">
        <v>1</v>
      </c>
      <c r="Q234" s="90" t="s">
        <v>52</v>
      </c>
      <c r="R234" s="90">
        <f t="shared" ref="R234:R236" si="19">27/40</f>
        <v>0.67500000000000004</v>
      </c>
      <c r="S234" s="90" t="s">
        <v>52</v>
      </c>
      <c r="T234" s="60" t="s">
        <v>92</v>
      </c>
      <c r="U234" s="92" t="s">
        <v>808</v>
      </c>
      <c r="V234" s="60" t="s">
        <v>458</v>
      </c>
      <c r="W234" s="60" t="s">
        <v>56</v>
      </c>
      <c r="X234" s="60" t="s">
        <v>57</v>
      </c>
      <c r="Y234" s="60" t="s">
        <v>72</v>
      </c>
      <c r="Z234" s="60">
        <f t="shared" si="18"/>
        <v>540</v>
      </c>
      <c r="AA234" s="60">
        <v>9</v>
      </c>
      <c r="AB234" s="60">
        <v>60</v>
      </c>
      <c r="AC234" s="60" t="s">
        <v>148</v>
      </c>
      <c r="AD234" s="60" t="s">
        <v>390</v>
      </c>
      <c r="AE234" s="60" t="s">
        <v>95</v>
      </c>
      <c r="AF234" s="60" t="s">
        <v>530</v>
      </c>
      <c r="AG234" s="152" t="s">
        <v>52</v>
      </c>
      <c r="AH234" s="120">
        <v>4.38</v>
      </c>
      <c r="AI234" s="120">
        <v>2.5</v>
      </c>
      <c r="AJ234" s="120">
        <v>9</v>
      </c>
      <c r="AK234" s="120">
        <v>4.88</v>
      </c>
      <c r="AL234" s="120">
        <v>3.52</v>
      </c>
      <c r="AM234" s="127">
        <v>9</v>
      </c>
      <c r="AN234" s="127">
        <v>5.13</v>
      </c>
      <c r="AO234" s="127">
        <v>2.48</v>
      </c>
      <c r="AP234" s="127">
        <v>9</v>
      </c>
      <c r="AQ234" s="127">
        <v>1</v>
      </c>
    </row>
    <row r="235" spans="1:49" s="318" customFormat="1">
      <c r="A235" s="116"/>
      <c r="B235" s="117"/>
      <c r="C235" s="333"/>
      <c r="D235" s="317"/>
      <c r="E235" s="317"/>
      <c r="F235" s="317"/>
      <c r="G235" s="317"/>
      <c r="K235" s="317" t="s">
        <v>810</v>
      </c>
      <c r="L235" s="317">
        <v>7</v>
      </c>
      <c r="M235" s="334">
        <v>13</v>
      </c>
      <c r="N235" s="334">
        <v>1</v>
      </c>
      <c r="O235" s="334" t="s">
        <v>52</v>
      </c>
      <c r="P235" s="334">
        <v>1</v>
      </c>
      <c r="Q235" s="334" t="s">
        <v>52</v>
      </c>
      <c r="R235" s="334">
        <f t="shared" si="19"/>
        <v>0.67500000000000004</v>
      </c>
      <c r="S235" s="334" t="s">
        <v>52</v>
      </c>
      <c r="T235" s="317" t="s">
        <v>78</v>
      </c>
      <c r="U235" s="335" t="s">
        <v>808</v>
      </c>
      <c r="V235" s="317" t="s">
        <v>458</v>
      </c>
      <c r="W235" s="317" t="s">
        <v>56</v>
      </c>
      <c r="X235" s="317" t="s">
        <v>57</v>
      </c>
      <c r="Y235" s="317" t="s">
        <v>72</v>
      </c>
      <c r="Z235" s="317">
        <f t="shared" si="18"/>
        <v>540</v>
      </c>
      <c r="AA235" s="317">
        <v>9</v>
      </c>
      <c r="AB235" s="317">
        <v>60</v>
      </c>
      <c r="AC235" s="317" t="s">
        <v>148</v>
      </c>
      <c r="AD235" s="317" t="s">
        <v>390</v>
      </c>
      <c r="AE235" s="317" t="s">
        <v>95</v>
      </c>
      <c r="AF235" s="317" t="s">
        <v>530</v>
      </c>
      <c r="AG235" s="336" t="s">
        <v>52</v>
      </c>
      <c r="AH235" s="337">
        <v>4.55</v>
      </c>
      <c r="AI235" s="337">
        <v>3.27</v>
      </c>
      <c r="AJ235" s="337">
        <v>11</v>
      </c>
      <c r="AK235" s="337">
        <v>4.09</v>
      </c>
      <c r="AL235" s="337">
        <v>3.11</v>
      </c>
      <c r="AM235" s="318">
        <v>11</v>
      </c>
      <c r="AN235" s="318">
        <v>3.91</v>
      </c>
      <c r="AO235" s="318">
        <v>1.97</v>
      </c>
      <c r="AP235" s="318">
        <v>11</v>
      </c>
      <c r="AQ235" s="318">
        <v>1</v>
      </c>
      <c r="AV235" s="317"/>
      <c r="AW235" s="317"/>
    </row>
    <row r="236" spans="1:49">
      <c r="A236" s="116"/>
      <c r="B236" s="117"/>
      <c r="C236" s="122"/>
      <c r="D236" s="89"/>
      <c r="E236" s="89"/>
      <c r="F236" s="89"/>
      <c r="G236" s="89"/>
      <c r="H236" s="285" t="s">
        <v>919</v>
      </c>
      <c r="I236" s="285" t="str">
        <f t="shared" si="9"/>
        <v xml:space="preserve">m </v>
      </c>
      <c r="J236" s="128">
        <v>0</v>
      </c>
      <c r="K236" s="63" t="s">
        <v>811</v>
      </c>
      <c r="L236" s="63">
        <v>7</v>
      </c>
      <c r="M236" s="93">
        <v>13</v>
      </c>
      <c r="N236" s="93">
        <v>1</v>
      </c>
      <c r="O236" s="93" t="s">
        <v>52</v>
      </c>
      <c r="P236" s="93">
        <v>1</v>
      </c>
      <c r="Q236" s="93" t="s">
        <v>52</v>
      </c>
      <c r="R236" s="93">
        <f t="shared" si="19"/>
        <v>0.67500000000000004</v>
      </c>
      <c r="S236" s="93" t="s">
        <v>52</v>
      </c>
      <c r="T236" s="63" t="s">
        <v>92</v>
      </c>
      <c r="U236" s="95" t="s">
        <v>808</v>
      </c>
      <c r="V236" s="63" t="s">
        <v>458</v>
      </c>
      <c r="W236" s="63" t="s">
        <v>56</v>
      </c>
      <c r="X236" s="63" t="s">
        <v>57</v>
      </c>
      <c r="Y236" s="63" t="s">
        <v>72</v>
      </c>
      <c r="Z236" s="63">
        <f t="shared" si="18"/>
        <v>540</v>
      </c>
      <c r="AA236" s="63">
        <v>9</v>
      </c>
      <c r="AB236" s="63">
        <v>60</v>
      </c>
      <c r="AC236" s="63" t="s">
        <v>148</v>
      </c>
      <c r="AD236" s="63" t="s">
        <v>390</v>
      </c>
      <c r="AE236" s="63" t="s">
        <v>95</v>
      </c>
      <c r="AF236" s="63" t="s">
        <v>530</v>
      </c>
      <c r="AG236" s="153" t="s">
        <v>52</v>
      </c>
      <c r="AH236" s="124">
        <v>4.4400000000000004</v>
      </c>
      <c r="AI236" s="124">
        <v>2.92</v>
      </c>
      <c r="AJ236" s="124">
        <v>9</v>
      </c>
      <c r="AK236" s="124">
        <v>4.5599999999999996</v>
      </c>
      <c r="AL236" s="124">
        <v>2.0099999999999998</v>
      </c>
      <c r="AM236" s="128">
        <v>9</v>
      </c>
      <c r="AN236" s="128" t="s">
        <v>903</v>
      </c>
      <c r="AO236" s="128">
        <v>2.35</v>
      </c>
      <c r="AP236" s="128">
        <v>9</v>
      </c>
      <c r="AQ236" s="128">
        <v>1</v>
      </c>
    </row>
    <row r="237" spans="1:49">
      <c r="A237" s="116" t="s">
        <v>806</v>
      </c>
      <c r="B237" s="117">
        <v>142.19999999999999</v>
      </c>
      <c r="C237" s="116" t="s">
        <v>177</v>
      </c>
      <c r="D237" s="88" t="s">
        <v>454</v>
      </c>
      <c r="E237" s="88" t="s">
        <v>66</v>
      </c>
      <c r="F237" s="88" t="s">
        <v>49</v>
      </c>
      <c r="G237" s="88" t="s">
        <v>50</v>
      </c>
      <c r="H237" s="285" t="s">
        <v>921</v>
      </c>
      <c r="I237" s="285" t="str">
        <f t="shared" si="9"/>
        <v xml:space="preserve">m </v>
      </c>
      <c r="J237" s="127">
        <v>1</v>
      </c>
      <c r="K237" s="60" t="s">
        <v>812</v>
      </c>
      <c r="L237" s="60">
        <v>7</v>
      </c>
      <c r="M237" s="90">
        <v>13</v>
      </c>
      <c r="N237" s="186">
        <v>0</v>
      </c>
      <c r="O237" s="186" t="s">
        <v>52</v>
      </c>
      <c r="P237" s="186">
        <v>1</v>
      </c>
      <c r="Q237" s="186" t="s">
        <v>52</v>
      </c>
      <c r="R237" s="186">
        <f>29/56</f>
        <v>0.5178571428571429</v>
      </c>
      <c r="S237" s="186" t="s">
        <v>52</v>
      </c>
      <c r="T237" s="60" t="s">
        <v>92</v>
      </c>
      <c r="U237" s="92" t="s">
        <v>808</v>
      </c>
      <c r="V237" s="60" t="s">
        <v>458</v>
      </c>
      <c r="W237" s="126" t="s">
        <v>56</v>
      </c>
      <c r="X237" s="126" t="s">
        <v>57</v>
      </c>
      <c r="Y237" s="126" t="s">
        <v>72</v>
      </c>
      <c r="Z237" s="126">
        <f t="shared" si="18"/>
        <v>540</v>
      </c>
      <c r="AA237" s="126">
        <v>9</v>
      </c>
      <c r="AB237" s="126">
        <v>60</v>
      </c>
      <c r="AC237" s="126" t="s">
        <v>148</v>
      </c>
      <c r="AD237" s="60" t="s">
        <v>390</v>
      </c>
      <c r="AE237" s="60" t="s">
        <v>95</v>
      </c>
      <c r="AF237" s="60" t="s">
        <v>530</v>
      </c>
      <c r="AG237" s="152" t="s">
        <v>52</v>
      </c>
      <c r="AH237" s="120">
        <v>7.94</v>
      </c>
      <c r="AI237" s="120">
        <v>2.78</v>
      </c>
      <c r="AJ237" s="120">
        <v>18</v>
      </c>
      <c r="AK237" s="120">
        <v>9.56</v>
      </c>
      <c r="AL237" s="120">
        <v>2.33</v>
      </c>
      <c r="AM237" s="127">
        <v>18</v>
      </c>
      <c r="AN237" s="127">
        <v>7.33</v>
      </c>
      <c r="AO237" s="127">
        <v>1.75</v>
      </c>
      <c r="AP237" s="127">
        <v>18</v>
      </c>
      <c r="AQ237" s="127">
        <v>1</v>
      </c>
    </row>
    <row r="238" spans="1:49">
      <c r="A238" s="116"/>
      <c r="B238" s="117"/>
      <c r="C238" s="116"/>
      <c r="F238" s="88"/>
      <c r="H238" s="285" t="s">
        <v>921</v>
      </c>
      <c r="I238" s="285" t="str">
        <f t="shared" si="9"/>
        <v xml:space="preserve">m </v>
      </c>
      <c r="J238" s="127">
        <v>2</v>
      </c>
      <c r="K238" s="60" t="s">
        <v>813</v>
      </c>
      <c r="L238" s="60">
        <v>7</v>
      </c>
      <c r="M238" s="90">
        <v>13</v>
      </c>
      <c r="N238" s="90">
        <v>0</v>
      </c>
      <c r="O238" s="90" t="s">
        <v>52</v>
      </c>
      <c r="P238" s="90">
        <v>1</v>
      </c>
      <c r="Q238" s="90" t="s">
        <v>52</v>
      </c>
      <c r="R238" s="90">
        <f t="shared" ref="R238:R240" si="20">29/56</f>
        <v>0.5178571428571429</v>
      </c>
      <c r="S238" s="90" t="s">
        <v>52</v>
      </c>
      <c r="T238" s="60" t="s">
        <v>92</v>
      </c>
      <c r="U238" s="92" t="s">
        <v>808</v>
      </c>
      <c r="V238" s="60" t="s">
        <v>458</v>
      </c>
      <c r="W238" s="60" t="s">
        <v>56</v>
      </c>
      <c r="X238" s="60" t="s">
        <v>57</v>
      </c>
      <c r="Y238" s="60" t="s">
        <v>72</v>
      </c>
      <c r="Z238" s="60">
        <f t="shared" si="18"/>
        <v>540</v>
      </c>
      <c r="AA238" s="60">
        <v>9</v>
      </c>
      <c r="AB238" s="60">
        <v>60</v>
      </c>
      <c r="AC238" s="60" t="s">
        <v>148</v>
      </c>
      <c r="AD238" s="60" t="s">
        <v>390</v>
      </c>
      <c r="AE238" s="60" t="s">
        <v>95</v>
      </c>
      <c r="AF238" s="60" t="s">
        <v>530</v>
      </c>
      <c r="AG238" s="152" t="s">
        <v>52</v>
      </c>
      <c r="AH238" s="120">
        <v>7.91</v>
      </c>
      <c r="AI238" s="120">
        <v>2.12</v>
      </c>
      <c r="AJ238" s="120">
        <v>11</v>
      </c>
      <c r="AK238" s="120">
        <v>9.73</v>
      </c>
      <c r="AL238" s="120">
        <v>1.62</v>
      </c>
      <c r="AM238" s="127">
        <v>11</v>
      </c>
      <c r="AN238" s="127">
        <v>6.64</v>
      </c>
      <c r="AO238" s="127">
        <v>1.91</v>
      </c>
      <c r="AP238" s="127">
        <v>11</v>
      </c>
      <c r="AQ238" s="127">
        <v>1</v>
      </c>
    </row>
    <row r="239" spans="1:49" s="318" customFormat="1">
      <c r="A239" s="116"/>
      <c r="B239" s="117"/>
      <c r="C239" s="333"/>
      <c r="D239" s="317"/>
      <c r="E239" s="317"/>
      <c r="F239" s="317"/>
      <c r="G239" s="317"/>
      <c r="J239" s="318" t="s">
        <v>933</v>
      </c>
      <c r="K239" s="317" t="s">
        <v>814</v>
      </c>
      <c r="L239" s="317">
        <v>7</v>
      </c>
      <c r="M239" s="334">
        <v>13</v>
      </c>
      <c r="N239" s="334">
        <v>0</v>
      </c>
      <c r="O239" s="334" t="s">
        <v>52</v>
      </c>
      <c r="P239" s="334">
        <v>1</v>
      </c>
      <c r="Q239" s="334" t="s">
        <v>52</v>
      </c>
      <c r="R239" s="334">
        <f t="shared" si="20"/>
        <v>0.5178571428571429</v>
      </c>
      <c r="S239" s="334" t="s">
        <v>52</v>
      </c>
      <c r="T239" s="317" t="s">
        <v>92</v>
      </c>
      <c r="U239" s="335" t="s">
        <v>808</v>
      </c>
      <c r="V239" s="317" t="s">
        <v>458</v>
      </c>
      <c r="W239" s="317" t="s">
        <v>56</v>
      </c>
      <c r="X239" s="317" t="s">
        <v>57</v>
      </c>
      <c r="Y239" s="317" t="s">
        <v>72</v>
      </c>
      <c r="Z239" s="317">
        <f t="shared" si="18"/>
        <v>540</v>
      </c>
      <c r="AA239" s="317">
        <v>9</v>
      </c>
      <c r="AB239" s="317">
        <v>60</v>
      </c>
      <c r="AC239" s="317" t="s">
        <v>148</v>
      </c>
      <c r="AD239" s="317" t="s">
        <v>390</v>
      </c>
      <c r="AE239" s="317" t="s">
        <v>95</v>
      </c>
      <c r="AF239" s="317" t="s">
        <v>530</v>
      </c>
      <c r="AG239" s="336" t="s">
        <v>52</v>
      </c>
      <c r="AH239" s="337">
        <v>7.25</v>
      </c>
      <c r="AI239" s="337">
        <v>2.5299999999999998</v>
      </c>
      <c r="AJ239" s="337">
        <v>12</v>
      </c>
      <c r="AK239" s="337">
        <v>7.33</v>
      </c>
      <c r="AL239" s="337">
        <v>3.75</v>
      </c>
      <c r="AM239" s="318">
        <v>12</v>
      </c>
      <c r="AN239" s="318">
        <v>6.83</v>
      </c>
      <c r="AO239" s="318">
        <v>1.8</v>
      </c>
      <c r="AP239" s="318">
        <v>12</v>
      </c>
      <c r="AQ239" s="318">
        <v>1</v>
      </c>
      <c r="AV239" s="317"/>
      <c r="AW239" s="317"/>
    </row>
    <row r="240" spans="1:49">
      <c r="A240" s="122"/>
      <c r="B240" s="123"/>
      <c r="C240" s="122"/>
      <c r="D240" s="89"/>
      <c r="E240" s="89"/>
      <c r="F240" s="89"/>
      <c r="G240" s="89"/>
      <c r="H240" s="286" t="s">
        <v>919</v>
      </c>
      <c r="I240" s="286" t="str">
        <f t="shared" si="9"/>
        <v xml:space="preserve">m </v>
      </c>
      <c r="J240" s="128">
        <v>0</v>
      </c>
      <c r="K240" s="63" t="s">
        <v>815</v>
      </c>
      <c r="L240" s="63">
        <v>7</v>
      </c>
      <c r="M240" s="93">
        <v>13</v>
      </c>
      <c r="N240" s="93">
        <v>0</v>
      </c>
      <c r="O240" s="93" t="s">
        <v>52</v>
      </c>
      <c r="P240" s="93">
        <v>1</v>
      </c>
      <c r="Q240" s="93" t="s">
        <v>52</v>
      </c>
      <c r="R240" s="93">
        <f t="shared" si="20"/>
        <v>0.5178571428571429</v>
      </c>
      <c r="S240" s="93" t="s">
        <v>52</v>
      </c>
      <c r="T240" s="63" t="s">
        <v>92</v>
      </c>
      <c r="U240" s="95" t="s">
        <v>808</v>
      </c>
      <c r="V240" s="63" t="s">
        <v>458</v>
      </c>
      <c r="W240" s="63" t="s">
        <v>56</v>
      </c>
      <c r="X240" s="63" t="s">
        <v>57</v>
      </c>
      <c r="Y240" s="63" t="s">
        <v>72</v>
      </c>
      <c r="Z240" s="63">
        <f t="shared" si="18"/>
        <v>540</v>
      </c>
      <c r="AA240" s="63">
        <v>9</v>
      </c>
      <c r="AB240" s="63">
        <v>60</v>
      </c>
      <c r="AC240" s="63" t="s">
        <v>148</v>
      </c>
      <c r="AD240" s="63" t="s">
        <v>390</v>
      </c>
      <c r="AE240" s="63" t="s">
        <v>95</v>
      </c>
      <c r="AF240" s="63" t="s">
        <v>530</v>
      </c>
      <c r="AG240" s="153" t="s">
        <v>52</v>
      </c>
      <c r="AH240" s="124">
        <v>8.1999999999999993</v>
      </c>
      <c r="AI240" s="124">
        <v>1.97</v>
      </c>
      <c r="AJ240" s="124">
        <v>15</v>
      </c>
      <c r="AK240" s="124">
        <v>8.8000000000000007</v>
      </c>
      <c r="AL240" s="124">
        <v>2.0099999999999998</v>
      </c>
      <c r="AM240" s="128">
        <v>15</v>
      </c>
      <c r="AN240" s="128">
        <v>8.07</v>
      </c>
      <c r="AO240" s="128">
        <v>2.58</v>
      </c>
      <c r="AP240" s="128">
        <v>15</v>
      </c>
      <c r="AQ240" s="128">
        <v>1</v>
      </c>
      <c r="AR240" s="128"/>
      <c r="AS240" s="128"/>
    </row>
    <row r="241" spans="1:49">
      <c r="A241" s="116" t="s">
        <v>816</v>
      </c>
      <c r="B241" s="117">
        <v>143.1</v>
      </c>
      <c r="C241" s="116" t="s">
        <v>47</v>
      </c>
      <c r="D241" s="88" t="s">
        <v>454</v>
      </c>
      <c r="E241" s="88" t="s">
        <v>66</v>
      </c>
      <c r="F241" s="88" t="s">
        <v>229</v>
      </c>
      <c r="G241" s="88" t="s">
        <v>754</v>
      </c>
      <c r="H241" s="285" t="s">
        <v>922</v>
      </c>
      <c r="I241" s="285" t="str">
        <f t="shared" si="9"/>
        <v xml:space="preserve">m </v>
      </c>
      <c r="J241" s="127">
        <v>1</v>
      </c>
      <c r="K241" s="60" t="s">
        <v>817</v>
      </c>
      <c r="L241" s="60">
        <v>8</v>
      </c>
      <c r="M241" s="90">
        <v>13.5</v>
      </c>
      <c r="N241" s="90">
        <v>0</v>
      </c>
      <c r="O241" s="90">
        <v>0</v>
      </c>
      <c r="P241" s="90">
        <v>0.42</v>
      </c>
      <c r="Q241" s="90" t="s">
        <v>52</v>
      </c>
      <c r="R241" s="90" t="s">
        <v>52</v>
      </c>
      <c r="S241" s="90" t="s">
        <v>52</v>
      </c>
      <c r="T241" s="60" t="s">
        <v>92</v>
      </c>
      <c r="U241" s="92" t="s">
        <v>818</v>
      </c>
      <c r="V241" s="60" t="s">
        <v>458</v>
      </c>
      <c r="W241" s="60" t="s">
        <v>153</v>
      </c>
      <c r="X241" s="60" t="s">
        <v>459</v>
      </c>
      <c r="Y241" s="60" t="s">
        <v>58</v>
      </c>
      <c r="Z241" s="60">
        <f>AA241*AB241</f>
        <v>1600</v>
      </c>
      <c r="AA241" s="60">
        <f>5*8</f>
        <v>40</v>
      </c>
      <c r="AB241" s="60">
        <f>40</f>
        <v>40</v>
      </c>
      <c r="AC241" s="60" t="s">
        <v>148</v>
      </c>
      <c r="AD241" s="60" t="s">
        <v>819</v>
      </c>
      <c r="AE241" s="60" t="s">
        <v>95</v>
      </c>
      <c r="AF241" s="60" t="s">
        <v>461</v>
      </c>
      <c r="AG241" s="152" t="s">
        <v>52</v>
      </c>
      <c r="AH241" s="120">
        <v>8.1999999999999993</v>
      </c>
      <c r="AI241" s="120">
        <v>3.302</v>
      </c>
      <c r="AJ241" s="120">
        <f>203/4</f>
        <v>50.75</v>
      </c>
      <c r="AK241" s="120">
        <v>7.65</v>
      </c>
      <c r="AL241" s="120">
        <v>2.681</v>
      </c>
      <c r="AM241" s="127">
        <v>50.75</v>
      </c>
      <c r="AN241" s="127">
        <v>9</v>
      </c>
      <c r="AO241" s="127">
        <v>3.27</v>
      </c>
      <c r="AP241" s="127">
        <v>50.75</v>
      </c>
      <c r="AQ241" s="127">
        <v>2</v>
      </c>
    </row>
    <row r="242" spans="1:49">
      <c r="A242" s="116"/>
      <c r="B242" s="117"/>
      <c r="C242" s="116"/>
      <c r="F242" s="88"/>
      <c r="H242" s="285" t="s">
        <v>925</v>
      </c>
      <c r="I242" s="285" t="str">
        <f t="shared" si="9"/>
        <v xml:space="preserve">m </v>
      </c>
      <c r="J242" s="127">
        <v>2</v>
      </c>
      <c r="K242" s="60" t="s">
        <v>820</v>
      </c>
      <c r="L242" s="60">
        <v>8</v>
      </c>
      <c r="M242" s="90">
        <v>13.5</v>
      </c>
      <c r="N242" s="90">
        <v>0</v>
      </c>
      <c r="O242" s="90">
        <v>0</v>
      </c>
      <c r="P242" s="90">
        <v>0.42</v>
      </c>
      <c r="Q242" s="90" t="s">
        <v>52</v>
      </c>
      <c r="R242" s="90" t="s">
        <v>52</v>
      </c>
      <c r="S242" s="90" t="s">
        <v>52</v>
      </c>
      <c r="T242" s="60" t="s">
        <v>92</v>
      </c>
      <c r="U242" s="92" t="s">
        <v>818</v>
      </c>
      <c r="V242" s="60" t="s">
        <v>458</v>
      </c>
      <c r="W242" s="60" t="s">
        <v>153</v>
      </c>
      <c r="X242" s="60" t="s">
        <v>459</v>
      </c>
      <c r="Y242" s="60" t="s">
        <v>58</v>
      </c>
      <c r="Z242" s="60">
        <f t="shared" ref="Z242:Z243" si="21">AA242*AB242</f>
        <v>1600</v>
      </c>
      <c r="AA242" s="60">
        <f t="shared" ref="AA242:AA243" si="22">5*8</f>
        <v>40</v>
      </c>
      <c r="AB242" s="60">
        <f>40</f>
        <v>40</v>
      </c>
      <c r="AC242" s="60" t="s">
        <v>148</v>
      </c>
      <c r="AD242" s="60" t="s">
        <v>819</v>
      </c>
      <c r="AE242" s="60" t="s">
        <v>95</v>
      </c>
      <c r="AF242" s="60" t="s">
        <v>461</v>
      </c>
      <c r="AG242" s="152" t="s">
        <v>52</v>
      </c>
      <c r="AH242" s="120">
        <v>7.5</v>
      </c>
      <c r="AI242" s="120">
        <v>2.6859999999999999</v>
      </c>
      <c r="AJ242" s="120">
        <f t="shared" ref="AJ242:AJ248" si="23">203/4</f>
        <v>50.75</v>
      </c>
      <c r="AK242" s="120">
        <v>7.4550000000000001</v>
      </c>
      <c r="AL242" s="120">
        <v>3.0350000000000001</v>
      </c>
      <c r="AM242" s="127">
        <v>50.75</v>
      </c>
      <c r="AN242" s="127">
        <v>10.71</v>
      </c>
      <c r="AO242" s="127">
        <v>2.36</v>
      </c>
      <c r="AP242" s="127">
        <v>50.75</v>
      </c>
      <c r="AQ242" s="127">
        <v>2</v>
      </c>
    </row>
    <row r="243" spans="1:49" s="289" customFormat="1">
      <c r="A243" s="116"/>
      <c r="B243" s="117"/>
      <c r="C243" s="307"/>
      <c r="D243" s="290"/>
      <c r="E243" s="290"/>
      <c r="F243" s="290"/>
      <c r="G243" s="290"/>
      <c r="J243" s="289" t="s">
        <v>52</v>
      </c>
      <c r="K243" s="290" t="s">
        <v>821</v>
      </c>
      <c r="L243" s="290">
        <v>8</v>
      </c>
      <c r="M243" s="296">
        <v>13.5</v>
      </c>
      <c r="N243" s="296">
        <v>0</v>
      </c>
      <c r="O243" s="296">
        <v>0</v>
      </c>
      <c r="P243" s="296">
        <v>0.42</v>
      </c>
      <c r="Q243" s="296" t="s">
        <v>52</v>
      </c>
      <c r="R243" s="296" t="s">
        <v>52</v>
      </c>
      <c r="S243" s="296" t="s">
        <v>52</v>
      </c>
      <c r="T243" s="290" t="s">
        <v>92</v>
      </c>
      <c r="U243" s="297" t="s">
        <v>818</v>
      </c>
      <c r="V243" s="290" t="s">
        <v>458</v>
      </c>
      <c r="W243" s="290" t="s">
        <v>153</v>
      </c>
      <c r="X243" s="290" t="s">
        <v>459</v>
      </c>
      <c r="Y243" s="290" t="s">
        <v>58</v>
      </c>
      <c r="Z243" s="290">
        <f t="shared" si="21"/>
        <v>1600</v>
      </c>
      <c r="AA243" s="290">
        <f t="shared" si="22"/>
        <v>40</v>
      </c>
      <c r="AB243" s="290">
        <f>40</f>
        <v>40</v>
      </c>
      <c r="AC243" s="290" t="s">
        <v>148</v>
      </c>
      <c r="AD243" s="290" t="s">
        <v>819</v>
      </c>
      <c r="AE243" s="290" t="s">
        <v>95</v>
      </c>
      <c r="AF243" s="290" t="s">
        <v>461</v>
      </c>
      <c r="AG243" s="308" t="s">
        <v>52</v>
      </c>
      <c r="AH243" s="309">
        <v>8.5</v>
      </c>
      <c r="AI243" s="309">
        <v>3.6480000000000001</v>
      </c>
      <c r="AJ243" s="309">
        <f t="shared" si="23"/>
        <v>50.75</v>
      </c>
      <c r="AK243" s="309">
        <v>7.9550000000000001</v>
      </c>
      <c r="AL243" s="309">
        <v>3.722</v>
      </c>
      <c r="AM243" s="289">
        <v>50.75</v>
      </c>
      <c r="AN243" s="289">
        <v>9.39</v>
      </c>
      <c r="AO243" s="289">
        <v>3.67</v>
      </c>
      <c r="AP243" s="289">
        <v>50.75</v>
      </c>
      <c r="AQ243" s="289">
        <v>2</v>
      </c>
      <c r="AV243" s="290"/>
      <c r="AW243" s="290"/>
    </row>
    <row r="244" spans="1:49">
      <c r="A244" s="116"/>
      <c r="B244" s="117"/>
      <c r="C244" s="122"/>
      <c r="D244" s="89"/>
      <c r="E244" s="89"/>
      <c r="F244" s="89"/>
      <c r="G244" s="89"/>
      <c r="H244" s="285" t="s">
        <v>919</v>
      </c>
      <c r="I244" s="285" t="str">
        <f t="shared" si="9"/>
        <v>.</v>
      </c>
      <c r="J244" s="128">
        <v>0</v>
      </c>
      <c r="K244" s="63" t="s">
        <v>822</v>
      </c>
      <c r="L244" s="63">
        <v>8</v>
      </c>
      <c r="M244" s="93">
        <v>13.5</v>
      </c>
      <c r="N244" s="93">
        <v>0</v>
      </c>
      <c r="O244" s="93">
        <v>0</v>
      </c>
      <c r="P244" s="93">
        <v>0.42</v>
      </c>
      <c r="Q244" s="93" t="s">
        <v>52</v>
      </c>
      <c r="R244" s="93" t="s">
        <v>52</v>
      </c>
      <c r="S244" s="93" t="s">
        <v>52</v>
      </c>
      <c r="T244" s="63" t="s">
        <v>78</v>
      </c>
      <c r="U244" s="95" t="s">
        <v>823</v>
      </c>
      <c r="V244" s="63" t="s">
        <v>458</v>
      </c>
      <c r="W244" s="63" t="s">
        <v>153</v>
      </c>
      <c r="X244" s="63" t="s">
        <v>459</v>
      </c>
      <c r="Y244" s="63" t="s">
        <v>58</v>
      </c>
      <c r="Z244" s="63">
        <v>1600</v>
      </c>
      <c r="AA244" s="63">
        <v>40</v>
      </c>
      <c r="AB244" s="63">
        <v>40</v>
      </c>
      <c r="AC244" s="63" t="s">
        <v>148</v>
      </c>
      <c r="AD244" s="63" t="s">
        <v>819</v>
      </c>
      <c r="AE244" s="63" t="s">
        <v>95</v>
      </c>
      <c r="AF244" s="63" t="s">
        <v>461</v>
      </c>
      <c r="AG244" s="153" t="s">
        <v>52</v>
      </c>
      <c r="AH244" s="124">
        <v>8.3160000000000007</v>
      </c>
      <c r="AI244" s="124">
        <v>2.286</v>
      </c>
      <c r="AJ244" s="124">
        <f t="shared" si="23"/>
        <v>50.75</v>
      </c>
      <c r="AK244" s="124">
        <v>6.9470000000000001</v>
      </c>
      <c r="AL244" s="124">
        <v>2.677</v>
      </c>
      <c r="AM244" s="128">
        <v>50.75</v>
      </c>
      <c r="AN244" s="128">
        <v>8.58</v>
      </c>
      <c r="AO244" s="128">
        <v>2.5299999999999998</v>
      </c>
      <c r="AP244" s="128">
        <v>50.75</v>
      </c>
      <c r="AQ244" s="128">
        <v>2</v>
      </c>
      <c r="AR244" s="128"/>
      <c r="AS244" s="128"/>
    </row>
    <row r="245" spans="1:49">
      <c r="A245" s="116" t="s">
        <v>816</v>
      </c>
      <c r="B245" s="117">
        <v>143.19999999999999</v>
      </c>
      <c r="C245" s="116" t="s">
        <v>47</v>
      </c>
      <c r="D245" s="88" t="s">
        <v>454</v>
      </c>
      <c r="E245" s="88" t="s">
        <v>66</v>
      </c>
      <c r="F245" s="88" t="s">
        <v>229</v>
      </c>
      <c r="G245" s="88" t="s">
        <v>754</v>
      </c>
      <c r="H245" s="285" t="s">
        <v>922</v>
      </c>
      <c r="I245" s="285" t="str">
        <f t="shared" si="9"/>
        <v xml:space="preserve">m </v>
      </c>
      <c r="J245" s="127">
        <v>1</v>
      </c>
      <c r="K245" s="60" t="s">
        <v>824</v>
      </c>
      <c r="L245" s="60">
        <v>8</v>
      </c>
      <c r="M245" s="90">
        <v>13.5</v>
      </c>
      <c r="N245" s="90">
        <v>0</v>
      </c>
      <c r="O245" s="90">
        <v>0</v>
      </c>
      <c r="P245" s="90">
        <v>0.42</v>
      </c>
      <c r="Q245" s="90" t="s">
        <v>52</v>
      </c>
      <c r="R245" s="90" t="s">
        <v>52</v>
      </c>
      <c r="S245" s="90" t="s">
        <v>52</v>
      </c>
      <c r="T245" s="60" t="s">
        <v>92</v>
      </c>
      <c r="U245" s="92" t="s">
        <v>818</v>
      </c>
      <c r="V245" s="60" t="s">
        <v>458</v>
      </c>
      <c r="W245" s="60" t="s">
        <v>153</v>
      </c>
      <c r="X245" s="60" t="s">
        <v>459</v>
      </c>
      <c r="Y245" s="60" t="s">
        <v>58</v>
      </c>
      <c r="Z245" s="60">
        <v>1600</v>
      </c>
      <c r="AA245" s="60">
        <v>40</v>
      </c>
      <c r="AB245" s="60">
        <v>40</v>
      </c>
      <c r="AC245" s="60" t="s">
        <v>148</v>
      </c>
      <c r="AD245" s="60" t="s">
        <v>819</v>
      </c>
      <c r="AE245" s="60" t="s">
        <v>95</v>
      </c>
      <c r="AF245" s="60" t="s">
        <v>461</v>
      </c>
      <c r="AG245" s="152" t="s">
        <v>52</v>
      </c>
      <c r="AH245" s="120">
        <v>9.3810000000000002</v>
      </c>
      <c r="AI245" s="120">
        <v>2.9910000000000001</v>
      </c>
      <c r="AJ245" s="120">
        <f t="shared" si="23"/>
        <v>50.75</v>
      </c>
      <c r="AK245" s="120">
        <v>8.4760000000000009</v>
      </c>
      <c r="AL245" s="120">
        <v>3.444</v>
      </c>
      <c r="AM245" s="127">
        <v>50.75</v>
      </c>
      <c r="AN245" s="127">
        <v>9.3800000000000008</v>
      </c>
      <c r="AO245" s="127">
        <v>3.46</v>
      </c>
      <c r="AP245" s="127">
        <v>50.75</v>
      </c>
      <c r="AQ245" s="127">
        <v>2</v>
      </c>
    </row>
    <row r="246" spans="1:49">
      <c r="A246" s="116"/>
      <c r="B246" s="117"/>
      <c r="C246" s="116"/>
      <c r="F246" s="88"/>
      <c r="H246" s="285" t="s">
        <v>925</v>
      </c>
      <c r="I246" s="285" t="str">
        <f t="shared" si="9"/>
        <v xml:space="preserve">m </v>
      </c>
      <c r="J246" s="127">
        <v>2</v>
      </c>
      <c r="K246" s="60" t="s">
        <v>825</v>
      </c>
      <c r="L246" s="60">
        <v>8</v>
      </c>
      <c r="M246" s="90">
        <v>13.5</v>
      </c>
      <c r="N246" s="90">
        <v>0</v>
      </c>
      <c r="O246" s="90">
        <v>0</v>
      </c>
      <c r="P246" s="90">
        <v>0.42</v>
      </c>
      <c r="Q246" s="90" t="s">
        <v>52</v>
      </c>
      <c r="R246" s="90" t="s">
        <v>52</v>
      </c>
      <c r="S246" s="90" t="s">
        <v>52</v>
      </c>
      <c r="T246" s="60" t="s">
        <v>92</v>
      </c>
      <c r="U246" s="92" t="s">
        <v>818</v>
      </c>
      <c r="V246" s="60" t="s">
        <v>458</v>
      </c>
      <c r="W246" s="60" t="s">
        <v>153</v>
      </c>
      <c r="X246" s="60" t="s">
        <v>459</v>
      </c>
      <c r="Y246" s="60" t="s">
        <v>58</v>
      </c>
      <c r="Z246" s="60">
        <v>1600</v>
      </c>
      <c r="AA246" s="60">
        <v>40</v>
      </c>
      <c r="AB246" s="60">
        <v>40</v>
      </c>
      <c r="AC246" s="60" t="s">
        <v>148</v>
      </c>
      <c r="AD246" s="60" t="s">
        <v>819</v>
      </c>
      <c r="AE246" s="60" t="s">
        <v>95</v>
      </c>
      <c r="AF246" s="60" t="s">
        <v>461</v>
      </c>
      <c r="AG246" s="152" t="s">
        <v>52</v>
      </c>
      <c r="AH246" s="120">
        <v>8.7390000000000008</v>
      </c>
      <c r="AI246" s="120">
        <v>3.2080000000000002</v>
      </c>
      <c r="AJ246" s="120">
        <f t="shared" si="23"/>
        <v>50.75</v>
      </c>
      <c r="AK246" s="120">
        <v>8.5649999999999995</v>
      </c>
      <c r="AL246" s="120">
        <v>2.9670000000000001</v>
      </c>
      <c r="AM246" s="127">
        <v>50.75</v>
      </c>
      <c r="AN246" s="127">
        <v>9.64</v>
      </c>
      <c r="AO246" s="127">
        <v>2.9</v>
      </c>
      <c r="AP246" s="127">
        <v>50.75</v>
      </c>
      <c r="AQ246" s="127">
        <v>2</v>
      </c>
    </row>
    <row r="247" spans="1:49" s="289" customFormat="1">
      <c r="A247" s="116"/>
      <c r="B247" s="117"/>
      <c r="C247" s="307"/>
      <c r="D247" s="290"/>
      <c r="E247" s="290"/>
      <c r="F247" s="290"/>
      <c r="G247" s="290"/>
      <c r="J247" s="289" t="s">
        <v>52</v>
      </c>
      <c r="K247" s="290" t="s">
        <v>826</v>
      </c>
      <c r="L247" s="290">
        <v>8</v>
      </c>
      <c r="M247" s="296">
        <v>13.5</v>
      </c>
      <c r="N247" s="296">
        <v>0</v>
      </c>
      <c r="O247" s="296">
        <v>0</v>
      </c>
      <c r="P247" s="296">
        <v>0.42</v>
      </c>
      <c r="Q247" s="296" t="s">
        <v>52</v>
      </c>
      <c r="R247" s="296" t="s">
        <v>52</v>
      </c>
      <c r="S247" s="296" t="s">
        <v>52</v>
      </c>
      <c r="T247" s="290" t="s">
        <v>92</v>
      </c>
      <c r="U247" s="297" t="s">
        <v>818</v>
      </c>
      <c r="V247" s="290" t="s">
        <v>458</v>
      </c>
      <c r="W247" s="290" t="s">
        <v>153</v>
      </c>
      <c r="X247" s="290" t="s">
        <v>459</v>
      </c>
      <c r="Y247" s="290" t="s">
        <v>58</v>
      </c>
      <c r="Z247" s="290">
        <v>1600</v>
      </c>
      <c r="AA247" s="290">
        <v>40</v>
      </c>
      <c r="AB247" s="290">
        <v>40</v>
      </c>
      <c r="AC247" s="290" t="s">
        <v>148</v>
      </c>
      <c r="AD247" s="290" t="s">
        <v>819</v>
      </c>
      <c r="AE247" s="290" t="s">
        <v>95</v>
      </c>
      <c r="AF247" s="290" t="s">
        <v>461</v>
      </c>
      <c r="AG247" s="308" t="s">
        <v>52</v>
      </c>
      <c r="AH247" s="309">
        <v>9</v>
      </c>
      <c r="AI247" s="309">
        <v>2.5499999999999998</v>
      </c>
      <c r="AJ247" s="309">
        <f t="shared" si="23"/>
        <v>50.75</v>
      </c>
      <c r="AK247" s="309">
        <v>7.077</v>
      </c>
      <c r="AL247" s="309">
        <v>3.7519999999999998</v>
      </c>
      <c r="AM247" s="289">
        <v>50.75</v>
      </c>
      <c r="AN247" s="289">
        <v>10.9</v>
      </c>
      <c r="AO247" s="289">
        <v>2.73</v>
      </c>
      <c r="AP247" s="289">
        <v>50.75</v>
      </c>
      <c r="AQ247" s="289">
        <v>2</v>
      </c>
      <c r="AV247" s="290"/>
      <c r="AW247" s="290"/>
    </row>
    <row r="248" spans="1:49">
      <c r="A248" s="122"/>
      <c r="B248" s="123"/>
      <c r="C248" s="122"/>
      <c r="D248" s="89"/>
      <c r="E248" s="89"/>
      <c r="F248" s="89"/>
      <c r="G248" s="89"/>
      <c r="H248" s="286" t="s">
        <v>919</v>
      </c>
      <c r="I248" s="286" t="str">
        <f t="shared" si="9"/>
        <v>.</v>
      </c>
      <c r="J248" s="128">
        <v>0</v>
      </c>
      <c r="K248" s="63" t="s">
        <v>827</v>
      </c>
      <c r="L248" s="63">
        <v>8</v>
      </c>
      <c r="M248" s="93">
        <v>13.5</v>
      </c>
      <c r="N248" s="93">
        <v>0</v>
      </c>
      <c r="O248" s="93">
        <v>0</v>
      </c>
      <c r="P248" s="93">
        <v>0.42</v>
      </c>
      <c r="Q248" s="93" t="s">
        <v>52</v>
      </c>
      <c r="R248" s="93" t="s">
        <v>52</v>
      </c>
      <c r="S248" s="93" t="s">
        <v>52</v>
      </c>
      <c r="T248" s="63" t="s">
        <v>78</v>
      </c>
      <c r="U248" s="95" t="s">
        <v>823</v>
      </c>
      <c r="V248" s="63" t="s">
        <v>458</v>
      </c>
      <c r="W248" s="63" t="s">
        <v>153</v>
      </c>
      <c r="X248" s="63" t="s">
        <v>459</v>
      </c>
      <c r="Y248" s="63" t="s">
        <v>58</v>
      </c>
      <c r="Z248" s="63">
        <v>1600</v>
      </c>
      <c r="AA248" s="63">
        <v>40</v>
      </c>
      <c r="AB248" s="63">
        <v>40</v>
      </c>
      <c r="AC248" s="63" t="s">
        <v>148</v>
      </c>
      <c r="AD248" s="63" t="s">
        <v>819</v>
      </c>
      <c r="AE248" s="63" t="s">
        <v>95</v>
      </c>
      <c r="AF248" s="63" t="s">
        <v>461</v>
      </c>
      <c r="AG248" s="153" t="s">
        <v>52</v>
      </c>
      <c r="AH248" s="124">
        <v>7.44</v>
      </c>
      <c r="AI248" s="124">
        <v>3.28</v>
      </c>
      <c r="AJ248" s="124">
        <f t="shared" si="23"/>
        <v>50.75</v>
      </c>
      <c r="AK248" s="124">
        <v>10.48</v>
      </c>
      <c r="AL248" s="124">
        <v>11.106</v>
      </c>
      <c r="AM248" s="128">
        <v>50.75</v>
      </c>
      <c r="AN248" s="128">
        <v>8.81</v>
      </c>
      <c r="AO248" s="128">
        <v>3.61</v>
      </c>
      <c r="AP248" s="128">
        <v>50.75</v>
      </c>
      <c r="AQ248" s="128">
        <v>2</v>
      </c>
      <c r="AR248" s="128"/>
      <c r="AS248" s="128"/>
    </row>
    <row r="249" spans="1:49">
      <c r="A249" s="116" t="s">
        <v>828</v>
      </c>
      <c r="B249" s="117">
        <v>144</v>
      </c>
      <c r="C249" s="116" t="s">
        <v>829</v>
      </c>
      <c r="D249" s="88" t="s">
        <v>830</v>
      </c>
      <c r="E249" s="88" t="s">
        <v>66</v>
      </c>
      <c r="F249" s="88" t="s">
        <v>49</v>
      </c>
      <c r="G249" s="88" t="s">
        <v>754</v>
      </c>
      <c r="H249" s="285" t="s">
        <v>922</v>
      </c>
      <c r="I249" s="285" t="str">
        <f t="shared" si="9"/>
        <v xml:space="preserve">m </v>
      </c>
      <c r="J249" s="127">
        <v>1</v>
      </c>
      <c r="K249" s="60" t="s">
        <v>831</v>
      </c>
      <c r="L249" s="60" t="s">
        <v>832</v>
      </c>
      <c r="M249" s="90">
        <f>AVERAGE(10.5,11.5)</f>
        <v>11</v>
      </c>
      <c r="N249" s="90" t="s">
        <v>52</v>
      </c>
      <c r="O249" s="90">
        <v>1</v>
      </c>
      <c r="P249" s="90">
        <v>1</v>
      </c>
      <c r="Q249" s="90">
        <v>0</v>
      </c>
      <c r="R249" s="90">
        <v>0.46250000000000002</v>
      </c>
      <c r="S249" s="90">
        <v>0</v>
      </c>
      <c r="T249" s="60" t="s">
        <v>92</v>
      </c>
      <c r="U249" s="92" t="s">
        <v>833</v>
      </c>
      <c r="V249" s="60" t="s">
        <v>458</v>
      </c>
      <c r="W249" s="60" t="s">
        <v>56</v>
      </c>
      <c r="X249" s="60" t="s">
        <v>459</v>
      </c>
      <c r="Y249" s="60" t="s">
        <v>72</v>
      </c>
      <c r="Z249" s="60">
        <f>AA249*AB249</f>
        <v>1000</v>
      </c>
      <c r="AA249" s="60">
        <f>2*10</f>
        <v>20</v>
      </c>
      <c r="AB249" s="60">
        <v>50</v>
      </c>
      <c r="AC249" s="60" t="s">
        <v>148</v>
      </c>
      <c r="AD249" s="60" t="s">
        <v>834</v>
      </c>
      <c r="AE249" s="126" t="s">
        <v>95</v>
      </c>
      <c r="AF249" s="126" t="s">
        <v>461</v>
      </c>
      <c r="AG249" s="205" t="s">
        <v>52</v>
      </c>
      <c r="AH249" s="120">
        <v>0.2</v>
      </c>
      <c r="AI249" s="120">
        <v>0.2</v>
      </c>
      <c r="AJ249" s="120">
        <v>20</v>
      </c>
      <c r="AK249" s="120">
        <v>1.6</v>
      </c>
      <c r="AL249" s="120">
        <v>0.4</v>
      </c>
      <c r="AM249" s="127">
        <v>20</v>
      </c>
      <c r="AN249" s="127">
        <v>1.3</v>
      </c>
      <c r="AO249" s="127">
        <v>0.5</v>
      </c>
      <c r="AP249" s="127">
        <v>20</v>
      </c>
      <c r="AQ249" s="202">
        <v>2</v>
      </c>
    </row>
    <row r="250" spans="1:49">
      <c r="A250" s="116"/>
      <c r="B250" s="117"/>
      <c r="C250" s="116"/>
      <c r="F250" s="88"/>
      <c r="I250" s="285" t="str">
        <f t="shared" si="9"/>
        <v/>
      </c>
      <c r="K250" s="60"/>
      <c r="L250" s="60"/>
      <c r="M250" s="90"/>
      <c r="N250" s="90"/>
      <c r="O250" s="90"/>
      <c r="P250" s="90"/>
      <c r="Q250" s="90"/>
      <c r="R250" s="90"/>
      <c r="S250" s="90"/>
      <c r="T250" s="60"/>
      <c r="U250" s="92"/>
      <c r="V250" s="60"/>
      <c r="W250" s="60"/>
      <c r="X250" s="60"/>
      <c r="Y250" s="60"/>
      <c r="Z250" s="60"/>
      <c r="AA250" s="60"/>
      <c r="AB250" s="60"/>
      <c r="AC250" s="60"/>
      <c r="AD250" s="60" t="s">
        <v>835</v>
      </c>
      <c r="AE250" s="60" t="s">
        <v>95</v>
      </c>
      <c r="AF250" s="60" t="s">
        <v>461</v>
      </c>
      <c r="AG250" s="152" t="s">
        <v>52</v>
      </c>
      <c r="AH250" s="120">
        <v>4.0999999999999996</v>
      </c>
      <c r="AI250" s="120">
        <v>4.8</v>
      </c>
      <c r="AJ250" s="120">
        <v>20</v>
      </c>
      <c r="AK250" s="120">
        <v>13.6</v>
      </c>
      <c r="AL250" s="120">
        <v>4</v>
      </c>
      <c r="AM250" s="127">
        <v>20</v>
      </c>
      <c r="AN250" s="127">
        <v>10.5</v>
      </c>
      <c r="AO250" s="127">
        <v>3.5</v>
      </c>
      <c r="AP250" s="127">
        <v>20</v>
      </c>
      <c r="AQ250" s="127">
        <v>2</v>
      </c>
    </row>
    <row r="251" spans="1:49">
      <c r="A251" s="116"/>
      <c r="B251" s="117"/>
      <c r="C251" s="116"/>
      <c r="F251" s="88"/>
      <c r="I251" s="285" t="str">
        <f t="shared" si="9"/>
        <v/>
      </c>
      <c r="K251" s="60"/>
      <c r="L251" s="60"/>
      <c r="M251" s="90"/>
      <c r="N251" s="90"/>
      <c r="O251" s="90"/>
      <c r="P251" s="90"/>
      <c r="Q251" s="90"/>
      <c r="R251" s="90"/>
      <c r="S251" s="90"/>
      <c r="T251" s="60"/>
      <c r="U251" s="92"/>
      <c r="V251" s="60"/>
      <c r="W251" s="60"/>
      <c r="X251" s="60"/>
      <c r="Y251" s="60"/>
      <c r="Z251" s="60"/>
      <c r="AA251" s="60"/>
      <c r="AB251" s="60"/>
      <c r="AC251" s="60"/>
      <c r="AD251" s="60" t="s">
        <v>836</v>
      </c>
      <c r="AE251" s="60" t="s">
        <v>95</v>
      </c>
      <c r="AF251" s="60" t="s">
        <v>461</v>
      </c>
      <c r="AG251" s="152" t="s">
        <v>52</v>
      </c>
      <c r="AH251" s="120">
        <v>12</v>
      </c>
      <c r="AI251" s="120">
        <v>4.8</v>
      </c>
      <c r="AJ251" s="120">
        <v>20</v>
      </c>
      <c r="AK251" s="120">
        <v>36.9</v>
      </c>
      <c r="AL251" s="120">
        <v>4.0999999999999996</v>
      </c>
      <c r="AM251" s="127">
        <v>20</v>
      </c>
      <c r="AN251" s="127">
        <v>35.799999999999997</v>
      </c>
      <c r="AO251" s="127">
        <v>5.0999999999999996</v>
      </c>
      <c r="AP251" s="127">
        <v>20</v>
      </c>
      <c r="AQ251" s="127">
        <v>2</v>
      </c>
    </row>
    <row r="252" spans="1:49">
      <c r="A252" s="116"/>
      <c r="B252" s="117"/>
      <c r="C252" s="116"/>
      <c r="F252" s="88"/>
      <c r="H252" s="285" t="s">
        <v>52</v>
      </c>
      <c r="I252" s="285" t="str">
        <f t="shared" si="9"/>
        <v xml:space="preserve">m </v>
      </c>
      <c r="J252" s="127">
        <v>2</v>
      </c>
      <c r="K252" s="60" t="s">
        <v>837</v>
      </c>
      <c r="L252" s="60" t="s">
        <v>832</v>
      </c>
      <c r="M252" s="90">
        <v>11</v>
      </c>
      <c r="N252" s="90" t="s">
        <v>52</v>
      </c>
      <c r="O252" s="90">
        <v>1</v>
      </c>
      <c r="P252" s="90">
        <v>1</v>
      </c>
      <c r="Q252" s="90">
        <v>0</v>
      </c>
      <c r="R252" s="90">
        <v>0.46250000000000002</v>
      </c>
      <c r="S252" s="90">
        <v>0</v>
      </c>
      <c r="T252" s="60" t="s">
        <v>92</v>
      </c>
      <c r="U252" s="92" t="s">
        <v>838</v>
      </c>
      <c r="V252" s="60" t="s">
        <v>458</v>
      </c>
      <c r="W252" s="60" t="s">
        <v>56</v>
      </c>
      <c r="X252" s="60" t="s">
        <v>459</v>
      </c>
      <c r="Y252" s="60" t="s">
        <v>72</v>
      </c>
      <c r="Z252" s="60">
        <f>AA252*AB252</f>
        <v>1000</v>
      </c>
      <c r="AA252" s="60">
        <f>2*10</f>
        <v>20</v>
      </c>
      <c r="AB252" s="60">
        <v>50</v>
      </c>
      <c r="AC252" s="60" t="s">
        <v>148</v>
      </c>
      <c r="AD252" s="60" t="s">
        <v>834</v>
      </c>
      <c r="AE252" s="60" t="s">
        <v>95</v>
      </c>
      <c r="AF252" s="60" t="s">
        <v>461</v>
      </c>
      <c r="AG252" s="152" t="s">
        <v>52</v>
      </c>
      <c r="AH252" s="120">
        <v>0.4</v>
      </c>
      <c r="AI252" s="120">
        <v>0.4</v>
      </c>
      <c r="AJ252" s="120">
        <v>20</v>
      </c>
      <c r="AK252" s="120">
        <v>1.5</v>
      </c>
      <c r="AL252" s="120">
        <v>0.4</v>
      </c>
      <c r="AM252" s="127">
        <v>20</v>
      </c>
      <c r="AN252" s="127">
        <v>1.3</v>
      </c>
      <c r="AO252" s="127">
        <v>0.5</v>
      </c>
      <c r="AP252" s="127">
        <v>20</v>
      </c>
      <c r="AQ252" s="127">
        <v>2</v>
      </c>
    </row>
    <row r="253" spans="1:49">
      <c r="A253" s="116"/>
      <c r="B253" s="117"/>
      <c r="C253" s="116"/>
      <c r="F253" s="88"/>
      <c r="I253" s="285" t="str">
        <f t="shared" si="9"/>
        <v/>
      </c>
      <c r="K253" s="60"/>
      <c r="L253" s="60"/>
      <c r="M253" s="90"/>
      <c r="N253" s="90"/>
      <c r="O253" s="90"/>
      <c r="P253" s="90"/>
      <c r="Q253" s="90"/>
      <c r="R253" s="90"/>
      <c r="S253" s="90"/>
      <c r="T253" s="60"/>
      <c r="U253" s="92"/>
      <c r="V253" s="60"/>
      <c r="W253" s="60"/>
      <c r="X253" s="60"/>
      <c r="Y253" s="60"/>
      <c r="Z253" s="60"/>
      <c r="AA253" s="60"/>
      <c r="AB253" s="60"/>
      <c r="AC253" s="60"/>
      <c r="AD253" s="60" t="s">
        <v>835</v>
      </c>
      <c r="AE253" s="60" t="s">
        <v>95</v>
      </c>
      <c r="AF253" s="60" t="s">
        <v>461</v>
      </c>
      <c r="AG253" s="152" t="s">
        <v>52</v>
      </c>
      <c r="AH253" s="120">
        <v>3.3</v>
      </c>
      <c r="AI253" s="120">
        <v>4.0999999999999996</v>
      </c>
      <c r="AJ253" s="120">
        <v>20</v>
      </c>
      <c r="AK253" s="120">
        <v>10.4</v>
      </c>
      <c r="AL253" s="120">
        <v>3.3</v>
      </c>
      <c r="AM253" s="127">
        <v>20</v>
      </c>
      <c r="AN253" s="127">
        <v>11.9</v>
      </c>
      <c r="AO253" s="127">
        <v>3.2</v>
      </c>
      <c r="AP253" s="127">
        <v>20</v>
      </c>
      <c r="AQ253" s="127">
        <v>2</v>
      </c>
    </row>
    <row r="254" spans="1:49">
      <c r="A254" s="116"/>
      <c r="B254" s="117"/>
      <c r="C254" s="116"/>
      <c r="F254" s="88"/>
      <c r="I254" s="285" t="str">
        <f t="shared" si="9"/>
        <v/>
      </c>
      <c r="K254" s="60"/>
      <c r="L254" s="60"/>
      <c r="M254" s="90"/>
      <c r="N254" s="90"/>
      <c r="O254" s="90"/>
      <c r="P254" s="90"/>
      <c r="Q254" s="90"/>
      <c r="R254" s="90"/>
      <c r="S254" s="90"/>
      <c r="T254" s="60"/>
      <c r="U254" s="92"/>
      <c r="V254" s="60"/>
      <c r="W254" s="60"/>
      <c r="X254" s="60"/>
      <c r="Y254" s="60"/>
      <c r="Z254" s="60"/>
      <c r="AA254" s="60"/>
      <c r="AB254" s="60"/>
      <c r="AC254" s="60"/>
      <c r="AD254" s="60" t="s">
        <v>836</v>
      </c>
      <c r="AE254" s="60" t="s">
        <v>95</v>
      </c>
      <c r="AF254" s="60" t="s">
        <v>461</v>
      </c>
      <c r="AG254" s="152" t="s">
        <v>52</v>
      </c>
      <c r="AH254" s="120">
        <v>14.5</v>
      </c>
      <c r="AI254" s="120">
        <v>5.4</v>
      </c>
      <c r="AJ254" s="120">
        <v>20</v>
      </c>
      <c r="AK254" s="120">
        <v>34.700000000000003</v>
      </c>
      <c r="AL254" s="120">
        <v>6</v>
      </c>
      <c r="AM254" s="127">
        <v>20</v>
      </c>
      <c r="AN254" s="127">
        <v>35</v>
      </c>
      <c r="AO254" s="127">
        <v>6</v>
      </c>
      <c r="AP254" s="127">
        <v>20</v>
      </c>
      <c r="AQ254" s="127">
        <v>2</v>
      </c>
    </row>
    <row r="255" spans="1:49">
      <c r="A255" s="116"/>
      <c r="B255" s="117"/>
      <c r="C255" s="116"/>
      <c r="F255" s="88"/>
      <c r="H255" s="285" t="s">
        <v>919</v>
      </c>
      <c r="I255" s="285" t="str">
        <f t="shared" si="9"/>
        <v>.</v>
      </c>
      <c r="J255" s="127">
        <v>0</v>
      </c>
      <c r="K255" s="60" t="s">
        <v>839</v>
      </c>
      <c r="L255" s="60" t="s">
        <v>832</v>
      </c>
      <c r="M255" s="90">
        <v>11</v>
      </c>
      <c r="N255" s="90" t="s">
        <v>52</v>
      </c>
      <c r="O255" s="90">
        <v>1</v>
      </c>
      <c r="P255" s="90">
        <v>1</v>
      </c>
      <c r="Q255" s="90">
        <v>0</v>
      </c>
      <c r="R255" s="90">
        <v>0.46250000000000002</v>
      </c>
      <c r="S255" s="90">
        <v>0</v>
      </c>
      <c r="T255" s="60" t="s">
        <v>78</v>
      </c>
      <c r="U255" s="92" t="s">
        <v>840</v>
      </c>
      <c r="V255" s="60" t="s">
        <v>236</v>
      </c>
      <c r="W255" s="60" t="s">
        <v>78</v>
      </c>
      <c r="X255" s="60" t="s">
        <v>78</v>
      </c>
      <c r="Y255" s="60" t="s">
        <v>78</v>
      </c>
      <c r="Z255" s="60" t="s">
        <v>78</v>
      </c>
      <c r="AA255" s="60" t="s">
        <v>78</v>
      </c>
      <c r="AB255" s="60" t="s">
        <v>78</v>
      </c>
      <c r="AC255" s="60" t="s">
        <v>78</v>
      </c>
      <c r="AD255" s="60" t="s">
        <v>834</v>
      </c>
      <c r="AE255" s="60" t="s">
        <v>95</v>
      </c>
      <c r="AF255" s="60" t="s">
        <v>461</v>
      </c>
      <c r="AG255" s="152" t="s">
        <v>52</v>
      </c>
      <c r="AH255" s="120">
        <v>0.5</v>
      </c>
      <c r="AI255" s="120">
        <v>0.5</v>
      </c>
      <c r="AJ255" s="120">
        <v>20</v>
      </c>
      <c r="AK255" s="120">
        <v>0.8</v>
      </c>
      <c r="AL255" s="120">
        <v>0.6</v>
      </c>
      <c r="AM255" s="127">
        <v>20</v>
      </c>
      <c r="AN255" s="127">
        <v>0.6</v>
      </c>
      <c r="AO255" s="127">
        <v>0.4</v>
      </c>
      <c r="AP255" s="127">
        <v>20</v>
      </c>
      <c r="AQ255" s="127">
        <v>2</v>
      </c>
    </row>
    <row r="256" spans="1:49">
      <c r="A256" s="116"/>
      <c r="B256" s="117"/>
      <c r="C256" s="116"/>
      <c r="F256" s="88"/>
      <c r="I256" s="285" t="str">
        <f t="shared" si="9"/>
        <v/>
      </c>
      <c r="K256" s="60"/>
      <c r="L256" s="60"/>
      <c r="M256" s="90"/>
      <c r="N256" s="90"/>
      <c r="O256" s="90"/>
      <c r="P256" s="90"/>
      <c r="Q256" s="90"/>
      <c r="R256" s="90"/>
      <c r="S256" s="90"/>
      <c r="T256" s="60"/>
      <c r="U256" s="92"/>
      <c r="V256" s="60"/>
      <c r="W256" s="60"/>
      <c r="X256" s="60"/>
      <c r="Y256" s="60"/>
      <c r="Z256" s="60"/>
      <c r="AA256" s="60"/>
      <c r="AB256" s="60"/>
      <c r="AC256" s="60"/>
      <c r="AD256" s="60" t="s">
        <v>835</v>
      </c>
      <c r="AE256" s="60" t="s">
        <v>95</v>
      </c>
      <c r="AF256" s="60" t="s">
        <v>461</v>
      </c>
      <c r="AG256" s="152" t="s">
        <v>52</v>
      </c>
      <c r="AH256" s="120">
        <v>4.3</v>
      </c>
      <c r="AI256" s="120">
        <v>3.4</v>
      </c>
      <c r="AJ256" s="120">
        <v>20</v>
      </c>
      <c r="AK256" s="120">
        <v>6.4</v>
      </c>
      <c r="AL256" s="120">
        <v>3.1</v>
      </c>
      <c r="AM256" s="127">
        <v>20</v>
      </c>
      <c r="AN256" s="127">
        <v>6.4</v>
      </c>
      <c r="AO256" s="127">
        <v>3.2</v>
      </c>
      <c r="AP256" s="127">
        <v>20</v>
      </c>
      <c r="AQ256" s="127">
        <v>2</v>
      </c>
    </row>
    <row r="257" spans="1:45">
      <c r="A257" s="122"/>
      <c r="B257" s="123"/>
      <c r="C257" s="122"/>
      <c r="D257" s="89"/>
      <c r="E257" s="89"/>
      <c r="F257" s="89"/>
      <c r="G257" s="89"/>
      <c r="H257" s="286"/>
      <c r="I257" s="286" t="str">
        <f t="shared" si="9"/>
        <v/>
      </c>
      <c r="J257" s="128"/>
      <c r="K257" s="63"/>
      <c r="L257" s="63"/>
      <c r="M257" s="93"/>
      <c r="N257" s="93"/>
      <c r="O257" s="93"/>
      <c r="P257" s="93"/>
      <c r="Q257" s="93"/>
      <c r="R257" s="93"/>
      <c r="S257" s="93"/>
      <c r="T257" s="63"/>
      <c r="U257" s="95"/>
      <c r="V257" s="63"/>
      <c r="W257" s="63"/>
      <c r="X257" s="63"/>
      <c r="Y257" s="63"/>
      <c r="Z257" s="63"/>
      <c r="AA257" s="63"/>
      <c r="AB257" s="63"/>
      <c r="AC257" s="63"/>
      <c r="AD257" s="63" t="s">
        <v>836</v>
      </c>
      <c r="AE257" s="63" t="s">
        <v>95</v>
      </c>
      <c r="AF257" s="63" t="s">
        <v>461</v>
      </c>
      <c r="AG257" s="153" t="s">
        <v>52</v>
      </c>
      <c r="AH257" s="124">
        <v>12.1</v>
      </c>
      <c r="AI257" s="124">
        <v>6.4</v>
      </c>
      <c r="AJ257" s="124">
        <v>20</v>
      </c>
      <c r="AK257" s="124">
        <v>19.600000000000001</v>
      </c>
      <c r="AL257" s="124">
        <v>6.8</v>
      </c>
      <c r="AM257" s="128">
        <v>20</v>
      </c>
      <c r="AN257" s="128">
        <v>23.7</v>
      </c>
      <c r="AO257" s="128">
        <v>7.8</v>
      </c>
      <c r="AP257" s="128">
        <v>20</v>
      </c>
      <c r="AQ257" s="128">
        <v>2</v>
      </c>
      <c r="AR257" s="128"/>
      <c r="AS257" s="128"/>
    </row>
    <row r="258" spans="1:45">
      <c r="A258" s="116" t="s">
        <v>841</v>
      </c>
      <c r="B258" s="117">
        <v>145</v>
      </c>
      <c r="C258" s="116" t="s">
        <v>842</v>
      </c>
      <c r="D258" s="88" t="s">
        <v>843</v>
      </c>
      <c r="E258" s="88" t="s">
        <v>66</v>
      </c>
      <c r="F258" s="88" t="s">
        <v>49</v>
      </c>
      <c r="G258" s="88" t="s">
        <v>844</v>
      </c>
      <c r="H258" s="285" t="s">
        <v>920</v>
      </c>
      <c r="I258" s="285" t="str">
        <f t="shared" si="9"/>
        <v xml:space="preserve">m </v>
      </c>
      <c r="J258" s="127">
        <v>1</v>
      </c>
      <c r="K258" s="60" t="s">
        <v>845</v>
      </c>
      <c r="L258" s="60">
        <v>6</v>
      </c>
      <c r="M258" s="90">
        <v>11.5</v>
      </c>
      <c r="N258" s="90" t="s">
        <v>52</v>
      </c>
      <c r="O258" s="90" t="s">
        <v>52</v>
      </c>
      <c r="P258" s="90" t="s">
        <v>52</v>
      </c>
      <c r="Q258" s="90" t="s">
        <v>52</v>
      </c>
      <c r="R258" s="90">
        <v>0.38700000000000001</v>
      </c>
      <c r="S258" s="90" t="s">
        <v>52</v>
      </c>
      <c r="T258" s="60" t="s">
        <v>92</v>
      </c>
      <c r="U258" s="92" t="s">
        <v>846</v>
      </c>
      <c r="V258" s="60" t="s">
        <v>458</v>
      </c>
      <c r="W258" s="60" t="s">
        <v>153</v>
      </c>
      <c r="X258" s="60" t="s">
        <v>459</v>
      </c>
      <c r="Y258" s="60" t="s">
        <v>72</v>
      </c>
      <c r="Z258" s="60">
        <f>AA258*AB258</f>
        <v>2160</v>
      </c>
      <c r="AA258" s="60">
        <v>36</v>
      </c>
      <c r="AB258" s="60">
        <v>60</v>
      </c>
      <c r="AC258" s="60" t="s">
        <v>148</v>
      </c>
      <c r="AD258" s="60" t="s">
        <v>847</v>
      </c>
      <c r="AE258" s="60" t="s">
        <v>95</v>
      </c>
      <c r="AF258" s="60" t="s">
        <v>461</v>
      </c>
      <c r="AG258" s="152" t="s">
        <v>848</v>
      </c>
      <c r="AH258" s="120">
        <v>52.09</v>
      </c>
      <c r="AI258" s="120">
        <v>20.9</v>
      </c>
      <c r="AJ258" s="120">
        <v>31</v>
      </c>
      <c r="AK258" s="120">
        <v>57.9</v>
      </c>
      <c r="AL258" s="120">
        <v>18.7</v>
      </c>
      <c r="AM258" s="127">
        <v>31</v>
      </c>
      <c r="AN258" s="200" t="s">
        <v>52</v>
      </c>
      <c r="AO258" s="200" t="s">
        <v>52</v>
      </c>
      <c r="AP258" s="200" t="s">
        <v>52</v>
      </c>
      <c r="AQ258" s="200" t="s">
        <v>52</v>
      </c>
      <c r="AR258" s="200"/>
      <c r="AS258" s="200"/>
    </row>
    <row r="259" spans="1:45">
      <c r="A259" s="122"/>
      <c r="B259" s="123"/>
      <c r="C259" s="122"/>
      <c r="D259" s="89"/>
      <c r="E259" s="89"/>
      <c r="F259" s="89"/>
      <c r="G259" s="89"/>
      <c r="H259" s="286" t="s">
        <v>919</v>
      </c>
      <c r="I259" s="286" t="str">
        <f t="shared" si="9"/>
        <v>.</v>
      </c>
      <c r="J259" s="128">
        <v>0</v>
      </c>
      <c r="K259" s="63" t="s">
        <v>849</v>
      </c>
      <c r="L259" s="63">
        <v>6</v>
      </c>
      <c r="M259" s="93">
        <v>11.5</v>
      </c>
      <c r="N259" s="93" t="s">
        <v>52</v>
      </c>
      <c r="O259" s="93" t="s">
        <v>52</v>
      </c>
      <c r="P259" s="93" t="s">
        <v>52</v>
      </c>
      <c r="Q259" s="93" t="s">
        <v>52</v>
      </c>
      <c r="R259" s="93">
        <v>0.58069999999999999</v>
      </c>
      <c r="S259" s="93" t="s">
        <v>52</v>
      </c>
      <c r="T259" s="63" t="s">
        <v>78</v>
      </c>
      <c r="U259" s="95" t="s">
        <v>850</v>
      </c>
      <c r="V259" s="63" t="s">
        <v>80</v>
      </c>
      <c r="W259" s="63" t="s">
        <v>78</v>
      </c>
      <c r="X259" s="63" t="s">
        <v>78</v>
      </c>
      <c r="Y259" s="63" t="s">
        <v>78</v>
      </c>
      <c r="Z259" s="63" t="s">
        <v>78</v>
      </c>
      <c r="AA259" s="63" t="s">
        <v>78</v>
      </c>
      <c r="AB259" s="63" t="s">
        <v>78</v>
      </c>
      <c r="AC259" s="63" t="s">
        <v>78</v>
      </c>
      <c r="AD259" s="63" t="s">
        <v>847</v>
      </c>
      <c r="AE259" s="63" t="s">
        <v>95</v>
      </c>
      <c r="AF259" s="63" t="s">
        <v>461</v>
      </c>
      <c r="AG259" s="153" t="s">
        <v>848</v>
      </c>
      <c r="AH259" s="128">
        <v>56.77</v>
      </c>
      <c r="AI259" s="128">
        <v>14.3</v>
      </c>
      <c r="AJ259" s="124">
        <v>31</v>
      </c>
      <c r="AK259" s="80">
        <v>56.93</v>
      </c>
      <c r="AL259" s="80">
        <v>15.8</v>
      </c>
      <c r="AM259" s="128">
        <v>31</v>
      </c>
      <c r="AN259" s="201" t="s">
        <v>52</v>
      </c>
      <c r="AO259" s="201" t="s">
        <v>52</v>
      </c>
      <c r="AP259" s="201" t="s">
        <v>52</v>
      </c>
      <c r="AQ259" s="201" t="s">
        <v>52</v>
      </c>
      <c r="AR259" s="201"/>
      <c r="AS259" s="201"/>
    </row>
    <row r="260" spans="1:45">
      <c r="A260" s="116" t="s">
        <v>851</v>
      </c>
      <c r="B260" s="117">
        <v>146</v>
      </c>
      <c r="C260" s="116" t="s">
        <v>852</v>
      </c>
      <c r="D260" s="88" t="s">
        <v>853</v>
      </c>
      <c r="E260" s="88" t="s">
        <v>66</v>
      </c>
      <c r="F260" s="88" t="s">
        <v>49</v>
      </c>
      <c r="G260" s="88" t="s">
        <v>844</v>
      </c>
      <c r="H260" s="285" t="s">
        <v>925</v>
      </c>
      <c r="I260" s="285" t="str">
        <f t="shared" ref="I260:I291" si="24">IF(T260="BAU",".",LEFT(T260,2))</f>
        <v xml:space="preserve">m </v>
      </c>
      <c r="J260" s="127">
        <v>1</v>
      </c>
      <c r="K260" s="60" t="s">
        <v>854</v>
      </c>
      <c r="L260" s="60">
        <v>5</v>
      </c>
      <c r="M260" s="90">
        <v>11</v>
      </c>
      <c r="N260" s="90" t="s">
        <v>52</v>
      </c>
      <c r="O260" s="90" t="s">
        <v>52</v>
      </c>
      <c r="P260" s="90" t="s">
        <v>52</v>
      </c>
      <c r="Q260" s="90" t="s">
        <v>52</v>
      </c>
      <c r="R260" s="90">
        <f>296/(297+296)</f>
        <v>0.49915682967959529</v>
      </c>
      <c r="S260" s="90" t="s">
        <v>52</v>
      </c>
      <c r="T260" s="60" t="s">
        <v>92</v>
      </c>
      <c r="U260" s="92" t="s">
        <v>855</v>
      </c>
      <c r="V260" s="60" t="s">
        <v>458</v>
      </c>
      <c r="W260" s="60" t="s">
        <v>56</v>
      </c>
      <c r="X260" s="60" t="s">
        <v>459</v>
      </c>
      <c r="Y260" s="60" t="s">
        <v>58</v>
      </c>
      <c r="Z260" s="60">
        <f>AA260*AB260</f>
        <v>900</v>
      </c>
      <c r="AA260" s="60">
        <v>20</v>
      </c>
      <c r="AB260" s="60">
        <v>45</v>
      </c>
      <c r="AC260" s="60" t="s">
        <v>59</v>
      </c>
      <c r="AD260" s="60" t="s">
        <v>856</v>
      </c>
      <c r="AE260" s="60" t="s">
        <v>61</v>
      </c>
      <c r="AF260" s="60" t="s">
        <v>538</v>
      </c>
      <c r="AG260" s="152" t="s">
        <v>857</v>
      </c>
      <c r="AH260" s="142">
        <v>5.69</v>
      </c>
      <c r="AI260" s="142">
        <v>2.59</v>
      </c>
      <c r="AJ260" s="142">
        <v>95</v>
      </c>
      <c r="AK260" s="142">
        <v>7.65</v>
      </c>
      <c r="AL260" s="142">
        <v>2.08</v>
      </c>
      <c r="AM260" s="142">
        <v>95</v>
      </c>
      <c r="AN260" s="142">
        <v>10.49</v>
      </c>
      <c r="AO260" s="142">
        <v>1.71</v>
      </c>
      <c r="AP260" s="142">
        <v>95</v>
      </c>
      <c r="AQ260" s="127">
        <v>6</v>
      </c>
    </row>
    <row r="261" spans="1:45">
      <c r="A261" s="116"/>
      <c r="B261" s="117"/>
      <c r="C261" s="116"/>
      <c r="F261" s="88"/>
      <c r="H261" s="285" t="s">
        <v>928</v>
      </c>
      <c r="I261" s="285" t="str">
        <f t="shared" si="24"/>
        <v xml:space="preserve">m </v>
      </c>
      <c r="J261" s="127">
        <v>2</v>
      </c>
      <c r="K261" s="60" t="s">
        <v>858</v>
      </c>
      <c r="L261" s="60">
        <v>5</v>
      </c>
      <c r="M261" s="90">
        <v>11</v>
      </c>
      <c r="N261" s="90" t="s">
        <v>52</v>
      </c>
      <c r="O261" s="90" t="s">
        <v>52</v>
      </c>
      <c r="P261" s="90" t="s">
        <v>52</v>
      </c>
      <c r="Q261" s="90" t="s">
        <v>52</v>
      </c>
      <c r="R261" s="90">
        <f t="shared" ref="R261:R263" si="25">296/(297+296)</f>
        <v>0.49915682967959529</v>
      </c>
      <c r="S261" s="90" t="s">
        <v>52</v>
      </c>
      <c r="T261" s="60" t="s">
        <v>92</v>
      </c>
      <c r="U261" s="92" t="s">
        <v>855</v>
      </c>
      <c r="V261" s="60" t="s">
        <v>458</v>
      </c>
      <c r="W261" s="60" t="s">
        <v>56</v>
      </c>
      <c r="X261" s="60" t="s">
        <v>459</v>
      </c>
      <c r="Y261" s="60" t="s">
        <v>58</v>
      </c>
      <c r="Z261" s="60">
        <f t="shared" ref="Z261:Z262" si="26">AA261*AB261</f>
        <v>900</v>
      </c>
      <c r="AA261" s="60">
        <v>20</v>
      </c>
      <c r="AB261" s="60">
        <v>45</v>
      </c>
      <c r="AC261" s="60" t="s">
        <v>59</v>
      </c>
      <c r="AD261" s="60" t="s">
        <v>856</v>
      </c>
      <c r="AE261" s="60" t="s">
        <v>61</v>
      </c>
      <c r="AF261" s="60" t="s">
        <v>538</v>
      </c>
      <c r="AG261" s="152" t="s">
        <v>857</v>
      </c>
      <c r="AH261" s="120">
        <v>5.76</v>
      </c>
      <c r="AI261" s="120">
        <v>2.73</v>
      </c>
      <c r="AJ261" s="120">
        <v>146</v>
      </c>
      <c r="AK261" s="120">
        <v>7.26</v>
      </c>
      <c r="AL261" s="120">
        <v>1.78</v>
      </c>
      <c r="AM261" s="120">
        <v>146</v>
      </c>
      <c r="AN261" s="120">
        <v>10.119999999999999</v>
      </c>
      <c r="AO261" s="120">
        <v>1.95</v>
      </c>
      <c r="AP261" s="120">
        <v>146</v>
      </c>
      <c r="AQ261" s="127">
        <v>6</v>
      </c>
    </row>
    <row r="262" spans="1:45">
      <c r="A262" s="116"/>
      <c r="B262" s="117"/>
      <c r="C262" s="116"/>
      <c r="F262" s="88"/>
      <c r="H262" s="285" t="s">
        <v>919</v>
      </c>
      <c r="I262" s="285" t="str">
        <f t="shared" si="24"/>
        <v xml:space="preserve">m </v>
      </c>
      <c r="J262" s="127">
        <v>3</v>
      </c>
      <c r="K262" s="60" t="s">
        <v>859</v>
      </c>
      <c r="L262" s="60">
        <v>5</v>
      </c>
      <c r="M262" s="90">
        <v>11</v>
      </c>
      <c r="N262" s="90" t="s">
        <v>52</v>
      </c>
      <c r="O262" s="90" t="s">
        <v>52</v>
      </c>
      <c r="P262" s="90" t="s">
        <v>52</v>
      </c>
      <c r="Q262" s="90" t="s">
        <v>52</v>
      </c>
      <c r="R262" s="90">
        <f t="shared" si="25"/>
        <v>0.49915682967959529</v>
      </c>
      <c r="S262" s="90" t="s">
        <v>52</v>
      </c>
      <c r="T262" s="60" t="s">
        <v>92</v>
      </c>
      <c r="U262" s="92" t="s">
        <v>855</v>
      </c>
      <c r="V262" s="60" t="s">
        <v>458</v>
      </c>
      <c r="W262" s="60" t="s">
        <v>56</v>
      </c>
      <c r="X262" s="60" t="s">
        <v>459</v>
      </c>
      <c r="Y262" s="60" t="s">
        <v>58</v>
      </c>
      <c r="Z262" s="60">
        <f t="shared" si="26"/>
        <v>900</v>
      </c>
      <c r="AA262" s="60">
        <v>20</v>
      </c>
      <c r="AB262" s="60">
        <v>45</v>
      </c>
      <c r="AC262" s="60" t="s">
        <v>59</v>
      </c>
      <c r="AD262" s="60" t="s">
        <v>856</v>
      </c>
      <c r="AE262" s="60" t="s">
        <v>61</v>
      </c>
      <c r="AF262" s="60" t="s">
        <v>538</v>
      </c>
      <c r="AG262" s="152" t="s">
        <v>857</v>
      </c>
      <c r="AH262" s="120">
        <v>5.97</v>
      </c>
      <c r="AI262" s="120">
        <v>2.59</v>
      </c>
      <c r="AJ262" s="120">
        <v>89</v>
      </c>
      <c r="AK262" s="120">
        <v>7.89</v>
      </c>
      <c r="AL262" s="120">
        <v>2.13</v>
      </c>
      <c r="AM262" s="120">
        <v>89</v>
      </c>
      <c r="AN262" s="120">
        <v>11.02</v>
      </c>
      <c r="AO262" s="120">
        <v>1.57</v>
      </c>
      <c r="AP262" s="120">
        <v>89</v>
      </c>
      <c r="AQ262" s="127">
        <v>6</v>
      </c>
    </row>
    <row r="263" spans="1:45">
      <c r="A263" s="122"/>
      <c r="B263" s="123"/>
      <c r="C263" s="122"/>
      <c r="D263" s="89"/>
      <c r="E263" s="89"/>
      <c r="F263" s="89"/>
      <c r="G263" s="89"/>
      <c r="H263" s="286" t="s">
        <v>919</v>
      </c>
      <c r="I263" s="286" t="str">
        <f t="shared" si="24"/>
        <v>.</v>
      </c>
      <c r="J263" s="128">
        <v>0</v>
      </c>
      <c r="K263" s="63" t="s">
        <v>126</v>
      </c>
      <c r="L263" s="63">
        <v>5</v>
      </c>
      <c r="M263" s="93">
        <v>11</v>
      </c>
      <c r="N263" s="93" t="s">
        <v>52</v>
      </c>
      <c r="O263" s="93" t="s">
        <v>52</v>
      </c>
      <c r="P263" s="93" t="s">
        <v>52</v>
      </c>
      <c r="Q263" s="93" t="s">
        <v>52</v>
      </c>
      <c r="R263" s="93">
        <f t="shared" si="25"/>
        <v>0.49915682967959529</v>
      </c>
      <c r="S263" s="93" t="s">
        <v>52</v>
      </c>
      <c r="T263" s="63" t="s">
        <v>78</v>
      </c>
      <c r="U263" s="95" t="s">
        <v>78</v>
      </c>
      <c r="V263" s="63" t="s">
        <v>236</v>
      </c>
      <c r="W263" s="63" t="s">
        <v>78</v>
      </c>
      <c r="X263" s="63" t="s">
        <v>78</v>
      </c>
      <c r="Y263" s="63" t="s">
        <v>78</v>
      </c>
      <c r="Z263" s="63" t="s">
        <v>78</v>
      </c>
      <c r="AA263" s="63" t="s">
        <v>78</v>
      </c>
      <c r="AB263" s="63" t="s">
        <v>78</v>
      </c>
      <c r="AC263" s="63" t="s">
        <v>78</v>
      </c>
      <c r="AD263" s="63" t="s">
        <v>856</v>
      </c>
      <c r="AE263" s="63" t="s">
        <v>61</v>
      </c>
      <c r="AF263" s="63" t="s">
        <v>538</v>
      </c>
      <c r="AG263" s="153" t="s">
        <v>857</v>
      </c>
      <c r="AH263" s="124">
        <v>5.13</v>
      </c>
      <c r="AI263" s="124">
        <v>2.58</v>
      </c>
      <c r="AJ263" s="124">
        <v>84</v>
      </c>
      <c r="AK263" s="124">
        <v>7.15</v>
      </c>
      <c r="AL263" s="124">
        <v>2.0299999999999998</v>
      </c>
      <c r="AM263" s="124">
        <v>84</v>
      </c>
      <c r="AN263" s="124">
        <v>9.36</v>
      </c>
      <c r="AO263" s="124">
        <v>2.39</v>
      </c>
      <c r="AP263" s="124">
        <v>84</v>
      </c>
      <c r="AQ263" s="128">
        <v>6</v>
      </c>
      <c r="AR263" s="128"/>
      <c r="AS263" s="128"/>
    </row>
    <row r="264" spans="1:45">
      <c r="A264" s="116" t="s">
        <v>860</v>
      </c>
      <c r="B264" s="117">
        <v>147</v>
      </c>
      <c r="C264" s="116" t="s">
        <v>853</v>
      </c>
      <c r="D264" s="88" t="s">
        <v>853</v>
      </c>
      <c r="E264" s="88" t="s">
        <v>66</v>
      </c>
      <c r="F264" s="88" t="s">
        <v>49</v>
      </c>
      <c r="G264" s="88" t="s">
        <v>844</v>
      </c>
      <c r="H264" s="285" t="s">
        <v>919</v>
      </c>
      <c r="I264" s="285" t="str">
        <f t="shared" si="24"/>
        <v xml:space="preserve">m </v>
      </c>
      <c r="J264" s="127">
        <v>0</v>
      </c>
      <c r="K264" s="60" t="s">
        <v>780</v>
      </c>
      <c r="L264" s="60">
        <v>5</v>
      </c>
      <c r="M264" s="90">
        <v>11.7</v>
      </c>
      <c r="N264" s="90" t="s">
        <v>52</v>
      </c>
      <c r="O264" s="90" t="s">
        <v>52</v>
      </c>
      <c r="P264" s="90" t="s">
        <v>52</v>
      </c>
      <c r="Q264" s="90">
        <v>0</v>
      </c>
      <c r="R264" s="90">
        <f>27/62</f>
        <v>0.43548387096774194</v>
      </c>
      <c r="S264" s="90" t="s">
        <v>52</v>
      </c>
      <c r="T264" s="60" t="s">
        <v>92</v>
      </c>
      <c r="U264" s="92" t="s">
        <v>861</v>
      </c>
      <c r="V264" s="60" t="s">
        <v>236</v>
      </c>
      <c r="W264" s="60" t="s">
        <v>78</v>
      </c>
      <c r="X264" s="60" t="s">
        <v>78</v>
      </c>
      <c r="Y264" s="60" t="s">
        <v>78</v>
      </c>
      <c r="Z264" s="60" t="s">
        <v>78</v>
      </c>
      <c r="AA264" s="60" t="s">
        <v>78</v>
      </c>
      <c r="AB264" s="60" t="s">
        <v>78</v>
      </c>
      <c r="AC264" s="60" t="s">
        <v>78</v>
      </c>
      <c r="AD264" s="60" t="s">
        <v>862</v>
      </c>
      <c r="AE264" s="60" t="s">
        <v>61</v>
      </c>
      <c r="AF264" s="60" t="s">
        <v>538</v>
      </c>
      <c r="AG264" s="152" t="s">
        <v>863</v>
      </c>
      <c r="AH264" s="79">
        <v>50.2</v>
      </c>
      <c r="AI264" s="79">
        <v>8.2200000000000006</v>
      </c>
      <c r="AJ264" s="127">
        <v>62</v>
      </c>
      <c r="AK264" s="79">
        <v>49.32</v>
      </c>
      <c r="AL264" s="79">
        <v>7.05</v>
      </c>
      <c r="AM264" s="127">
        <v>127</v>
      </c>
      <c r="AN264" s="79">
        <v>50.33</v>
      </c>
      <c r="AO264" s="79">
        <v>7.49</v>
      </c>
      <c r="AP264" s="127">
        <v>117</v>
      </c>
      <c r="AQ264" s="127">
        <v>2</v>
      </c>
    </row>
    <row r="265" spans="1:45">
      <c r="A265" s="116"/>
      <c r="B265" s="117"/>
      <c r="C265" s="116"/>
      <c r="F265" s="88"/>
      <c r="H265" s="285" t="s">
        <v>926</v>
      </c>
      <c r="I265" s="285" t="str">
        <f t="shared" si="24"/>
        <v xml:space="preserve">m </v>
      </c>
      <c r="J265" s="127">
        <v>1</v>
      </c>
      <c r="K265" s="60" t="s">
        <v>864</v>
      </c>
      <c r="L265" s="60">
        <v>5</v>
      </c>
      <c r="M265" s="90">
        <v>11.05</v>
      </c>
      <c r="N265" s="90" t="s">
        <v>52</v>
      </c>
      <c r="O265" s="90" t="s">
        <v>52</v>
      </c>
      <c r="P265" s="90" t="s">
        <v>52</v>
      </c>
      <c r="Q265" s="90">
        <v>0</v>
      </c>
      <c r="R265" s="90">
        <f>60/127</f>
        <v>0.47244094488188976</v>
      </c>
      <c r="S265" s="90" t="s">
        <v>52</v>
      </c>
      <c r="T265" s="60" t="s">
        <v>92</v>
      </c>
      <c r="U265" s="92" t="s">
        <v>865</v>
      </c>
      <c r="V265" s="60" t="s">
        <v>458</v>
      </c>
      <c r="W265" s="60" t="s">
        <v>153</v>
      </c>
      <c r="X265" s="60" t="s">
        <v>459</v>
      </c>
      <c r="Y265" s="60" t="s">
        <v>72</v>
      </c>
      <c r="Z265" s="60">
        <f t="shared" ref="Z265:Z271" si="27">AA265*AB265</f>
        <v>630</v>
      </c>
      <c r="AA265" s="60">
        <v>14</v>
      </c>
      <c r="AB265" s="60">
        <v>45</v>
      </c>
      <c r="AC265" s="60" t="s">
        <v>59</v>
      </c>
      <c r="AD265" s="60" t="s">
        <v>862</v>
      </c>
      <c r="AE265" s="60" t="s">
        <v>61</v>
      </c>
      <c r="AF265" s="60" t="s">
        <v>538</v>
      </c>
      <c r="AG265" s="152" t="s">
        <v>863</v>
      </c>
      <c r="AH265" s="79">
        <v>49.76</v>
      </c>
      <c r="AI265" s="79">
        <v>8.93</v>
      </c>
      <c r="AJ265" s="127">
        <v>62</v>
      </c>
      <c r="AK265" s="79">
        <v>49.99</v>
      </c>
      <c r="AL265" s="79">
        <v>9.02</v>
      </c>
      <c r="AM265" s="127">
        <v>127</v>
      </c>
      <c r="AN265" s="79">
        <v>50.61</v>
      </c>
      <c r="AO265" s="79">
        <v>9.5500000000000007</v>
      </c>
      <c r="AP265" s="127">
        <v>117</v>
      </c>
      <c r="AQ265" s="127">
        <v>2</v>
      </c>
    </row>
    <row r="266" spans="1:45">
      <c r="A266" s="122"/>
      <c r="B266" s="123"/>
      <c r="C266" s="122"/>
      <c r="D266" s="89"/>
      <c r="E266" s="89"/>
      <c r="F266" s="89"/>
      <c r="G266" s="89"/>
      <c r="H266" s="286" t="s">
        <v>918</v>
      </c>
      <c r="I266" s="286" t="str">
        <f t="shared" si="24"/>
        <v xml:space="preserve">m </v>
      </c>
      <c r="J266" s="128">
        <v>2</v>
      </c>
      <c r="K266" s="63" t="s">
        <v>866</v>
      </c>
      <c r="L266" s="63">
        <v>5</v>
      </c>
      <c r="M266" s="93">
        <v>11.02</v>
      </c>
      <c r="N266" s="93" t="s">
        <v>52</v>
      </c>
      <c r="O266" s="93" t="s">
        <v>52</v>
      </c>
      <c r="P266" s="93" t="s">
        <v>52</v>
      </c>
      <c r="Q266" s="93">
        <v>0</v>
      </c>
      <c r="R266" s="93">
        <f>56/117</f>
        <v>0.47863247863247865</v>
      </c>
      <c r="S266" s="93" t="s">
        <v>52</v>
      </c>
      <c r="T266" s="63" t="s">
        <v>92</v>
      </c>
      <c r="U266" s="95" t="s">
        <v>865</v>
      </c>
      <c r="V266" s="63" t="s">
        <v>458</v>
      </c>
      <c r="W266" s="63" t="s">
        <v>153</v>
      </c>
      <c r="X266" s="63" t="s">
        <v>459</v>
      </c>
      <c r="Y266" s="63" t="s">
        <v>72</v>
      </c>
      <c r="Z266" s="63">
        <f t="shared" si="27"/>
        <v>630</v>
      </c>
      <c r="AA266" s="63">
        <v>14</v>
      </c>
      <c r="AB266" s="63">
        <v>45</v>
      </c>
      <c r="AC266" s="63" t="s">
        <v>59</v>
      </c>
      <c r="AD266" s="63" t="s">
        <v>862</v>
      </c>
      <c r="AE266" s="63" t="s">
        <v>61</v>
      </c>
      <c r="AF266" s="63" t="s">
        <v>538</v>
      </c>
      <c r="AG266" s="153" t="s">
        <v>863</v>
      </c>
      <c r="AH266" s="80">
        <v>48.75</v>
      </c>
      <c r="AI266" s="80">
        <v>7.91</v>
      </c>
      <c r="AJ266" s="128">
        <v>62</v>
      </c>
      <c r="AK266" s="80">
        <v>52.14</v>
      </c>
      <c r="AL266" s="80">
        <v>8.93</v>
      </c>
      <c r="AM266" s="128">
        <v>127</v>
      </c>
      <c r="AN266" s="80">
        <v>53.73</v>
      </c>
      <c r="AO266" s="80">
        <v>9.19</v>
      </c>
      <c r="AP266" s="128">
        <v>117</v>
      </c>
      <c r="AQ266" s="128">
        <v>2</v>
      </c>
      <c r="AR266" s="128"/>
      <c r="AS266" s="128"/>
    </row>
    <row r="267" spans="1:45">
      <c r="A267" s="116" t="s">
        <v>867</v>
      </c>
      <c r="B267" s="117">
        <v>148</v>
      </c>
      <c r="C267" s="116" t="s">
        <v>852</v>
      </c>
      <c r="D267" s="88" t="s">
        <v>853</v>
      </c>
      <c r="E267" s="88" t="s">
        <v>66</v>
      </c>
      <c r="F267" s="88" t="s">
        <v>49</v>
      </c>
      <c r="G267" s="88" t="s">
        <v>844</v>
      </c>
      <c r="H267" s="285" t="s">
        <v>922</v>
      </c>
      <c r="I267" s="285" t="str">
        <f t="shared" si="24"/>
        <v xml:space="preserve">m </v>
      </c>
      <c r="J267" s="127">
        <v>0</v>
      </c>
      <c r="K267" s="60" t="s">
        <v>864</v>
      </c>
      <c r="L267" s="60">
        <v>5</v>
      </c>
      <c r="M267" s="90">
        <v>10.48</v>
      </c>
      <c r="N267" s="90" t="s">
        <v>52</v>
      </c>
      <c r="O267" s="90" t="s">
        <v>52</v>
      </c>
      <c r="P267" s="90" t="s">
        <v>52</v>
      </c>
      <c r="Q267" s="90">
        <v>7.5187969924812026E-3</v>
      </c>
      <c r="R267" s="90">
        <f>78/133</f>
        <v>0.5864661654135338</v>
      </c>
      <c r="S267" s="90" t="s">
        <v>52</v>
      </c>
      <c r="T267" s="60" t="s">
        <v>92</v>
      </c>
      <c r="U267" s="92" t="s">
        <v>868</v>
      </c>
      <c r="V267" s="60" t="s">
        <v>458</v>
      </c>
      <c r="W267" s="60" t="s">
        <v>153</v>
      </c>
      <c r="X267" s="126" t="s">
        <v>459</v>
      </c>
      <c r="Y267" s="126" t="s">
        <v>72</v>
      </c>
      <c r="Z267" s="60">
        <f>AA267*AB267</f>
        <v>630</v>
      </c>
      <c r="AA267" s="60">
        <v>45</v>
      </c>
      <c r="AB267" s="60">
        <v>14</v>
      </c>
      <c r="AC267" s="60" t="s">
        <v>59</v>
      </c>
      <c r="AD267" s="60" t="s">
        <v>869</v>
      </c>
      <c r="AE267" s="60" t="s">
        <v>61</v>
      </c>
      <c r="AF267" s="60" t="s">
        <v>538</v>
      </c>
      <c r="AG267" s="152" t="s">
        <v>870</v>
      </c>
      <c r="AH267" s="120">
        <v>49.31</v>
      </c>
      <c r="AI267" s="120">
        <v>8.2200000000000006</v>
      </c>
      <c r="AJ267" s="120">
        <v>133</v>
      </c>
      <c r="AK267" s="120">
        <v>50.43</v>
      </c>
      <c r="AL267" s="120">
        <v>8.08</v>
      </c>
      <c r="AM267" s="120">
        <v>133</v>
      </c>
      <c r="AN267" s="127">
        <v>50.53</v>
      </c>
      <c r="AO267" s="127">
        <v>8.8699999999999992</v>
      </c>
      <c r="AP267" s="127">
        <v>133</v>
      </c>
      <c r="AQ267" s="202">
        <v>2</v>
      </c>
      <c r="AR267" s="202">
        <v>0.61</v>
      </c>
      <c r="AS267" s="202">
        <v>0.71</v>
      </c>
    </row>
    <row r="268" spans="1:45">
      <c r="A268" s="116"/>
      <c r="B268" s="117"/>
      <c r="C268" s="116"/>
      <c r="F268" s="88"/>
      <c r="H268" s="285" t="s">
        <v>930</v>
      </c>
      <c r="I268" s="285" t="str">
        <f t="shared" si="24"/>
        <v xml:space="preserve">m </v>
      </c>
      <c r="J268" s="127">
        <v>1</v>
      </c>
      <c r="K268" s="118" t="s">
        <v>871</v>
      </c>
      <c r="L268" s="60">
        <v>5</v>
      </c>
      <c r="M268" s="90">
        <v>10.57</v>
      </c>
      <c r="N268" s="90" t="s">
        <v>52</v>
      </c>
      <c r="O268" s="90" t="s">
        <v>52</v>
      </c>
      <c r="P268" s="90" t="s">
        <v>52</v>
      </c>
      <c r="Q268" s="90">
        <v>3.875968992248062E-2</v>
      </c>
      <c r="R268" s="90">
        <f>64/129</f>
        <v>0.49612403100775193</v>
      </c>
      <c r="S268" s="90" t="s">
        <v>52</v>
      </c>
      <c r="T268" s="60" t="s">
        <v>92</v>
      </c>
      <c r="U268" s="92" t="s">
        <v>872</v>
      </c>
      <c r="V268" s="60" t="s">
        <v>458</v>
      </c>
      <c r="W268" s="60" t="s">
        <v>153</v>
      </c>
      <c r="X268" s="60" t="s">
        <v>459</v>
      </c>
      <c r="Y268" s="60" t="s">
        <v>72</v>
      </c>
      <c r="Z268" s="60">
        <f t="shared" ref="Z268:Z270" si="28">AA268*AB268</f>
        <v>630</v>
      </c>
      <c r="AA268" s="60">
        <v>45</v>
      </c>
      <c r="AB268" s="60">
        <v>14</v>
      </c>
      <c r="AC268" s="60" t="s">
        <v>59</v>
      </c>
      <c r="AD268" s="60" t="s">
        <v>869</v>
      </c>
      <c r="AE268" s="60" t="s">
        <v>61</v>
      </c>
      <c r="AF268" s="60" t="s">
        <v>538</v>
      </c>
      <c r="AG268" s="152" t="s">
        <v>870</v>
      </c>
      <c r="AH268" s="120">
        <v>50.81</v>
      </c>
      <c r="AI268" s="120">
        <v>9.19</v>
      </c>
      <c r="AJ268" s="120">
        <v>129</v>
      </c>
      <c r="AK268" s="120">
        <v>52.18</v>
      </c>
      <c r="AL268" s="120">
        <v>7.95</v>
      </c>
      <c r="AM268" s="120">
        <v>129</v>
      </c>
      <c r="AN268" s="127">
        <v>54.3</v>
      </c>
      <c r="AO268" s="127">
        <v>8.7899999999999991</v>
      </c>
      <c r="AP268" s="127">
        <v>129</v>
      </c>
      <c r="AQ268" s="127">
        <v>2</v>
      </c>
      <c r="AR268" s="127">
        <v>0.61</v>
      </c>
      <c r="AS268" s="127">
        <v>0.71</v>
      </c>
    </row>
    <row r="269" spans="1:45">
      <c r="A269" s="116"/>
      <c r="B269" s="117"/>
      <c r="C269" s="116"/>
      <c r="F269" s="88"/>
      <c r="H269" s="285" t="s">
        <v>924</v>
      </c>
      <c r="I269" s="285" t="str">
        <f t="shared" si="24"/>
        <v xml:space="preserve">m </v>
      </c>
      <c r="J269" s="127">
        <v>2</v>
      </c>
      <c r="K269" s="60" t="s">
        <v>873</v>
      </c>
      <c r="L269" s="60">
        <v>5</v>
      </c>
      <c r="M269" s="90">
        <v>10.6</v>
      </c>
      <c r="N269" s="90" t="s">
        <v>52</v>
      </c>
      <c r="O269" s="90" t="s">
        <v>52</v>
      </c>
      <c r="P269" s="90" t="s">
        <v>52</v>
      </c>
      <c r="Q269" s="90">
        <v>1.5873015873015872E-2</v>
      </c>
      <c r="R269" s="90">
        <f>71/126</f>
        <v>0.56349206349206349</v>
      </c>
      <c r="S269" s="90" t="s">
        <v>52</v>
      </c>
      <c r="T269" s="60" t="s">
        <v>92</v>
      </c>
      <c r="U269" s="92" t="s">
        <v>874</v>
      </c>
      <c r="V269" s="60" t="s">
        <v>458</v>
      </c>
      <c r="W269" s="60" t="s">
        <v>153</v>
      </c>
      <c r="X269" s="60" t="s">
        <v>459</v>
      </c>
      <c r="Y269" s="60" t="s">
        <v>72</v>
      </c>
      <c r="Z269" s="60">
        <f t="shared" si="28"/>
        <v>630</v>
      </c>
      <c r="AA269" s="60">
        <v>45</v>
      </c>
      <c r="AB269" s="60">
        <v>14</v>
      </c>
      <c r="AC269" s="60" t="s">
        <v>59</v>
      </c>
      <c r="AD269" s="60" t="s">
        <v>869</v>
      </c>
      <c r="AE269" s="60" t="s">
        <v>61</v>
      </c>
      <c r="AF269" s="60" t="s">
        <v>538</v>
      </c>
      <c r="AG269" s="152" t="s">
        <v>870</v>
      </c>
      <c r="AH269" s="120">
        <v>48.57</v>
      </c>
      <c r="AI269" s="120">
        <v>12.32</v>
      </c>
      <c r="AJ269" s="120">
        <v>126</v>
      </c>
      <c r="AK269" s="120">
        <v>52.41</v>
      </c>
      <c r="AL269" s="120">
        <v>9.43</v>
      </c>
      <c r="AM269" s="120">
        <v>126</v>
      </c>
      <c r="AN269" s="127">
        <v>52.56</v>
      </c>
      <c r="AO269" s="127">
        <v>10.25</v>
      </c>
      <c r="AP269" s="127">
        <v>126</v>
      </c>
      <c r="AQ269" s="127">
        <v>2</v>
      </c>
      <c r="AR269" s="127">
        <v>0.61</v>
      </c>
      <c r="AS269" s="127">
        <v>0.71</v>
      </c>
    </row>
    <row r="270" spans="1:45">
      <c r="A270" s="122"/>
      <c r="B270" s="123"/>
      <c r="C270" s="122"/>
      <c r="D270" s="89"/>
      <c r="E270" s="89"/>
      <c r="F270" s="89"/>
      <c r="G270" s="89"/>
      <c r="H270" s="286" t="s">
        <v>934</v>
      </c>
      <c r="I270" s="286" t="str">
        <f t="shared" si="24"/>
        <v xml:space="preserve">m </v>
      </c>
      <c r="J270" s="128">
        <v>3</v>
      </c>
      <c r="K270" s="63" t="s">
        <v>866</v>
      </c>
      <c r="L270" s="63">
        <v>5</v>
      </c>
      <c r="M270" s="93">
        <v>10.55</v>
      </c>
      <c r="N270" s="93" t="s">
        <v>52</v>
      </c>
      <c r="O270" s="93" t="s">
        <v>52</v>
      </c>
      <c r="P270" s="93" t="s">
        <v>52</v>
      </c>
      <c r="Q270" s="93">
        <v>2.7397260273972601E-2</v>
      </c>
      <c r="R270" s="93">
        <f>84/146</f>
        <v>0.57534246575342463</v>
      </c>
      <c r="S270" s="93" t="s">
        <v>52</v>
      </c>
      <c r="T270" s="63" t="s">
        <v>92</v>
      </c>
      <c r="U270" s="95" t="s">
        <v>875</v>
      </c>
      <c r="V270" s="63" t="s">
        <v>458</v>
      </c>
      <c r="W270" s="63" t="s">
        <v>153</v>
      </c>
      <c r="X270" s="63" t="s">
        <v>459</v>
      </c>
      <c r="Y270" s="63" t="s">
        <v>72</v>
      </c>
      <c r="Z270" s="63">
        <f t="shared" si="28"/>
        <v>630</v>
      </c>
      <c r="AA270" s="63">
        <v>45</v>
      </c>
      <c r="AB270" s="63">
        <v>14</v>
      </c>
      <c r="AC270" s="63" t="s">
        <v>59</v>
      </c>
      <c r="AD270" s="63" t="s">
        <v>869</v>
      </c>
      <c r="AE270" s="63" t="s">
        <v>61</v>
      </c>
      <c r="AF270" s="63" t="s">
        <v>538</v>
      </c>
      <c r="AG270" s="153" t="s">
        <v>870</v>
      </c>
      <c r="AH270" s="124">
        <v>48.54</v>
      </c>
      <c r="AI270" s="124">
        <v>8.8699999999999992</v>
      </c>
      <c r="AJ270" s="124">
        <v>146</v>
      </c>
      <c r="AK270" s="124">
        <v>50.65</v>
      </c>
      <c r="AL270" s="124">
        <v>8.4</v>
      </c>
      <c r="AM270" s="124">
        <v>146</v>
      </c>
      <c r="AN270" s="128">
        <v>51.65</v>
      </c>
      <c r="AO270" s="128">
        <v>7.43</v>
      </c>
      <c r="AP270" s="128">
        <v>146</v>
      </c>
      <c r="AQ270" s="128">
        <v>2</v>
      </c>
      <c r="AR270" s="128">
        <v>0.61</v>
      </c>
      <c r="AS270" s="128">
        <v>0.71</v>
      </c>
    </row>
    <row r="271" spans="1:45">
      <c r="A271" s="116" t="s">
        <v>876</v>
      </c>
      <c r="B271" s="117">
        <v>149</v>
      </c>
      <c r="C271" s="116" t="s">
        <v>47</v>
      </c>
      <c r="D271" s="88" t="s">
        <v>454</v>
      </c>
      <c r="E271" s="88" t="s">
        <v>66</v>
      </c>
      <c r="F271" s="88" t="s">
        <v>49</v>
      </c>
      <c r="G271" s="88" t="s">
        <v>754</v>
      </c>
      <c r="H271" s="285" t="s">
        <v>923</v>
      </c>
      <c r="I271" s="285" t="str">
        <f t="shared" si="24"/>
        <v xml:space="preserve">m </v>
      </c>
      <c r="J271" s="127">
        <v>1</v>
      </c>
      <c r="K271" s="60" t="s">
        <v>877</v>
      </c>
      <c r="L271" s="60">
        <v>5</v>
      </c>
      <c r="M271" s="90">
        <f>129.1/12</f>
        <v>10.758333333333333</v>
      </c>
      <c r="N271" s="90">
        <v>1</v>
      </c>
      <c r="O271" s="90">
        <f>3/16</f>
        <v>0.1875</v>
      </c>
      <c r="P271" s="90">
        <f>12/16</f>
        <v>0.75</v>
      </c>
      <c r="Q271" s="90" t="s">
        <v>52</v>
      </c>
      <c r="R271" s="90">
        <f>8/16</f>
        <v>0.5</v>
      </c>
      <c r="S271" s="90">
        <f>1-2/16</f>
        <v>0.875</v>
      </c>
      <c r="T271" s="60" t="s">
        <v>92</v>
      </c>
      <c r="U271" s="92" t="s">
        <v>878</v>
      </c>
      <c r="V271" s="60" t="s">
        <v>458</v>
      </c>
      <c r="W271" s="60" t="s">
        <v>153</v>
      </c>
      <c r="X271" s="60" t="s">
        <v>57</v>
      </c>
      <c r="Y271" s="60" t="s">
        <v>72</v>
      </c>
      <c r="Z271" s="60">
        <f t="shared" si="27"/>
        <v>260</v>
      </c>
      <c r="AA271" s="60">
        <f>AVERAGE(11,15)</f>
        <v>13</v>
      </c>
      <c r="AB271" s="60">
        <v>20</v>
      </c>
      <c r="AC271" s="60" t="s">
        <v>59</v>
      </c>
      <c r="AD271" s="60" t="s">
        <v>879</v>
      </c>
      <c r="AE271" s="60" t="s">
        <v>95</v>
      </c>
      <c r="AF271" s="60" t="s">
        <v>461</v>
      </c>
      <c r="AG271" s="152" t="s">
        <v>52</v>
      </c>
      <c r="AH271" s="79">
        <v>2.5</v>
      </c>
      <c r="AI271" s="79">
        <v>1.83</v>
      </c>
      <c r="AJ271" s="202">
        <v>16</v>
      </c>
      <c r="AK271" s="79">
        <v>4.38</v>
      </c>
      <c r="AL271" s="79">
        <v>1.18</v>
      </c>
      <c r="AM271" s="202">
        <v>16</v>
      </c>
      <c r="AN271" s="203" t="s">
        <v>52</v>
      </c>
      <c r="AO271" s="203" t="s">
        <v>52</v>
      </c>
      <c r="AP271" s="203" t="s">
        <v>52</v>
      </c>
      <c r="AQ271" s="203" t="s">
        <v>52</v>
      </c>
      <c r="AR271" s="203"/>
      <c r="AS271" s="203"/>
    </row>
    <row r="272" spans="1:45">
      <c r="A272" s="116"/>
      <c r="B272" s="117"/>
      <c r="C272" s="116"/>
      <c r="F272" s="88"/>
      <c r="I272" s="285" t="str">
        <f t="shared" si="24"/>
        <v/>
      </c>
      <c r="K272" s="60"/>
      <c r="L272" s="60"/>
      <c r="M272" s="90"/>
      <c r="N272" s="90"/>
      <c r="O272" s="90"/>
      <c r="P272" s="90"/>
      <c r="Q272" s="90"/>
      <c r="R272" s="90"/>
      <c r="S272" s="90"/>
      <c r="T272" s="60"/>
      <c r="U272" s="92"/>
      <c r="V272" s="60"/>
      <c r="W272" s="60"/>
      <c r="X272" s="60"/>
      <c r="Y272" s="60"/>
      <c r="Z272" s="60"/>
      <c r="AA272" s="60"/>
      <c r="AB272" s="60"/>
      <c r="AC272" s="60"/>
      <c r="AD272" s="60" t="s">
        <v>880</v>
      </c>
      <c r="AE272" s="60" t="s">
        <v>95</v>
      </c>
      <c r="AF272" s="60" t="s">
        <v>461</v>
      </c>
      <c r="AG272" s="152" t="s">
        <v>52</v>
      </c>
      <c r="AH272" s="79">
        <v>2.94</v>
      </c>
      <c r="AI272" s="79">
        <v>1.77</v>
      </c>
      <c r="AJ272" s="127">
        <v>16</v>
      </c>
      <c r="AK272" s="79">
        <v>5.0599999999999996</v>
      </c>
      <c r="AL272" s="79">
        <v>1.81</v>
      </c>
      <c r="AM272" s="127">
        <v>16</v>
      </c>
      <c r="AN272" s="203" t="s">
        <v>52</v>
      </c>
      <c r="AO272" s="203" t="s">
        <v>52</v>
      </c>
      <c r="AP272" s="203" t="s">
        <v>52</v>
      </c>
      <c r="AQ272" s="203" t="s">
        <v>52</v>
      </c>
      <c r="AR272" s="203"/>
      <c r="AS272" s="203"/>
    </row>
    <row r="273" spans="1:45">
      <c r="A273" s="116"/>
      <c r="B273" s="117"/>
      <c r="C273" s="116"/>
      <c r="F273" s="88"/>
      <c r="I273" s="285" t="str">
        <f t="shared" si="24"/>
        <v/>
      </c>
      <c r="K273" s="60"/>
      <c r="L273" s="60"/>
      <c r="M273" s="90"/>
      <c r="N273" s="90"/>
      <c r="O273" s="90"/>
      <c r="P273" s="90"/>
      <c r="Q273" s="90"/>
      <c r="R273" s="90"/>
      <c r="S273" s="90"/>
      <c r="T273" s="60"/>
      <c r="U273" s="92"/>
      <c r="V273" s="60"/>
      <c r="W273" s="60"/>
      <c r="X273" s="60"/>
      <c r="Y273" s="60"/>
      <c r="Z273" s="60"/>
      <c r="AA273" s="60"/>
      <c r="AB273" s="60"/>
      <c r="AC273" s="60"/>
      <c r="AD273" s="60" t="s">
        <v>881</v>
      </c>
      <c r="AE273" s="60" t="s">
        <v>95</v>
      </c>
      <c r="AF273" s="60" t="s">
        <v>461</v>
      </c>
      <c r="AG273" s="152" t="s">
        <v>52</v>
      </c>
      <c r="AH273" s="79">
        <v>2.56</v>
      </c>
      <c r="AI273" s="79">
        <v>0.96</v>
      </c>
      <c r="AJ273" s="127">
        <v>16</v>
      </c>
      <c r="AK273" s="79">
        <v>4.0599999999999996</v>
      </c>
      <c r="AL273" s="79">
        <v>0.93</v>
      </c>
      <c r="AM273" s="127">
        <v>16</v>
      </c>
      <c r="AN273" s="203" t="s">
        <v>52</v>
      </c>
      <c r="AO273" s="203" t="s">
        <v>52</v>
      </c>
      <c r="AP273" s="203" t="s">
        <v>52</v>
      </c>
      <c r="AQ273" s="203" t="s">
        <v>52</v>
      </c>
      <c r="AR273" s="203"/>
      <c r="AS273" s="203"/>
    </row>
    <row r="274" spans="1:45">
      <c r="A274" s="116"/>
      <c r="B274" s="117"/>
      <c r="C274" s="116"/>
      <c r="F274" s="88"/>
      <c r="I274" s="285" t="str">
        <f t="shared" si="24"/>
        <v/>
      </c>
      <c r="K274" s="60"/>
      <c r="L274" s="60"/>
      <c r="M274" s="90"/>
      <c r="N274" s="90"/>
      <c r="O274" s="90"/>
      <c r="P274" s="90"/>
      <c r="Q274" s="90"/>
      <c r="R274" s="90"/>
      <c r="S274" s="90"/>
      <c r="T274" s="60"/>
      <c r="U274" s="92"/>
      <c r="V274" s="60"/>
      <c r="W274" s="60"/>
      <c r="X274" s="60"/>
      <c r="Y274" s="60"/>
      <c r="Z274" s="60"/>
      <c r="AA274" s="60"/>
      <c r="AB274" s="60"/>
      <c r="AC274" s="60"/>
      <c r="AD274" s="60" t="s">
        <v>882</v>
      </c>
      <c r="AE274" s="60" t="s">
        <v>95</v>
      </c>
      <c r="AF274" s="60" t="s">
        <v>461</v>
      </c>
      <c r="AG274" s="152" t="s">
        <v>52</v>
      </c>
      <c r="AH274" s="79">
        <v>3.56</v>
      </c>
      <c r="AI274" s="79">
        <v>1.67</v>
      </c>
      <c r="AJ274" s="127">
        <v>16</v>
      </c>
      <c r="AK274" s="79">
        <v>6.63</v>
      </c>
      <c r="AL274" s="79">
        <v>2.96</v>
      </c>
      <c r="AM274" s="127">
        <v>16</v>
      </c>
      <c r="AN274" s="203" t="s">
        <v>52</v>
      </c>
      <c r="AO274" s="203" t="s">
        <v>52</v>
      </c>
      <c r="AP274" s="203" t="s">
        <v>52</v>
      </c>
      <c r="AQ274" s="203" t="s">
        <v>52</v>
      </c>
      <c r="AR274" s="203"/>
      <c r="AS274" s="203"/>
    </row>
    <row r="275" spans="1:45">
      <c r="A275" s="116"/>
      <c r="B275" s="117"/>
      <c r="C275" s="116"/>
      <c r="F275" s="88"/>
      <c r="I275" s="285" t="str">
        <f t="shared" si="24"/>
        <v/>
      </c>
      <c r="K275" s="60"/>
      <c r="L275" s="60"/>
      <c r="M275" s="90"/>
      <c r="N275" s="90"/>
      <c r="O275" s="90"/>
      <c r="P275" s="90"/>
      <c r="Q275" s="90"/>
      <c r="R275" s="90"/>
      <c r="S275" s="90"/>
      <c r="T275" s="60"/>
      <c r="U275" s="92"/>
      <c r="V275" s="60"/>
      <c r="W275" s="60"/>
      <c r="X275" s="60"/>
      <c r="Y275" s="60"/>
      <c r="Z275" s="60"/>
      <c r="AA275" s="60"/>
      <c r="AB275" s="60"/>
      <c r="AC275" s="60"/>
      <c r="AD275" s="60" t="s">
        <v>883</v>
      </c>
      <c r="AE275" s="60" t="s">
        <v>95</v>
      </c>
      <c r="AF275" s="60" t="s">
        <v>461</v>
      </c>
      <c r="AG275" s="152" t="s">
        <v>52</v>
      </c>
      <c r="AH275" s="79">
        <v>2.06</v>
      </c>
      <c r="AI275" s="79">
        <v>1</v>
      </c>
      <c r="AJ275" s="127">
        <v>16</v>
      </c>
      <c r="AK275" s="79">
        <v>3.25</v>
      </c>
      <c r="AL275" s="79">
        <v>0.86</v>
      </c>
      <c r="AM275" s="127">
        <v>16</v>
      </c>
      <c r="AN275" s="203" t="s">
        <v>52</v>
      </c>
      <c r="AO275" s="203" t="s">
        <v>52</v>
      </c>
      <c r="AP275" s="203" t="s">
        <v>52</v>
      </c>
      <c r="AQ275" s="203" t="s">
        <v>52</v>
      </c>
      <c r="AR275" s="203"/>
      <c r="AS275" s="203"/>
    </row>
    <row r="276" spans="1:45">
      <c r="A276" s="116"/>
      <c r="B276" s="117"/>
      <c r="C276" s="116"/>
      <c r="F276" s="88"/>
      <c r="I276" s="285" t="str">
        <f t="shared" si="24"/>
        <v/>
      </c>
      <c r="K276" s="60"/>
      <c r="L276" s="60"/>
      <c r="M276" s="90"/>
      <c r="N276" s="90"/>
      <c r="O276" s="90"/>
      <c r="P276" s="90"/>
      <c r="Q276" s="90"/>
      <c r="R276" s="90"/>
      <c r="S276" s="90"/>
      <c r="T276" s="60"/>
      <c r="U276" s="92"/>
      <c r="V276" s="60"/>
      <c r="W276" s="60"/>
      <c r="X276" s="60"/>
      <c r="Y276" s="60"/>
      <c r="Z276" s="60"/>
      <c r="AA276" s="60"/>
      <c r="AB276" s="60"/>
      <c r="AC276" s="60"/>
      <c r="AD276" s="60" t="s">
        <v>884</v>
      </c>
      <c r="AE276" s="60" t="s">
        <v>95</v>
      </c>
      <c r="AF276" s="60" t="s">
        <v>461</v>
      </c>
      <c r="AG276" s="152" t="s">
        <v>52</v>
      </c>
      <c r="AH276" s="79">
        <v>2.75</v>
      </c>
      <c r="AI276" s="79">
        <v>1</v>
      </c>
      <c r="AJ276" s="127">
        <v>16</v>
      </c>
      <c r="AK276" s="79">
        <v>3</v>
      </c>
      <c r="AL276" s="79">
        <v>0.89</v>
      </c>
      <c r="AM276" s="127">
        <v>16</v>
      </c>
      <c r="AN276" s="203" t="s">
        <v>52</v>
      </c>
      <c r="AO276" s="203" t="s">
        <v>52</v>
      </c>
      <c r="AP276" s="203" t="s">
        <v>52</v>
      </c>
      <c r="AQ276" s="203" t="s">
        <v>52</v>
      </c>
      <c r="AR276" s="203"/>
      <c r="AS276" s="203"/>
    </row>
    <row r="277" spans="1:45">
      <c r="A277" s="116"/>
      <c r="B277" s="117"/>
      <c r="C277" s="116"/>
      <c r="F277" s="88"/>
      <c r="I277" s="285" t="str">
        <f t="shared" si="24"/>
        <v/>
      </c>
      <c r="K277" s="60"/>
      <c r="L277" s="60"/>
      <c r="M277" s="90"/>
      <c r="N277" s="90"/>
      <c r="O277" s="90"/>
      <c r="P277" s="90"/>
      <c r="Q277" s="90"/>
      <c r="R277" s="90"/>
      <c r="S277" s="90"/>
      <c r="T277" s="60"/>
      <c r="U277" s="92"/>
      <c r="V277" s="60"/>
      <c r="W277" s="60"/>
      <c r="X277" s="60"/>
      <c r="Y277" s="60"/>
      <c r="Z277" s="60"/>
      <c r="AA277" s="60"/>
      <c r="AB277" s="60"/>
      <c r="AC277" s="60"/>
      <c r="AD277" s="60" t="s">
        <v>885</v>
      </c>
      <c r="AE277" s="60" t="s">
        <v>95</v>
      </c>
      <c r="AF277" s="60" t="s">
        <v>461</v>
      </c>
      <c r="AG277" s="152" t="s">
        <v>52</v>
      </c>
      <c r="AH277" s="79">
        <v>2.69</v>
      </c>
      <c r="AI277" s="79">
        <v>2.06</v>
      </c>
      <c r="AJ277" s="127">
        <v>16</v>
      </c>
      <c r="AK277" s="79">
        <v>3.63</v>
      </c>
      <c r="AL277" s="79">
        <v>2.06</v>
      </c>
      <c r="AM277" s="127">
        <v>16</v>
      </c>
      <c r="AN277" s="203" t="s">
        <v>52</v>
      </c>
      <c r="AO277" s="203" t="s">
        <v>52</v>
      </c>
      <c r="AP277" s="203" t="s">
        <v>52</v>
      </c>
      <c r="AQ277" s="203" t="s">
        <v>52</v>
      </c>
      <c r="AR277" s="203"/>
      <c r="AS277" s="203"/>
    </row>
    <row r="278" spans="1:45">
      <c r="A278" s="116"/>
      <c r="B278" s="117"/>
      <c r="C278" s="116"/>
      <c r="F278" s="88"/>
      <c r="I278" s="285" t="str">
        <f t="shared" si="24"/>
        <v/>
      </c>
      <c r="K278" s="60"/>
      <c r="L278" s="60"/>
      <c r="M278" s="90"/>
      <c r="N278" s="90"/>
      <c r="O278" s="90"/>
      <c r="P278" s="90"/>
      <c r="Q278" s="90"/>
      <c r="R278" s="90"/>
      <c r="S278" s="90"/>
      <c r="T278" s="60"/>
      <c r="U278" s="92"/>
      <c r="V278" s="60"/>
      <c r="W278" s="60"/>
      <c r="X278" s="60"/>
      <c r="Y278" s="60"/>
      <c r="Z278" s="60"/>
      <c r="AA278" s="60"/>
      <c r="AB278" s="60"/>
      <c r="AC278" s="60"/>
      <c r="AD278" s="63" t="s">
        <v>886</v>
      </c>
      <c r="AE278" s="63" t="s">
        <v>95</v>
      </c>
      <c r="AF278" s="63" t="s">
        <v>461</v>
      </c>
      <c r="AG278" s="153" t="s">
        <v>52</v>
      </c>
      <c r="AH278" s="80">
        <v>1.81</v>
      </c>
      <c r="AI278" s="80">
        <v>1.22</v>
      </c>
      <c r="AJ278" s="128">
        <v>16</v>
      </c>
      <c r="AK278" s="80">
        <v>2.75</v>
      </c>
      <c r="AL278" s="80">
        <v>1.44</v>
      </c>
      <c r="AM278" s="128">
        <v>16</v>
      </c>
      <c r="AN278" s="203" t="s">
        <v>52</v>
      </c>
      <c r="AO278" s="203" t="s">
        <v>52</v>
      </c>
      <c r="AP278" s="203" t="s">
        <v>52</v>
      </c>
      <c r="AQ278" s="203" t="s">
        <v>52</v>
      </c>
      <c r="AR278" s="203"/>
      <c r="AS278" s="203"/>
    </row>
    <row r="279" spans="1:45">
      <c r="A279" s="116"/>
      <c r="B279" s="117"/>
      <c r="C279" s="116"/>
      <c r="F279" s="88"/>
      <c r="I279" s="285" t="str">
        <f t="shared" si="24"/>
        <v/>
      </c>
      <c r="K279" s="60"/>
      <c r="L279" s="60"/>
      <c r="M279" s="90"/>
      <c r="N279" s="90"/>
      <c r="O279" s="90"/>
      <c r="P279" s="90"/>
      <c r="Q279" s="90"/>
      <c r="R279" s="90"/>
      <c r="S279" s="90"/>
      <c r="T279" s="60"/>
      <c r="U279" s="92"/>
      <c r="V279" s="60"/>
      <c r="W279" s="60"/>
      <c r="X279" s="60"/>
      <c r="Y279" s="60"/>
      <c r="Z279" s="60"/>
      <c r="AA279" s="60"/>
      <c r="AB279" s="60"/>
      <c r="AC279" s="60"/>
      <c r="AD279" s="60" t="s">
        <v>887</v>
      </c>
      <c r="AE279" s="60" t="s">
        <v>95</v>
      </c>
      <c r="AF279" s="60" t="s">
        <v>461</v>
      </c>
      <c r="AG279" s="205" t="s">
        <v>52</v>
      </c>
      <c r="AH279" s="79">
        <v>2.5</v>
      </c>
      <c r="AI279" s="79">
        <v>1.83</v>
      </c>
      <c r="AJ279" s="202">
        <v>16</v>
      </c>
      <c r="AK279" s="79">
        <v>4.13</v>
      </c>
      <c r="AL279" s="79">
        <v>1.55</v>
      </c>
      <c r="AM279" s="202">
        <v>16</v>
      </c>
      <c r="AN279" s="203" t="s">
        <v>52</v>
      </c>
      <c r="AO279" s="203" t="s">
        <v>52</v>
      </c>
      <c r="AP279" s="203" t="s">
        <v>52</v>
      </c>
      <c r="AQ279" s="203" t="s">
        <v>52</v>
      </c>
      <c r="AR279" s="203"/>
      <c r="AS279" s="203"/>
    </row>
    <row r="280" spans="1:45">
      <c r="A280" s="116"/>
      <c r="B280" s="117"/>
      <c r="C280" s="116"/>
      <c r="F280" s="88"/>
      <c r="I280" s="285" t="str">
        <f t="shared" si="24"/>
        <v/>
      </c>
      <c r="K280" s="60"/>
      <c r="L280" s="60"/>
      <c r="M280" s="90"/>
      <c r="N280" s="90"/>
      <c r="O280" s="90"/>
      <c r="P280" s="90"/>
      <c r="Q280" s="90"/>
      <c r="R280" s="90"/>
      <c r="S280" s="90"/>
      <c r="T280" s="60"/>
      <c r="U280" s="92"/>
      <c r="V280" s="60"/>
      <c r="W280" s="60"/>
      <c r="X280" s="60"/>
      <c r="Y280" s="60"/>
      <c r="Z280" s="60"/>
      <c r="AA280" s="60"/>
      <c r="AB280" s="60"/>
      <c r="AC280" s="60"/>
      <c r="AD280" s="60" t="s">
        <v>888</v>
      </c>
      <c r="AE280" s="60" t="s">
        <v>95</v>
      </c>
      <c r="AF280" s="60" t="s">
        <v>461</v>
      </c>
      <c r="AG280" s="152" t="s">
        <v>52</v>
      </c>
      <c r="AH280" s="79">
        <v>2.94</v>
      </c>
      <c r="AI280" s="79">
        <v>1.77</v>
      </c>
      <c r="AJ280" s="127">
        <v>16</v>
      </c>
      <c r="AK280" s="79">
        <v>4.67</v>
      </c>
      <c r="AL280" s="79">
        <v>1.59</v>
      </c>
      <c r="AM280" s="127">
        <v>16</v>
      </c>
      <c r="AN280" s="203" t="s">
        <v>52</v>
      </c>
      <c r="AO280" s="203" t="s">
        <v>52</v>
      </c>
      <c r="AP280" s="203" t="s">
        <v>52</v>
      </c>
      <c r="AQ280" s="203" t="s">
        <v>52</v>
      </c>
      <c r="AR280" s="203"/>
      <c r="AS280" s="203"/>
    </row>
    <row r="281" spans="1:45">
      <c r="A281" s="116"/>
      <c r="B281" s="117"/>
      <c r="C281" s="116"/>
      <c r="F281" s="88"/>
      <c r="I281" s="285" t="str">
        <f t="shared" si="24"/>
        <v/>
      </c>
      <c r="K281" s="60"/>
      <c r="L281" s="60"/>
      <c r="M281" s="90"/>
      <c r="N281" s="90"/>
      <c r="O281" s="90"/>
      <c r="P281" s="90"/>
      <c r="Q281" s="90"/>
      <c r="R281" s="90"/>
      <c r="S281" s="90"/>
      <c r="T281" s="60"/>
      <c r="U281" s="92"/>
      <c r="V281" s="60"/>
      <c r="W281" s="60"/>
      <c r="X281" s="60"/>
      <c r="Y281" s="60"/>
      <c r="Z281" s="60"/>
      <c r="AA281" s="60"/>
      <c r="AB281" s="60"/>
      <c r="AC281" s="60"/>
      <c r="AD281" s="60" t="s">
        <v>889</v>
      </c>
      <c r="AE281" s="60" t="s">
        <v>95</v>
      </c>
      <c r="AF281" s="60" t="s">
        <v>461</v>
      </c>
      <c r="AG281" s="152" t="s">
        <v>52</v>
      </c>
      <c r="AH281" s="79">
        <v>2.56</v>
      </c>
      <c r="AI281" s="79">
        <v>0.96</v>
      </c>
      <c r="AJ281" s="127">
        <v>16</v>
      </c>
      <c r="AK281" s="79">
        <v>3.87</v>
      </c>
      <c r="AL281" s="79">
        <v>1.25</v>
      </c>
      <c r="AM281" s="127">
        <v>16</v>
      </c>
      <c r="AN281" s="203" t="s">
        <v>52</v>
      </c>
      <c r="AO281" s="203" t="s">
        <v>52</v>
      </c>
      <c r="AP281" s="203" t="s">
        <v>52</v>
      </c>
      <c r="AQ281" s="203" t="s">
        <v>52</v>
      </c>
      <c r="AR281" s="203"/>
      <c r="AS281" s="203"/>
    </row>
    <row r="282" spans="1:45">
      <c r="A282" s="116"/>
      <c r="B282" s="117"/>
      <c r="C282" s="116"/>
      <c r="F282" s="88"/>
      <c r="I282" s="285" t="str">
        <f t="shared" si="24"/>
        <v/>
      </c>
      <c r="K282" s="60"/>
      <c r="L282" s="60"/>
      <c r="M282" s="90"/>
      <c r="N282" s="90"/>
      <c r="O282" s="90"/>
      <c r="P282" s="90"/>
      <c r="Q282" s="90"/>
      <c r="R282" s="90"/>
      <c r="S282" s="90"/>
      <c r="T282" s="60"/>
      <c r="U282" s="92"/>
      <c r="V282" s="60"/>
      <c r="W282" s="60"/>
      <c r="X282" s="60"/>
      <c r="Y282" s="60"/>
      <c r="Z282" s="60"/>
      <c r="AA282" s="60"/>
      <c r="AB282" s="60"/>
      <c r="AC282" s="60"/>
      <c r="AD282" s="60" t="s">
        <v>890</v>
      </c>
      <c r="AE282" s="60" t="s">
        <v>95</v>
      </c>
      <c r="AF282" s="60" t="s">
        <v>461</v>
      </c>
      <c r="AG282" s="152" t="s">
        <v>52</v>
      </c>
      <c r="AH282" s="79">
        <v>3.56</v>
      </c>
      <c r="AI282" s="79">
        <v>1.67</v>
      </c>
      <c r="AJ282" s="127">
        <v>16</v>
      </c>
      <c r="AK282" s="79">
        <v>4.8</v>
      </c>
      <c r="AL282" s="79">
        <v>1.7</v>
      </c>
      <c r="AM282" s="127">
        <v>16</v>
      </c>
      <c r="AN282" s="203" t="s">
        <v>52</v>
      </c>
      <c r="AO282" s="203" t="s">
        <v>52</v>
      </c>
      <c r="AP282" s="203" t="s">
        <v>52</v>
      </c>
      <c r="AQ282" s="203" t="s">
        <v>52</v>
      </c>
      <c r="AR282" s="203"/>
      <c r="AS282" s="203"/>
    </row>
    <row r="283" spans="1:45">
      <c r="A283" s="116"/>
      <c r="B283" s="117"/>
      <c r="C283" s="116"/>
      <c r="F283" s="88"/>
      <c r="I283" s="285" t="str">
        <f t="shared" si="24"/>
        <v/>
      </c>
      <c r="K283" s="60"/>
      <c r="L283" s="60"/>
      <c r="M283" s="90"/>
      <c r="N283" s="90"/>
      <c r="O283" s="90"/>
      <c r="P283" s="90"/>
      <c r="Q283" s="90"/>
      <c r="R283" s="90"/>
      <c r="S283" s="90"/>
      <c r="T283" s="60"/>
      <c r="U283" s="92"/>
      <c r="V283" s="60"/>
      <c r="W283" s="60"/>
      <c r="X283" s="60"/>
      <c r="Y283" s="60"/>
      <c r="Z283" s="60"/>
      <c r="AA283" s="60"/>
      <c r="AB283" s="60"/>
      <c r="AC283" s="60"/>
      <c r="AD283" s="60" t="s">
        <v>891</v>
      </c>
      <c r="AE283" s="60" t="s">
        <v>95</v>
      </c>
      <c r="AF283" s="60" t="s">
        <v>461</v>
      </c>
      <c r="AG283" s="152" t="s">
        <v>52</v>
      </c>
      <c r="AH283" s="79">
        <v>2.06</v>
      </c>
      <c r="AI283" s="79">
        <v>1</v>
      </c>
      <c r="AJ283" s="127">
        <v>16</v>
      </c>
      <c r="AK283" s="79">
        <v>2.27</v>
      </c>
      <c r="AL283" s="79">
        <v>1.1000000000000001</v>
      </c>
      <c r="AM283" s="127">
        <v>16</v>
      </c>
      <c r="AN283" s="203" t="s">
        <v>52</v>
      </c>
      <c r="AO283" s="203" t="s">
        <v>52</v>
      </c>
      <c r="AP283" s="203" t="s">
        <v>52</v>
      </c>
      <c r="AQ283" s="203" t="s">
        <v>52</v>
      </c>
      <c r="AR283" s="203"/>
      <c r="AS283" s="203"/>
    </row>
    <row r="284" spans="1:45">
      <c r="A284" s="116"/>
      <c r="B284" s="117"/>
      <c r="C284" s="116"/>
      <c r="F284" s="88"/>
      <c r="I284" s="285" t="str">
        <f t="shared" si="24"/>
        <v/>
      </c>
      <c r="K284" s="60"/>
      <c r="L284" s="60"/>
      <c r="M284" s="90"/>
      <c r="N284" s="90"/>
      <c r="O284" s="90"/>
      <c r="P284" s="90"/>
      <c r="Q284" s="90"/>
      <c r="R284" s="90"/>
      <c r="S284" s="90"/>
      <c r="T284" s="60"/>
      <c r="U284" s="92"/>
      <c r="V284" s="60"/>
      <c r="W284" s="60"/>
      <c r="X284" s="60"/>
      <c r="Y284" s="60"/>
      <c r="Z284" s="60"/>
      <c r="AA284" s="60"/>
      <c r="AB284" s="60"/>
      <c r="AC284" s="60"/>
      <c r="AD284" s="60" t="s">
        <v>892</v>
      </c>
      <c r="AE284" s="60" t="s">
        <v>95</v>
      </c>
      <c r="AF284" s="60" t="s">
        <v>461</v>
      </c>
      <c r="AG284" s="152" t="s">
        <v>52</v>
      </c>
      <c r="AH284" s="79">
        <v>2.75</v>
      </c>
      <c r="AI284" s="79">
        <v>1</v>
      </c>
      <c r="AJ284" s="127">
        <v>16</v>
      </c>
      <c r="AK284" s="79">
        <v>3.87</v>
      </c>
      <c r="AL284" s="79">
        <v>1.07</v>
      </c>
      <c r="AM284" s="127">
        <v>16</v>
      </c>
      <c r="AN284" s="203" t="s">
        <v>52</v>
      </c>
      <c r="AO284" s="203" t="s">
        <v>52</v>
      </c>
      <c r="AP284" s="203" t="s">
        <v>52</v>
      </c>
      <c r="AQ284" s="203" t="s">
        <v>52</v>
      </c>
      <c r="AR284" s="203"/>
      <c r="AS284" s="203"/>
    </row>
    <row r="285" spans="1:45">
      <c r="A285" s="116"/>
      <c r="B285" s="117"/>
      <c r="C285" s="116"/>
      <c r="F285" s="88"/>
      <c r="I285" s="285" t="str">
        <f t="shared" si="24"/>
        <v/>
      </c>
      <c r="K285" s="60"/>
      <c r="L285" s="60"/>
      <c r="M285" s="90"/>
      <c r="N285" s="90"/>
      <c r="O285" s="90"/>
      <c r="P285" s="90"/>
      <c r="Q285" s="90"/>
      <c r="R285" s="90"/>
      <c r="S285" s="90"/>
      <c r="T285" s="60"/>
      <c r="U285" s="92"/>
      <c r="V285" s="60"/>
      <c r="W285" s="60"/>
      <c r="X285" s="60"/>
      <c r="Y285" s="60"/>
      <c r="Z285" s="60"/>
      <c r="AA285" s="60"/>
      <c r="AB285" s="60"/>
      <c r="AC285" s="60"/>
      <c r="AD285" s="60" t="s">
        <v>893</v>
      </c>
      <c r="AE285" s="60" t="s">
        <v>95</v>
      </c>
      <c r="AF285" s="60" t="s">
        <v>461</v>
      </c>
      <c r="AG285" s="152" t="s">
        <v>52</v>
      </c>
      <c r="AH285" s="79">
        <v>2.69</v>
      </c>
      <c r="AI285" s="79">
        <v>2.06</v>
      </c>
      <c r="AJ285" s="127">
        <v>16</v>
      </c>
      <c r="AK285" s="79">
        <v>3.96</v>
      </c>
      <c r="AL285" s="79">
        <v>1.7</v>
      </c>
      <c r="AM285" s="127">
        <v>16</v>
      </c>
      <c r="AN285" s="203" t="s">
        <v>52</v>
      </c>
      <c r="AO285" s="203" t="s">
        <v>52</v>
      </c>
      <c r="AP285" s="203" t="s">
        <v>52</v>
      </c>
      <c r="AQ285" s="203" t="s">
        <v>52</v>
      </c>
      <c r="AR285" s="203"/>
      <c r="AS285" s="203"/>
    </row>
    <row r="286" spans="1:45">
      <c r="A286" s="116"/>
      <c r="B286" s="117"/>
      <c r="C286" s="116"/>
      <c r="F286" s="88"/>
      <c r="I286" s="285" t="str">
        <f t="shared" si="24"/>
        <v/>
      </c>
      <c r="K286" s="60"/>
      <c r="L286" s="60"/>
      <c r="M286" s="90"/>
      <c r="N286" s="90"/>
      <c r="O286" s="90"/>
      <c r="P286" s="90"/>
      <c r="Q286" s="90"/>
      <c r="R286" s="90"/>
      <c r="S286" s="90"/>
      <c r="T286" s="60"/>
      <c r="U286" s="92"/>
      <c r="V286" s="60"/>
      <c r="W286" s="60"/>
      <c r="X286" s="60"/>
      <c r="Y286" s="60"/>
      <c r="Z286" s="60"/>
      <c r="AA286" s="60"/>
      <c r="AB286" s="60"/>
      <c r="AC286" s="60"/>
      <c r="AD286" s="63" t="s">
        <v>894</v>
      </c>
      <c r="AE286" s="63" t="s">
        <v>95</v>
      </c>
      <c r="AF286" s="63" t="s">
        <v>461</v>
      </c>
      <c r="AG286" s="153" t="s">
        <v>52</v>
      </c>
      <c r="AH286" s="80">
        <v>1.81</v>
      </c>
      <c r="AI286" s="80">
        <v>1.22</v>
      </c>
      <c r="AJ286" s="128">
        <v>16</v>
      </c>
      <c r="AK286" s="80">
        <v>2.78</v>
      </c>
      <c r="AL286" s="80">
        <v>1.4</v>
      </c>
      <c r="AM286" s="128">
        <v>16</v>
      </c>
      <c r="AN286" s="203" t="s">
        <v>52</v>
      </c>
      <c r="AO286" s="203" t="s">
        <v>52</v>
      </c>
      <c r="AP286" s="203" t="s">
        <v>52</v>
      </c>
      <c r="AQ286" s="203" t="s">
        <v>52</v>
      </c>
      <c r="AR286" s="203"/>
      <c r="AS286" s="203"/>
    </row>
    <row r="287" spans="1:45">
      <c r="A287" s="116"/>
      <c r="B287" s="117"/>
      <c r="C287" s="116"/>
      <c r="F287" s="88"/>
      <c r="H287" s="285" t="s">
        <v>922</v>
      </c>
      <c r="I287" s="285" t="str">
        <f t="shared" si="24"/>
        <v xml:space="preserve">m </v>
      </c>
      <c r="J287" s="127">
        <v>0</v>
      </c>
      <c r="K287" s="60" t="s">
        <v>895</v>
      </c>
      <c r="L287" s="60">
        <v>5</v>
      </c>
      <c r="M287" s="90">
        <f>125.82/12</f>
        <v>10.484999999999999</v>
      </c>
      <c r="N287" s="90">
        <v>1</v>
      </c>
      <c r="O287" s="90">
        <f>2/16</f>
        <v>0.125</v>
      </c>
      <c r="P287" s="90">
        <f>12/16</f>
        <v>0.75</v>
      </c>
      <c r="Q287" s="90" t="s">
        <v>52</v>
      </c>
      <c r="R287" s="90">
        <f>7/16</f>
        <v>0.4375</v>
      </c>
      <c r="S287" s="90">
        <f>1-1/16</f>
        <v>0.9375</v>
      </c>
      <c r="T287" s="60" t="s">
        <v>92</v>
      </c>
      <c r="U287" s="92" t="s">
        <v>896</v>
      </c>
      <c r="V287" s="60" t="s">
        <v>458</v>
      </c>
      <c r="W287" s="60" t="s">
        <v>153</v>
      </c>
      <c r="X287" s="60" t="s">
        <v>57</v>
      </c>
      <c r="Y287" s="60" t="s">
        <v>72</v>
      </c>
      <c r="Z287" s="60">
        <f t="shared" ref="Z287" si="29">AA287*AB287</f>
        <v>260</v>
      </c>
      <c r="AA287" s="60">
        <f>AVERAGE(11,15)</f>
        <v>13</v>
      </c>
      <c r="AB287" s="60">
        <v>20</v>
      </c>
      <c r="AC287" s="60" t="s">
        <v>59</v>
      </c>
      <c r="AD287" s="60" t="s">
        <v>879</v>
      </c>
      <c r="AE287" s="60" t="s">
        <v>95</v>
      </c>
      <c r="AF287" s="60" t="s">
        <v>461</v>
      </c>
      <c r="AG287" s="205" t="s">
        <v>52</v>
      </c>
      <c r="AH287" s="79">
        <v>2.19</v>
      </c>
      <c r="AI287" s="79">
        <v>1.52</v>
      </c>
      <c r="AJ287" s="127">
        <v>16</v>
      </c>
      <c r="AK287" s="79">
        <v>1.88</v>
      </c>
      <c r="AL287" s="79">
        <v>1.2</v>
      </c>
      <c r="AM287" s="127">
        <v>16</v>
      </c>
      <c r="AN287" s="203" t="s">
        <v>52</v>
      </c>
      <c r="AO287" s="203" t="s">
        <v>52</v>
      </c>
      <c r="AP287" s="203" t="s">
        <v>52</v>
      </c>
      <c r="AQ287" s="203" t="s">
        <v>52</v>
      </c>
    </row>
    <row r="288" spans="1:45">
      <c r="A288" s="116"/>
      <c r="B288" s="117"/>
      <c r="C288" s="116"/>
      <c r="F288" s="88"/>
      <c r="I288" s="285" t="str">
        <f t="shared" si="24"/>
        <v/>
      </c>
      <c r="K288" s="60"/>
      <c r="L288" s="60"/>
      <c r="M288" s="90"/>
      <c r="N288" s="90"/>
      <c r="O288" s="90"/>
      <c r="P288" s="90"/>
      <c r="Q288" s="90"/>
      <c r="R288" s="90"/>
      <c r="S288" s="90"/>
      <c r="T288" s="60"/>
      <c r="U288" s="92"/>
      <c r="V288" s="60"/>
      <c r="W288" s="60"/>
      <c r="X288" s="60"/>
      <c r="Y288" s="60"/>
      <c r="Z288" s="60"/>
      <c r="AA288" s="60"/>
      <c r="AB288" s="60"/>
      <c r="AC288" s="60"/>
      <c r="AD288" s="60" t="s">
        <v>880</v>
      </c>
      <c r="AE288" s="60" t="s">
        <v>95</v>
      </c>
      <c r="AF288" s="60" t="s">
        <v>461</v>
      </c>
      <c r="AG288" s="152" t="s">
        <v>52</v>
      </c>
      <c r="AH288" s="79">
        <v>3.88</v>
      </c>
      <c r="AI288" s="79">
        <v>1.93</v>
      </c>
      <c r="AJ288" s="127">
        <v>16</v>
      </c>
      <c r="AK288" s="79">
        <v>4.1900000000000004</v>
      </c>
      <c r="AL288" s="79">
        <v>1.68</v>
      </c>
      <c r="AM288" s="127">
        <v>16</v>
      </c>
      <c r="AN288" s="203" t="s">
        <v>52</v>
      </c>
      <c r="AO288" s="203" t="s">
        <v>52</v>
      </c>
      <c r="AP288" s="203" t="s">
        <v>52</v>
      </c>
      <c r="AQ288" s="203" t="s">
        <v>52</v>
      </c>
    </row>
    <row r="289" spans="1:43">
      <c r="A289" s="116"/>
      <c r="B289" s="117"/>
      <c r="C289" s="116"/>
      <c r="F289" s="88"/>
      <c r="I289" s="285" t="str">
        <f t="shared" si="24"/>
        <v/>
      </c>
      <c r="K289" s="60"/>
      <c r="L289" s="60"/>
      <c r="M289" s="90"/>
      <c r="N289" s="90"/>
      <c r="O289" s="90"/>
      <c r="P289" s="90"/>
      <c r="Q289" s="90"/>
      <c r="R289" s="90"/>
      <c r="S289" s="90"/>
      <c r="T289" s="60"/>
      <c r="U289" s="92"/>
      <c r="V289" s="60"/>
      <c r="W289" s="60"/>
      <c r="X289" s="60"/>
      <c r="Y289" s="60"/>
      <c r="Z289" s="60"/>
      <c r="AA289" s="60"/>
      <c r="AB289" s="60"/>
      <c r="AC289" s="60"/>
      <c r="AD289" s="60" t="s">
        <v>881</v>
      </c>
      <c r="AE289" s="60" t="s">
        <v>95</v>
      </c>
      <c r="AF289" s="60" t="s">
        <v>461</v>
      </c>
      <c r="AG289" s="152" t="s">
        <v>52</v>
      </c>
      <c r="AH289" s="79">
        <v>3.06</v>
      </c>
      <c r="AI289" s="79">
        <v>1.24</v>
      </c>
      <c r="AJ289" s="127">
        <v>16</v>
      </c>
      <c r="AK289" s="79">
        <v>3</v>
      </c>
      <c r="AL289" s="79">
        <v>0.89</v>
      </c>
      <c r="AM289" s="127">
        <v>16</v>
      </c>
      <c r="AN289" s="203" t="s">
        <v>52</v>
      </c>
      <c r="AO289" s="203" t="s">
        <v>52</v>
      </c>
      <c r="AP289" s="203" t="s">
        <v>52</v>
      </c>
      <c r="AQ289" s="203" t="s">
        <v>52</v>
      </c>
    </row>
    <row r="290" spans="1:43">
      <c r="A290" s="116"/>
      <c r="B290" s="117"/>
      <c r="C290" s="116"/>
      <c r="F290" s="88"/>
      <c r="I290" s="285" t="str">
        <f t="shared" si="24"/>
        <v/>
      </c>
      <c r="K290" s="60"/>
      <c r="L290" s="60"/>
      <c r="M290" s="90"/>
      <c r="N290" s="90"/>
      <c r="O290" s="90"/>
      <c r="P290" s="90"/>
      <c r="Q290" s="90"/>
      <c r="R290" s="90"/>
      <c r="S290" s="90"/>
      <c r="T290" s="60"/>
      <c r="U290" s="92"/>
      <c r="V290" s="60"/>
      <c r="W290" s="60"/>
      <c r="X290" s="60"/>
      <c r="Y290" s="60"/>
      <c r="Z290" s="60"/>
      <c r="AA290" s="60"/>
      <c r="AB290" s="60"/>
      <c r="AC290" s="60"/>
      <c r="AD290" s="60" t="s">
        <v>882</v>
      </c>
      <c r="AE290" s="60" t="s">
        <v>95</v>
      </c>
      <c r="AF290" s="60" t="s">
        <v>461</v>
      </c>
      <c r="AG290" s="152" t="s">
        <v>52</v>
      </c>
      <c r="AH290" s="79">
        <v>4</v>
      </c>
      <c r="AI290" s="79">
        <v>2</v>
      </c>
      <c r="AJ290" s="127">
        <v>16</v>
      </c>
      <c r="AK290" s="79">
        <v>4.5</v>
      </c>
      <c r="AL290" s="79">
        <v>2.0699999999999998</v>
      </c>
      <c r="AM290" s="127">
        <v>16</v>
      </c>
      <c r="AN290" s="203" t="s">
        <v>52</v>
      </c>
      <c r="AO290" s="203" t="s">
        <v>52</v>
      </c>
      <c r="AP290" s="203" t="s">
        <v>52</v>
      </c>
      <c r="AQ290" s="203" t="s">
        <v>52</v>
      </c>
    </row>
    <row r="291" spans="1:43">
      <c r="A291" s="116"/>
      <c r="B291" s="117"/>
      <c r="C291" s="116"/>
      <c r="F291" s="88"/>
      <c r="I291" s="285" t="str">
        <f t="shared" si="24"/>
        <v/>
      </c>
      <c r="K291" s="60"/>
      <c r="L291" s="60"/>
      <c r="M291" s="90"/>
      <c r="N291" s="90"/>
      <c r="O291" s="90"/>
      <c r="P291" s="90"/>
      <c r="Q291" s="90"/>
      <c r="R291" s="90"/>
      <c r="S291" s="90"/>
      <c r="T291" s="60"/>
      <c r="U291" s="92"/>
      <c r="V291" s="60"/>
      <c r="W291" s="60"/>
      <c r="X291" s="60"/>
      <c r="Y291" s="60"/>
      <c r="Z291" s="60"/>
      <c r="AA291" s="60"/>
      <c r="AB291" s="60"/>
      <c r="AC291" s="60"/>
      <c r="AD291" s="60" t="s">
        <v>883</v>
      </c>
      <c r="AE291" s="60" t="s">
        <v>95</v>
      </c>
      <c r="AF291" s="60" t="s">
        <v>461</v>
      </c>
      <c r="AG291" s="152" t="s">
        <v>52</v>
      </c>
      <c r="AH291" s="79">
        <v>2.44</v>
      </c>
      <c r="AI291" s="79">
        <v>0.96</v>
      </c>
      <c r="AJ291" s="127">
        <v>16</v>
      </c>
      <c r="AK291" s="79">
        <v>2.56</v>
      </c>
      <c r="AL291" s="79">
        <v>0.96</v>
      </c>
      <c r="AM291" s="127">
        <v>16</v>
      </c>
      <c r="AN291" s="203" t="s">
        <v>52</v>
      </c>
      <c r="AO291" s="203" t="s">
        <v>52</v>
      </c>
      <c r="AP291" s="203" t="s">
        <v>52</v>
      </c>
      <c r="AQ291" s="203" t="s">
        <v>52</v>
      </c>
    </row>
    <row r="292" spans="1:43">
      <c r="A292" s="116"/>
      <c r="B292" s="117"/>
      <c r="C292" s="116"/>
      <c r="F292" s="88"/>
      <c r="I292" s="285" t="str">
        <f t="shared" ref="I292:I313" si="30">IF(T292="BAU",".",LEFT(T292,2))</f>
        <v/>
      </c>
      <c r="K292" s="60"/>
      <c r="L292" s="60"/>
      <c r="M292" s="90"/>
      <c r="N292" s="90"/>
      <c r="O292" s="90"/>
      <c r="P292" s="90"/>
      <c r="Q292" s="90"/>
      <c r="R292" s="90"/>
      <c r="S292" s="90"/>
      <c r="T292" s="60"/>
      <c r="U292" s="92"/>
      <c r="V292" s="60"/>
      <c r="W292" s="60"/>
      <c r="X292" s="60"/>
      <c r="Y292" s="60"/>
      <c r="Z292" s="60"/>
      <c r="AA292" s="60"/>
      <c r="AB292" s="60"/>
      <c r="AC292" s="60"/>
      <c r="AD292" s="60" t="s">
        <v>884</v>
      </c>
      <c r="AE292" s="60" t="s">
        <v>95</v>
      </c>
      <c r="AF292" s="60" t="s">
        <v>461</v>
      </c>
      <c r="AG292" s="152" t="s">
        <v>52</v>
      </c>
      <c r="AH292" s="79">
        <v>3</v>
      </c>
      <c r="AI292" s="79">
        <v>1.03</v>
      </c>
      <c r="AJ292" s="127">
        <v>16</v>
      </c>
      <c r="AK292" s="79">
        <v>3.19</v>
      </c>
      <c r="AL292" s="79">
        <v>1.28</v>
      </c>
      <c r="AM292" s="127">
        <v>16</v>
      </c>
      <c r="AN292" s="203" t="s">
        <v>52</v>
      </c>
      <c r="AO292" s="203" t="s">
        <v>52</v>
      </c>
      <c r="AP292" s="203" t="s">
        <v>52</v>
      </c>
      <c r="AQ292" s="203" t="s">
        <v>52</v>
      </c>
    </row>
    <row r="293" spans="1:43">
      <c r="A293" s="116"/>
      <c r="B293" s="117"/>
      <c r="C293" s="116"/>
      <c r="F293" s="88"/>
      <c r="I293" s="285" t="str">
        <f t="shared" si="30"/>
        <v/>
      </c>
      <c r="K293" s="60"/>
      <c r="L293" s="60"/>
      <c r="M293" s="90"/>
      <c r="N293" s="90"/>
      <c r="O293" s="90"/>
      <c r="P293" s="90"/>
      <c r="Q293" s="90"/>
      <c r="R293" s="90"/>
      <c r="S293" s="90"/>
      <c r="T293" s="60"/>
      <c r="U293" s="92"/>
      <c r="V293" s="60"/>
      <c r="W293" s="60"/>
      <c r="X293" s="60"/>
      <c r="Y293" s="60"/>
      <c r="Z293" s="60"/>
      <c r="AA293" s="60"/>
      <c r="AB293" s="60"/>
      <c r="AC293" s="60"/>
      <c r="AD293" s="60" t="s">
        <v>885</v>
      </c>
      <c r="AE293" s="60" t="s">
        <v>95</v>
      </c>
      <c r="AF293" s="60" t="s">
        <v>461</v>
      </c>
      <c r="AG293" s="152" t="s">
        <v>52</v>
      </c>
      <c r="AH293" s="79">
        <v>4.0599999999999996</v>
      </c>
      <c r="AI293" s="79">
        <v>2.08</v>
      </c>
      <c r="AJ293" s="127">
        <v>16</v>
      </c>
      <c r="AK293" s="79">
        <v>3.69</v>
      </c>
      <c r="AL293" s="79">
        <v>2.5</v>
      </c>
      <c r="AM293" s="127">
        <v>16</v>
      </c>
      <c r="AN293" s="203" t="s">
        <v>52</v>
      </c>
      <c r="AO293" s="203" t="s">
        <v>52</v>
      </c>
      <c r="AP293" s="203" t="s">
        <v>52</v>
      </c>
      <c r="AQ293" s="203" t="s">
        <v>52</v>
      </c>
    </row>
    <row r="294" spans="1:43">
      <c r="A294" s="116"/>
      <c r="B294" s="117"/>
      <c r="C294" s="116"/>
      <c r="F294" s="88"/>
      <c r="I294" s="285" t="str">
        <f t="shared" si="30"/>
        <v/>
      </c>
      <c r="K294" s="60"/>
      <c r="L294" s="60"/>
      <c r="M294" s="90"/>
      <c r="N294" s="90"/>
      <c r="O294" s="90"/>
      <c r="P294" s="90"/>
      <c r="Q294" s="90"/>
      <c r="R294" s="90"/>
      <c r="S294" s="90"/>
      <c r="T294" s="60"/>
      <c r="U294" s="92"/>
      <c r="V294" s="60"/>
      <c r="W294" s="60"/>
      <c r="X294" s="60"/>
      <c r="Y294" s="60"/>
      <c r="Z294" s="60"/>
      <c r="AA294" s="60"/>
      <c r="AB294" s="60"/>
      <c r="AC294" s="60"/>
      <c r="AD294" s="63" t="s">
        <v>886</v>
      </c>
      <c r="AE294" s="63" t="s">
        <v>95</v>
      </c>
      <c r="AF294" s="63" t="s">
        <v>461</v>
      </c>
      <c r="AG294" s="153" t="s">
        <v>52</v>
      </c>
      <c r="AH294" s="80">
        <v>2.0699999999999998</v>
      </c>
      <c r="AI294" s="80">
        <v>1.1200000000000001</v>
      </c>
      <c r="AJ294" s="128">
        <v>16</v>
      </c>
      <c r="AK294" s="80">
        <v>2.63</v>
      </c>
      <c r="AL294" s="80">
        <v>1.26</v>
      </c>
      <c r="AM294" s="128">
        <v>16</v>
      </c>
      <c r="AN294" s="203" t="s">
        <v>52</v>
      </c>
      <c r="AO294" s="203" t="s">
        <v>52</v>
      </c>
      <c r="AP294" s="203" t="s">
        <v>52</v>
      </c>
      <c r="AQ294" s="203" t="s">
        <v>52</v>
      </c>
    </row>
    <row r="295" spans="1:43">
      <c r="A295" s="116"/>
      <c r="B295" s="117"/>
      <c r="C295" s="116"/>
      <c r="F295" s="88"/>
      <c r="I295" s="285" t="str">
        <f t="shared" si="30"/>
        <v/>
      </c>
      <c r="K295" s="60"/>
      <c r="L295" s="60"/>
      <c r="M295" s="90"/>
      <c r="N295" s="90"/>
      <c r="O295" s="90"/>
      <c r="P295" s="90"/>
      <c r="Q295" s="90"/>
      <c r="R295" s="90"/>
      <c r="S295" s="90"/>
      <c r="T295" s="60"/>
      <c r="U295" s="92"/>
      <c r="V295" s="60"/>
      <c r="W295" s="60"/>
      <c r="X295" s="60"/>
      <c r="Y295" s="60"/>
      <c r="Z295" s="60"/>
      <c r="AA295" s="60"/>
      <c r="AB295" s="60"/>
      <c r="AC295" s="60"/>
      <c r="AD295" s="60" t="s">
        <v>887</v>
      </c>
      <c r="AE295" s="60" t="s">
        <v>95</v>
      </c>
      <c r="AF295" s="60" t="s">
        <v>461</v>
      </c>
      <c r="AG295" s="205" t="s">
        <v>52</v>
      </c>
      <c r="AH295" s="79">
        <v>2.19</v>
      </c>
      <c r="AI295" s="79">
        <v>1.52</v>
      </c>
      <c r="AJ295" s="202">
        <v>16</v>
      </c>
      <c r="AK295" s="79">
        <v>2.4</v>
      </c>
      <c r="AL295" s="79">
        <v>1.35</v>
      </c>
      <c r="AM295" s="202">
        <v>16</v>
      </c>
      <c r="AN295" s="203" t="s">
        <v>52</v>
      </c>
      <c r="AO295" s="203" t="s">
        <v>52</v>
      </c>
      <c r="AP295" s="203" t="s">
        <v>52</v>
      </c>
      <c r="AQ295" s="203" t="s">
        <v>52</v>
      </c>
    </row>
    <row r="296" spans="1:43">
      <c r="A296" s="116"/>
      <c r="B296" s="117"/>
      <c r="C296" s="116"/>
      <c r="F296" s="88"/>
      <c r="I296" s="285" t="str">
        <f t="shared" si="30"/>
        <v/>
      </c>
      <c r="K296" s="60"/>
      <c r="L296" s="60"/>
      <c r="M296" s="90"/>
      <c r="N296" s="90"/>
      <c r="O296" s="90"/>
      <c r="P296" s="90"/>
      <c r="Q296" s="90"/>
      <c r="R296" s="90"/>
      <c r="S296" s="90"/>
      <c r="T296" s="60"/>
      <c r="U296" s="92"/>
      <c r="V296" s="60"/>
      <c r="W296" s="60"/>
      <c r="X296" s="60"/>
      <c r="Y296" s="60"/>
      <c r="Z296" s="60"/>
      <c r="AA296" s="60"/>
      <c r="AB296" s="60"/>
      <c r="AC296" s="60"/>
      <c r="AD296" s="60" t="s">
        <v>888</v>
      </c>
      <c r="AE296" s="60" t="s">
        <v>95</v>
      </c>
      <c r="AF296" s="60" t="s">
        <v>461</v>
      </c>
      <c r="AG296" s="152" t="s">
        <v>52</v>
      </c>
      <c r="AH296" s="79">
        <v>3.88</v>
      </c>
      <c r="AI296" s="79">
        <v>1.93</v>
      </c>
      <c r="AJ296" s="127">
        <v>16</v>
      </c>
      <c r="AK296" s="79">
        <v>3.93</v>
      </c>
      <c r="AL296" s="79">
        <v>1.62</v>
      </c>
      <c r="AM296" s="127">
        <v>16</v>
      </c>
      <c r="AN296" s="203" t="s">
        <v>52</v>
      </c>
      <c r="AO296" s="203" t="s">
        <v>52</v>
      </c>
      <c r="AP296" s="203" t="s">
        <v>52</v>
      </c>
      <c r="AQ296" s="203" t="s">
        <v>52</v>
      </c>
    </row>
    <row r="297" spans="1:43">
      <c r="A297" s="116"/>
      <c r="B297" s="117"/>
      <c r="C297" s="116"/>
      <c r="F297" s="88"/>
      <c r="I297" s="285" t="str">
        <f t="shared" si="30"/>
        <v/>
      </c>
      <c r="K297" s="60"/>
      <c r="L297" s="60"/>
      <c r="M297" s="90"/>
      <c r="N297" s="90"/>
      <c r="O297" s="90"/>
      <c r="P297" s="90"/>
      <c r="Q297" s="90"/>
      <c r="R297" s="90"/>
      <c r="S297" s="90"/>
      <c r="T297" s="60"/>
      <c r="U297" s="92"/>
      <c r="V297" s="60"/>
      <c r="W297" s="60"/>
      <c r="X297" s="60"/>
      <c r="Y297" s="60"/>
      <c r="Z297" s="60"/>
      <c r="AA297" s="60"/>
      <c r="AB297" s="60"/>
      <c r="AC297" s="60"/>
      <c r="AD297" s="60" t="s">
        <v>889</v>
      </c>
      <c r="AE297" s="60" t="s">
        <v>95</v>
      </c>
      <c r="AF297" s="60" t="s">
        <v>461</v>
      </c>
      <c r="AG297" s="152" t="s">
        <v>52</v>
      </c>
      <c r="AH297" s="79">
        <v>3.06</v>
      </c>
      <c r="AI297" s="79">
        <v>1.24</v>
      </c>
      <c r="AJ297" s="127">
        <v>16</v>
      </c>
      <c r="AK297" s="79">
        <v>3.33</v>
      </c>
      <c r="AL297" s="79">
        <v>1.29</v>
      </c>
      <c r="AM297" s="127">
        <v>16</v>
      </c>
      <c r="AN297" s="203" t="s">
        <v>52</v>
      </c>
      <c r="AO297" s="203" t="s">
        <v>52</v>
      </c>
      <c r="AP297" s="203" t="s">
        <v>52</v>
      </c>
      <c r="AQ297" s="203" t="s">
        <v>52</v>
      </c>
    </row>
    <row r="298" spans="1:43">
      <c r="A298" s="116"/>
      <c r="B298" s="117"/>
      <c r="C298" s="116"/>
      <c r="F298" s="88"/>
      <c r="I298" s="285" t="str">
        <f t="shared" si="30"/>
        <v/>
      </c>
      <c r="K298" s="60"/>
      <c r="L298" s="60"/>
      <c r="M298" s="90"/>
      <c r="N298" s="90"/>
      <c r="O298" s="90"/>
      <c r="P298" s="90"/>
      <c r="Q298" s="90"/>
      <c r="R298" s="90"/>
      <c r="S298" s="90"/>
      <c r="T298" s="60"/>
      <c r="U298" s="92"/>
      <c r="V298" s="60"/>
      <c r="W298" s="60"/>
      <c r="X298" s="60"/>
      <c r="Y298" s="60"/>
      <c r="Z298" s="60"/>
      <c r="AA298" s="60"/>
      <c r="AB298" s="60"/>
      <c r="AC298" s="60"/>
      <c r="AD298" s="60" t="s">
        <v>890</v>
      </c>
      <c r="AE298" s="60" t="s">
        <v>95</v>
      </c>
      <c r="AF298" s="60" t="s">
        <v>461</v>
      </c>
      <c r="AG298" s="152" t="s">
        <v>52</v>
      </c>
      <c r="AH298" s="79">
        <v>4</v>
      </c>
      <c r="AI298" s="79">
        <v>2</v>
      </c>
      <c r="AJ298" s="127">
        <v>16</v>
      </c>
      <c r="AK298" s="79">
        <v>3.6</v>
      </c>
      <c r="AL298" s="79">
        <v>2.41</v>
      </c>
      <c r="AM298" s="127">
        <v>16</v>
      </c>
      <c r="AN298" s="203" t="s">
        <v>52</v>
      </c>
      <c r="AO298" s="203" t="s">
        <v>52</v>
      </c>
      <c r="AP298" s="203" t="s">
        <v>52</v>
      </c>
      <c r="AQ298" s="203" t="s">
        <v>52</v>
      </c>
    </row>
    <row r="299" spans="1:43">
      <c r="A299" s="116"/>
      <c r="B299" s="117"/>
      <c r="C299" s="116"/>
      <c r="F299" s="88"/>
      <c r="I299" s="285" t="str">
        <f t="shared" si="30"/>
        <v/>
      </c>
      <c r="K299" s="60"/>
      <c r="L299" s="60"/>
      <c r="M299" s="90"/>
      <c r="N299" s="90"/>
      <c r="O299" s="90"/>
      <c r="P299" s="90"/>
      <c r="Q299" s="90"/>
      <c r="R299" s="90"/>
      <c r="S299" s="90"/>
      <c r="T299" s="60"/>
      <c r="U299" s="92"/>
      <c r="V299" s="60"/>
      <c r="W299" s="60"/>
      <c r="X299" s="60"/>
      <c r="Y299" s="60"/>
      <c r="Z299" s="60"/>
      <c r="AA299" s="60"/>
      <c r="AB299" s="60"/>
      <c r="AC299" s="60"/>
      <c r="AD299" s="60" t="s">
        <v>891</v>
      </c>
      <c r="AE299" s="60" t="s">
        <v>95</v>
      </c>
      <c r="AF299" s="60" t="s">
        <v>461</v>
      </c>
      <c r="AG299" s="152" t="s">
        <v>52</v>
      </c>
      <c r="AH299" s="79">
        <v>2.44</v>
      </c>
      <c r="AI299" s="79">
        <v>0.96</v>
      </c>
      <c r="AJ299" s="127">
        <v>16</v>
      </c>
      <c r="AK299" s="79">
        <v>1.53</v>
      </c>
      <c r="AL299" s="79">
        <v>1.36</v>
      </c>
      <c r="AM299" s="127">
        <v>16</v>
      </c>
      <c r="AN299" s="203" t="s">
        <v>52</v>
      </c>
      <c r="AO299" s="203" t="s">
        <v>52</v>
      </c>
      <c r="AP299" s="203" t="s">
        <v>52</v>
      </c>
      <c r="AQ299" s="203" t="s">
        <v>52</v>
      </c>
    </row>
    <row r="300" spans="1:43">
      <c r="A300" s="116"/>
      <c r="B300" s="117"/>
      <c r="C300" s="116"/>
      <c r="F300" s="88"/>
      <c r="I300" s="285" t="str">
        <f t="shared" si="30"/>
        <v/>
      </c>
      <c r="K300" s="60"/>
      <c r="L300" s="60"/>
      <c r="M300" s="90"/>
      <c r="N300" s="90"/>
      <c r="O300" s="90"/>
      <c r="P300" s="90"/>
      <c r="Q300" s="90"/>
      <c r="R300" s="90"/>
      <c r="S300" s="90"/>
      <c r="T300" s="60"/>
      <c r="U300" s="92"/>
      <c r="V300" s="60"/>
      <c r="W300" s="60"/>
      <c r="X300" s="60"/>
      <c r="Y300" s="60"/>
      <c r="Z300" s="60"/>
      <c r="AA300" s="60"/>
      <c r="AB300" s="60"/>
      <c r="AC300" s="60"/>
      <c r="AD300" s="60" t="s">
        <v>892</v>
      </c>
      <c r="AE300" s="60" t="s">
        <v>95</v>
      </c>
      <c r="AF300" s="60" t="s">
        <v>461</v>
      </c>
      <c r="AG300" s="152" t="s">
        <v>52</v>
      </c>
      <c r="AH300" s="79">
        <v>3</v>
      </c>
      <c r="AI300" s="79">
        <v>1.03</v>
      </c>
      <c r="AJ300" s="127">
        <v>16</v>
      </c>
      <c r="AK300" s="79">
        <v>3.35</v>
      </c>
      <c r="AL300" s="79">
        <v>1.35</v>
      </c>
      <c r="AM300" s="127">
        <v>16</v>
      </c>
      <c r="AN300" s="203" t="s">
        <v>52</v>
      </c>
      <c r="AO300" s="203" t="s">
        <v>52</v>
      </c>
      <c r="AP300" s="203" t="s">
        <v>52</v>
      </c>
      <c r="AQ300" s="203" t="s">
        <v>52</v>
      </c>
    </row>
    <row r="301" spans="1:43">
      <c r="A301" s="116"/>
      <c r="B301" s="117"/>
      <c r="C301" s="116"/>
      <c r="F301" s="88"/>
      <c r="I301" s="285" t="str">
        <f t="shared" si="30"/>
        <v/>
      </c>
      <c r="K301" s="60"/>
      <c r="L301" s="60"/>
      <c r="M301" s="90"/>
      <c r="N301" s="90"/>
      <c r="O301" s="90"/>
      <c r="P301" s="90"/>
      <c r="Q301" s="90"/>
      <c r="R301" s="90"/>
      <c r="S301" s="90"/>
      <c r="T301" s="60"/>
      <c r="U301" s="92"/>
      <c r="V301" s="60"/>
      <c r="W301" s="60"/>
      <c r="X301" s="60"/>
      <c r="Y301" s="60"/>
      <c r="Z301" s="60"/>
      <c r="AA301" s="60"/>
      <c r="AB301" s="60"/>
      <c r="AC301" s="60"/>
      <c r="AD301" s="60" t="s">
        <v>893</v>
      </c>
      <c r="AE301" s="60" t="s">
        <v>95</v>
      </c>
      <c r="AF301" s="60" t="s">
        <v>461</v>
      </c>
      <c r="AG301" s="152" t="s">
        <v>52</v>
      </c>
      <c r="AH301" s="79">
        <v>4.0599999999999996</v>
      </c>
      <c r="AI301" s="79">
        <v>2.08</v>
      </c>
      <c r="AJ301" s="127">
        <v>16</v>
      </c>
      <c r="AK301" s="79">
        <v>3.35</v>
      </c>
      <c r="AL301" s="79">
        <v>1.61</v>
      </c>
      <c r="AM301" s="127">
        <v>16</v>
      </c>
      <c r="AN301" s="203" t="s">
        <v>52</v>
      </c>
      <c r="AO301" s="203" t="s">
        <v>52</v>
      </c>
      <c r="AP301" s="203" t="s">
        <v>52</v>
      </c>
      <c r="AQ301" s="203" t="s">
        <v>52</v>
      </c>
    </row>
    <row r="302" spans="1:43">
      <c r="A302" s="122"/>
      <c r="B302" s="123"/>
      <c r="C302" s="122"/>
      <c r="D302" s="89"/>
      <c r="E302" s="89"/>
      <c r="F302" s="89"/>
      <c r="G302" s="89"/>
      <c r="H302" s="286"/>
      <c r="I302" s="286" t="str">
        <f t="shared" si="30"/>
        <v/>
      </c>
      <c r="J302" s="128"/>
      <c r="K302" s="63"/>
      <c r="L302" s="63"/>
      <c r="M302" s="93"/>
      <c r="N302" s="93"/>
      <c r="O302" s="93"/>
      <c r="P302" s="93"/>
      <c r="Q302" s="93"/>
      <c r="R302" s="93"/>
      <c r="S302" s="93"/>
      <c r="T302" s="63"/>
      <c r="U302" s="95"/>
      <c r="V302" s="63"/>
      <c r="W302" s="63"/>
      <c r="X302" s="63"/>
      <c r="Y302" s="63"/>
      <c r="Z302" s="63"/>
      <c r="AA302" s="63"/>
      <c r="AB302" s="63"/>
      <c r="AC302" s="63"/>
      <c r="AD302" s="63" t="s">
        <v>894</v>
      </c>
      <c r="AE302" s="63" t="s">
        <v>95</v>
      </c>
      <c r="AF302" s="63" t="s">
        <v>461</v>
      </c>
      <c r="AG302" s="153" t="s">
        <v>52</v>
      </c>
      <c r="AH302" s="80">
        <v>2.0699999999999998</v>
      </c>
      <c r="AI302" s="80">
        <v>1.1200000000000001</v>
      </c>
      <c r="AJ302" s="128">
        <v>16</v>
      </c>
      <c r="AK302" s="80">
        <v>2.59</v>
      </c>
      <c r="AL302" s="80">
        <v>1.36</v>
      </c>
      <c r="AM302" s="128">
        <v>16</v>
      </c>
      <c r="AN302" s="204" t="s">
        <v>52</v>
      </c>
      <c r="AO302" s="204" t="s">
        <v>52</v>
      </c>
      <c r="AP302" s="204" t="s">
        <v>52</v>
      </c>
      <c r="AQ302" s="204" t="s">
        <v>52</v>
      </c>
    </row>
    <row r="303" spans="1:43">
      <c r="A303" s="116" t="s">
        <v>897</v>
      </c>
      <c r="B303" s="117">
        <v>150</v>
      </c>
      <c r="C303" s="116" t="s">
        <v>47</v>
      </c>
      <c r="D303" s="88" t="s">
        <v>454</v>
      </c>
      <c r="E303" s="88" t="s">
        <v>66</v>
      </c>
      <c r="F303" s="88" t="s">
        <v>49</v>
      </c>
      <c r="G303" s="88" t="s">
        <v>754</v>
      </c>
      <c r="H303" s="285" t="s">
        <v>919</v>
      </c>
      <c r="I303" s="285" t="str">
        <f t="shared" si="30"/>
        <v>.</v>
      </c>
      <c r="J303" s="127">
        <v>0</v>
      </c>
      <c r="K303" s="60" t="s">
        <v>758</v>
      </c>
      <c r="L303" s="60">
        <v>4</v>
      </c>
      <c r="M303" s="60">
        <v>10.02</v>
      </c>
      <c r="N303" s="90">
        <v>1</v>
      </c>
      <c r="O303" s="90" t="s">
        <v>52</v>
      </c>
      <c r="P303" s="90" t="s">
        <v>52</v>
      </c>
      <c r="Q303" s="90">
        <v>0</v>
      </c>
      <c r="R303" s="90">
        <f>1-0.5185</f>
        <v>0.48150000000000004</v>
      </c>
      <c r="S303" s="90">
        <f>1-0.0741</f>
        <v>0.92589999999999995</v>
      </c>
      <c r="T303" s="60" t="s">
        <v>78</v>
      </c>
      <c r="U303" s="92" t="s">
        <v>52</v>
      </c>
      <c r="V303" s="60" t="s">
        <v>236</v>
      </c>
      <c r="W303" s="60" t="s">
        <v>78</v>
      </c>
      <c r="X303" s="60" t="s">
        <v>78</v>
      </c>
      <c r="Y303" s="60" t="s">
        <v>78</v>
      </c>
      <c r="Z303" s="60" t="s">
        <v>78</v>
      </c>
      <c r="AA303" s="60" t="s">
        <v>78</v>
      </c>
      <c r="AB303" s="60" t="s">
        <v>78</v>
      </c>
      <c r="AC303" s="60" t="s">
        <v>78</v>
      </c>
      <c r="AD303" s="60" t="s">
        <v>898</v>
      </c>
      <c r="AE303" s="60" t="s">
        <v>95</v>
      </c>
      <c r="AF303" s="60" t="s">
        <v>461</v>
      </c>
      <c r="AG303" s="152" t="s">
        <v>52</v>
      </c>
      <c r="AH303" s="206" t="s">
        <v>52</v>
      </c>
      <c r="AI303" s="206" t="s">
        <v>52</v>
      </c>
      <c r="AJ303" s="206" t="s">
        <v>52</v>
      </c>
      <c r="AK303" s="120">
        <v>0.49</v>
      </c>
      <c r="AL303" s="120">
        <v>0.23</v>
      </c>
      <c r="AM303" s="120">
        <v>27</v>
      </c>
      <c r="AN303" s="203" t="s">
        <v>52</v>
      </c>
      <c r="AO303" s="203" t="s">
        <v>52</v>
      </c>
      <c r="AP303" s="203" t="s">
        <v>52</v>
      </c>
      <c r="AQ303" s="203" t="s">
        <v>52</v>
      </c>
    </row>
    <row r="304" spans="1:43">
      <c r="A304" s="116"/>
      <c r="B304" s="117"/>
      <c r="C304" s="116"/>
      <c r="F304" s="88"/>
      <c r="H304" s="288" t="s">
        <v>919</v>
      </c>
      <c r="I304" s="285" t="str">
        <f t="shared" si="30"/>
        <v>cm</v>
      </c>
      <c r="J304" s="127">
        <v>1</v>
      </c>
      <c r="K304" s="60" t="s">
        <v>899</v>
      </c>
      <c r="L304" s="60">
        <v>4</v>
      </c>
      <c r="M304" s="60">
        <v>10.220000000000001</v>
      </c>
      <c r="N304" s="90">
        <v>1</v>
      </c>
      <c r="O304" s="90" t="s">
        <v>52</v>
      </c>
      <c r="P304" s="90" t="s">
        <v>52</v>
      </c>
      <c r="Q304" s="90">
        <v>0</v>
      </c>
      <c r="R304" s="90">
        <f>1-0.375</f>
        <v>0.625</v>
      </c>
      <c r="S304" s="90">
        <v>1</v>
      </c>
      <c r="T304" s="60" t="s">
        <v>53</v>
      </c>
      <c r="U304" s="92" t="s">
        <v>900</v>
      </c>
      <c r="V304" s="60" t="s">
        <v>458</v>
      </c>
      <c r="W304" s="60" t="s">
        <v>153</v>
      </c>
      <c r="X304" s="60" t="s">
        <v>57</v>
      </c>
      <c r="Y304" s="60" t="s">
        <v>72</v>
      </c>
      <c r="Z304" s="60">
        <v>533.96</v>
      </c>
      <c r="AA304" s="60">
        <v>15</v>
      </c>
      <c r="AB304" s="60">
        <f>Z304/AA304</f>
        <v>35.597333333333339</v>
      </c>
      <c r="AC304" s="60" t="s">
        <v>59</v>
      </c>
      <c r="AD304" s="60" t="s">
        <v>898</v>
      </c>
      <c r="AE304" s="60" t="s">
        <v>95</v>
      </c>
      <c r="AF304" s="60" t="s">
        <v>461</v>
      </c>
      <c r="AG304" s="152" t="s">
        <v>52</v>
      </c>
      <c r="AH304" s="206" t="s">
        <v>52</v>
      </c>
      <c r="AI304" s="206" t="s">
        <v>52</v>
      </c>
      <c r="AJ304" s="206" t="s">
        <v>52</v>
      </c>
      <c r="AK304" s="120">
        <v>0.47</v>
      </c>
      <c r="AL304" s="120">
        <v>0.23</v>
      </c>
      <c r="AM304" s="120">
        <v>24</v>
      </c>
      <c r="AN304" s="203" t="s">
        <v>52</v>
      </c>
      <c r="AO304" s="203" t="s">
        <v>52</v>
      </c>
      <c r="AP304" s="203" t="s">
        <v>52</v>
      </c>
      <c r="AQ304" s="203" t="s">
        <v>52</v>
      </c>
    </row>
    <row r="305" spans="1:49">
      <c r="A305" s="122"/>
      <c r="B305" s="123"/>
      <c r="C305" s="122"/>
      <c r="D305" s="89"/>
      <c r="E305" s="89"/>
      <c r="F305" s="89"/>
      <c r="G305" s="89"/>
      <c r="H305" s="316" t="s">
        <v>928</v>
      </c>
      <c r="I305" s="286" t="str">
        <f t="shared" si="30"/>
        <v>cm</v>
      </c>
      <c r="J305" s="128">
        <v>2</v>
      </c>
      <c r="K305" s="63" t="s">
        <v>901</v>
      </c>
      <c r="L305" s="63">
        <v>4</v>
      </c>
      <c r="M305" s="63">
        <v>10.32</v>
      </c>
      <c r="N305" s="93">
        <v>1</v>
      </c>
      <c r="O305" s="93" t="s">
        <v>52</v>
      </c>
      <c r="P305" s="93" t="s">
        <v>52</v>
      </c>
      <c r="Q305" s="93">
        <v>0</v>
      </c>
      <c r="R305" s="93">
        <f>1-0.2083</f>
        <v>0.79169999999999996</v>
      </c>
      <c r="S305" s="93">
        <f>1-0.0833</f>
        <v>0.91669999999999996</v>
      </c>
      <c r="T305" s="63" t="s">
        <v>53</v>
      </c>
      <c r="U305" s="95" t="s">
        <v>900</v>
      </c>
      <c r="V305" s="63" t="s">
        <v>458</v>
      </c>
      <c r="W305" s="63" t="s">
        <v>153</v>
      </c>
      <c r="X305" s="63" t="s">
        <v>57</v>
      </c>
      <c r="Y305" s="63" t="s">
        <v>72</v>
      </c>
      <c r="Z305" s="63">
        <v>550.13</v>
      </c>
      <c r="AA305" s="63">
        <v>14.73</v>
      </c>
      <c r="AB305" s="63">
        <f>Z305/AA305</f>
        <v>37.347589952477932</v>
      </c>
      <c r="AC305" s="63" t="s">
        <v>59</v>
      </c>
      <c r="AD305" s="63" t="s">
        <v>898</v>
      </c>
      <c r="AE305" s="63" t="s">
        <v>95</v>
      </c>
      <c r="AF305" s="63" t="s">
        <v>461</v>
      </c>
      <c r="AG305" s="153" t="s">
        <v>52</v>
      </c>
      <c r="AH305" s="207" t="s">
        <v>52</v>
      </c>
      <c r="AI305" s="207" t="s">
        <v>52</v>
      </c>
      <c r="AJ305" s="207" t="s">
        <v>52</v>
      </c>
      <c r="AK305" s="124">
        <v>0.5</v>
      </c>
      <c r="AL305" s="124">
        <v>0.27</v>
      </c>
      <c r="AM305" s="124">
        <v>24</v>
      </c>
      <c r="AN305" s="204" t="s">
        <v>52</v>
      </c>
      <c r="AO305" s="204" t="s">
        <v>52</v>
      </c>
      <c r="AP305" s="204" t="s">
        <v>52</v>
      </c>
      <c r="AQ305" s="204" t="s">
        <v>52</v>
      </c>
      <c r="AR305" s="128"/>
      <c r="AS305" s="128"/>
    </row>
    <row r="306" spans="1:49" s="202" customFormat="1">
      <c r="A306" s="143" t="s">
        <v>904</v>
      </c>
      <c r="B306" s="338">
        <v>151</v>
      </c>
      <c r="C306" s="343" t="s">
        <v>47</v>
      </c>
      <c r="D306" s="144" t="s">
        <v>454</v>
      </c>
      <c r="E306" s="144" t="s">
        <v>66</v>
      </c>
      <c r="F306" s="88" t="s">
        <v>229</v>
      </c>
      <c r="G306" s="144" t="s">
        <v>754</v>
      </c>
      <c r="H306" s="344" t="s">
        <v>918</v>
      </c>
      <c r="I306" s="344" t="str">
        <f t="shared" si="30"/>
        <v xml:space="preserve">m </v>
      </c>
      <c r="J306" s="202">
        <v>1</v>
      </c>
      <c r="K306" s="202" t="s">
        <v>905</v>
      </c>
      <c r="L306" s="202" t="s">
        <v>906</v>
      </c>
      <c r="M306" s="252">
        <v>11.5</v>
      </c>
      <c r="N306" s="252">
        <v>1</v>
      </c>
      <c r="O306" s="252">
        <v>0.05</v>
      </c>
      <c r="P306" s="252" t="s">
        <v>52</v>
      </c>
      <c r="Q306" s="252">
        <v>0</v>
      </c>
      <c r="R306" s="252">
        <v>0.75</v>
      </c>
      <c r="S306" s="252" t="s">
        <v>52</v>
      </c>
      <c r="T306" s="202" t="s">
        <v>92</v>
      </c>
      <c r="U306" s="345" t="s">
        <v>907</v>
      </c>
      <c r="V306" s="202" t="s">
        <v>458</v>
      </c>
      <c r="W306" s="202" t="s">
        <v>153</v>
      </c>
      <c r="X306" s="202" t="s">
        <v>57</v>
      </c>
      <c r="Y306" s="202" t="s">
        <v>72</v>
      </c>
      <c r="Z306" s="202">
        <v>1200</v>
      </c>
      <c r="AA306" s="202">
        <v>20</v>
      </c>
      <c r="AB306" s="202">
        <v>60</v>
      </c>
      <c r="AC306" s="202" t="s">
        <v>59</v>
      </c>
      <c r="AD306" s="202" t="s">
        <v>908</v>
      </c>
      <c r="AE306" s="202" t="s">
        <v>95</v>
      </c>
      <c r="AF306" s="126" t="s">
        <v>461</v>
      </c>
      <c r="AG306" s="205" t="s">
        <v>909</v>
      </c>
      <c r="AH306" s="202">
        <v>1.5</v>
      </c>
      <c r="AI306" s="202">
        <v>1.1000000000000001</v>
      </c>
      <c r="AJ306" s="202">
        <v>9</v>
      </c>
      <c r="AK306" s="202">
        <v>2.9</v>
      </c>
      <c r="AL306" s="202">
        <v>1.4</v>
      </c>
      <c r="AM306" s="202">
        <v>9</v>
      </c>
      <c r="AN306" s="202" t="s">
        <v>52</v>
      </c>
      <c r="AO306" s="202" t="s">
        <v>52</v>
      </c>
      <c r="AP306" s="202" t="s">
        <v>52</v>
      </c>
      <c r="AQ306" s="202" t="s">
        <v>52</v>
      </c>
      <c r="AV306" s="126"/>
      <c r="AW306" s="126"/>
    </row>
    <row r="307" spans="1:49">
      <c r="A307" s="116"/>
      <c r="B307" s="117"/>
      <c r="G307" s="130"/>
      <c r="I307" s="285" t="str">
        <f t="shared" si="30"/>
        <v/>
      </c>
      <c r="AD307" s="127" t="s">
        <v>910</v>
      </c>
      <c r="AE307" s="127" t="s">
        <v>95</v>
      </c>
      <c r="AF307" s="60" t="s">
        <v>461</v>
      </c>
      <c r="AG307" s="152" t="s">
        <v>911</v>
      </c>
      <c r="AH307" s="127">
        <v>0.5</v>
      </c>
      <c r="AI307" s="127">
        <v>0.4</v>
      </c>
      <c r="AJ307" s="127">
        <v>9</v>
      </c>
      <c r="AK307" s="127">
        <v>0.9</v>
      </c>
      <c r="AL307" s="127">
        <v>0.5</v>
      </c>
      <c r="AM307" s="127">
        <v>9</v>
      </c>
      <c r="AN307" s="127" t="s">
        <v>52</v>
      </c>
      <c r="AO307" s="127" t="s">
        <v>52</v>
      </c>
      <c r="AP307" s="127" t="s">
        <v>52</v>
      </c>
      <c r="AQ307" s="127" t="s">
        <v>52</v>
      </c>
    </row>
    <row r="308" spans="1:49">
      <c r="A308" s="116"/>
      <c r="B308" s="117"/>
      <c r="G308" s="130"/>
      <c r="I308" s="285" t="str">
        <f t="shared" si="30"/>
        <v/>
      </c>
      <c r="AD308" s="127" t="s">
        <v>912</v>
      </c>
      <c r="AE308" s="127" t="s">
        <v>95</v>
      </c>
      <c r="AF308" s="60" t="s">
        <v>461</v>
      </c>
      <c r="AG308" s="152" t="s">
        <v>52</v>
      </c>
      <c r="AH308" s="127">
        <v>5.2</v>
      </c>
      <c r="AI308" s="127">
        <v>1.8</v>
      </c>
      <c r="AJ308" s="127">
        <v>9</v>
      </c>
      <c r="AK308" s="127">
        <v>6.2</v>
      </c>
      <c r="AL308" s="127">
        <v>2.2000000000000002</v>
      </c>
      <c r="AM308" s="127">
        <v>9</v>
      </c>
      <c r="AN308" s="127" t="s">
        <v>52</v>
      </c>
      <c r="AO308" s="127" t="s">
        <v>52</v>
      </c>
      <c r="AP308" s="127" t="s">
        <v>52</v>
      </c>
      <c r="AQ308" s="127" t="s">
        <v>52</v>
      </c>
    </row>
    <row r="309" spans="1:49">
      <c r="A309" s="116"/>
      <c r="B309" s="117"/>
      <c r="G309" s="130"/>
      <c r="I309" s="285" t="str">
        <f t="shared" si="30"/>
        <v/>
      </c>
      <c r="AD309" s="127" t="s">
        <v>913</v>
      </c>
      <c r="AE309" s="127" t="s">
        <v>61</v>
      </c>
      <c r="AF309" s="60" t="s">
        <v>538</v>
      </c>
      <c r="AG309" s="152" t="s">
        <v>52</v>
      </c>
      <c r="AH309" s="127">
        <v>79.2</v>
      </c>
      <c r="AI309" s="127">
        <v>7.5</v>
      </c>
      <c r="AJ309" s="127">
        <v>9</v>
      </c>
      <c r="AK309" s="127">
        <v>78.7</v>
      </c>
      <c r="AL309" s="127">
        <v>8.6999999999999993</v>
      </c>
      <c r="AM309" s="127">
        <v>9</v>
      </c>
      <c r="AN309" s="127" t="s">
        <v>52</v>
      </c>
      <c r="AO309" s="127" t="s">
        <v>52</v>
      </c>
      <c r="AP309" s="127" t="s">
        <v>52</v>
      </c>
      <c r="AQ309" s="127" t="s">
        <v>52</v>
      </c>
    </row>
    <row r="310" spans="1:49">
      <c r="A310" s="116"/>
      <c r="B310" s="117"/>
      <c r="H310" s="285" t="s">
        <v>919</v>
      </c>
      <c r="I310" s="285" t="str">
        <f t="shared" si="30"/>
        <v xml:space="preserve">m </v>
      </c>
      <c r="J310" s="127">
        <v>0</v>
      </c>
      <c r="K310" s="127" t="s">
        <v>914</v>
      </c>
      <c r="L310" s="127" t="s">
        <v>906</v>
      </c>
      <c r="M310" s="247">
        <v>11.75</v>
      </c>
      <c r="N310" s="247">
        <v>1</v>
      </c>
      <c r="O310" s="247">
        <v>0.05</v>
      </c>
      <c r="P310" s="247" t="s">
        <v>52</v>
      </c>
      <c r="Q310" s="247">
        <v>0</v>
      </c>
      <c r="R310" s="247">
        <v>0.75</v>
      </c>
      <c r="S310" s="247" t="s">
        <v>52</v>
      </c>
      <c r="T310" s="127" t="s">
        <v>92</v>
      </c>
      <c r="U310" s="248" t="s">
        <v>915</v>
      </c>
      <c r="V310" s="127" t="s">
        <v>458</v>
      </c>
      <c r="W310" s="127" t="s">
        <v>153</v>
      </c>
      <c r="X310" s="127" t="s">
        <v>57</v>
      </c>
      <c r="Y310" s="127" t="s">
        <v>72</v>
      </c>
      <c r="Z310" s="127">
        <v>1200</v>
      </c>
      <c r="AA310" s="127">
        <v>20</v>
      </c>
      <c r="AB310" s="127">
        <v>60</v>
      </c>
      <c r="AC310" s="127" t="s">
        <v>59</v>
      </c>
      <c r="AD310" s="127" t="s">
        <v>908</v>
      </c>
      <c r="AE310" s="127" t="s">
        <v>95</v>
      </c>
      <c r="AF310" s="60" t="s">
        <v>461</v>
      </c>
      <c r="AG310" s="152" t="s">
        <v>909</v>
      </c>
      <c r="AH310" s="127">
        <v>1.6</v>
      </c>
      <c r="AI310" s="127">
        <v>1.2</v>
      </c>
      <c r="AJ310" s="127">
        <v>9</v>
      </c>
      <c r="AK310" s="127">
        <v>4.2</v>
      </c>
      <c r="AL310" s="127">
        <v>1.3</v>
      </c>
      <c r="AM310" s="127">
        <v>9</v>
      </c>
      <c r="AN310" s="127" t="s">
        <v>52</v>
      </c>
      <c r="AO310" s="127" t="s">
        <v>52</v>
      </c>
      <c r="AP310" s="127" t="s">
        <v>52</v>
      </c>
      <c r="AQ310" s="127" t="s">
        <v>52</v>
      </c>
    </row>
    <row r="311" spans="1:49">
      <c r="A311" s="116"/>
      <c r="B311" s="117"/>
      <c r="G311" s="130"/>
      <c r="I311" s="285" t="str">
        <f t="shared" si="30"/>
        <v/>
      </c>
      <c r="AD311" s="127" t="s">
        <v>910</v>
      </c>
      <c r="AE311" s="127" t="s">
        <v>95</v>
      </c>
      <c r="AF311" s="60" t="s">
        <v>461</v>
      </c>
      <c r="AG311" s="152" t="s">
        <v>911</v>
      </c>
      <c r="AH311" s="127">
        <v>0.6</v>
      </c>
      <c r="AI311" s="127">
        <v>0.6</v>
      </c>
      <c r="AJ311" s="127">
        <v>9</v>
      </c>
      <c r="AK311" s="127">
        <v>1.4</v>
      </c>
      <c r="AL311" s="127">
        <v>0.4</v>
      </c>
      <c r="AM311" s="127">
        <v>9</v>
      </c>
      <c r="AN311" s="127" t="s">
        <v>52</v>
      </c>
      <c r="AO311" s="127" t="s">
        <v>52</v>
      </c>
      <c r="AP311" s="127" t="s">
        <v>52</v>
      </c>
      <c r="AQ311" s="127" t="s">
        <v>52</v>
      </c>
    </row>
    <row r="312" spans="1:49">
      <c r="A312" s="116"/>
      <c r="B312" s="117"/>
      <c r="G312" s="130"/>
      <c r="I312" s="285" t="str">
        <f t="shared" si="30"/>
        <v/>
      </c>
      <c r="AD312" s="127" t="s">
        <v>912</v>
      </c>
      <c r="AE312" s="127" t="s">
        <v>95</v>
      </c>
      <c r="AF312" s="60" t="s">
        <v>461</v>
      </c>
      <c r="AG312" s="152" t="s">
        <v>52</v>
      </c>
      <c r="AH312" s="127">
        <v>5.8</v>
      </c>
      <c r="AI312" s="127">
        <v>1.9</v>
      </c>
      <c r="AJ312" s="127">
        <v>9</v>
      </c>
      <c r="AK312" s="127">
        <v>7.4</v>
      </c>
      <c r="AL312" s="127">
        <v>2.7</v>
      </c>
      <c r="AM312" s="127">
        <v>9</v>
      </c>
      <c r="AN312" s="127" t="s">
        <v>52</v>
      </c>
      <c r="AO312" s="127" t="s">
        <v>52</v>
      </c>
      <c r="AP312" s="127" t="s">
        <v>52</v>
      </c>
      <c r="AQ312" s="127" t="s">
        <v>52</v>
      </c>
    </row>
    <row r="313" spans="1:49" s="128" customFormat="1">
      <c r="A313" s="122"/>
      <c r="B313" s="123"/>
      <c r="C313" s="132"/>
      <c r="D313" s="89"/>
      <c r="E313" s="89"/>
      <c r="F313" s="132"/>
      <c r="G313" s="132"/>
      <c r="H313" s="286"/>
      <c r="I313" s="286" t="str">
        <f t="shared" si="30"/>
        <v/>
      </c>
      <c r="M313" s="249"/>
      <c r="N313" s="249"/>
      <c r="O313" s="249"/>
      <c r="P313" s="249"/>
      <c r="Q313" s="249"/>
      <c r="R313" s="249"/>
      <c r="S313" s="249"/>
      <c r="U313" s="250"/>
      <c r="AD313" s="128" t="s">
        <v>913</v>
      </c>
      <c r="AE313" s="128" t="s">
        <v>61</v>
      </c>
      <c r="AF313" s="63" t="s">
        <v>538</v>
      </c>
      <c r="AG313" s="153" t="s">
        <v>52</v>
      </c>
      <c r="AH313" s="128">
        <v>70.3</v>
      </c>
      <c r="AI313" s="128">
        <v>17.399999999999999</v>
      </c>
      <c r="AJ313" s="128">
        <v>9</v>
      </c>
      <c r="AK313" s="128">
        <v>75.599999999999994</v>
      </c>
      <c r="AL313" s="128">
        <v>14.5</v>
      </c>
      <c r="AM313" s="128">
        <v>9</v>
      </c>
      <c r="AN313" s="128" t="s">
        <v>52</v>
      </c>
      <c r="AO313" s="128" t="s">
        <v>52</v>
      </c>
      <c r="AP313" s="128" t="s">
        <v>52</v>
      </c>
      <c r="AQ313" s="128" t="s">
        <v>52</v>
      </c>
      <c r="AV313" s="63"/>
      <c r="AW313" s="63"/>
    </row>
    <row r="314" spans="1:49">
      <c r="A314" s="88" t="s">
        <v>939</v>
      </c>
      <c r="B314" s="130">
        <v>152</v>
      </c>
      <c r="C314" s="130" t="s">
        <v>47</v>
      </c>
      <c r="D314" s="88" t="s">
        <v>454</v>
      </c>
      <c r="E314" s="144" t="s">
        <v>66</v>
      </c>
      <c r="F314" s="88" t="s">
        <v>49</v>
      </c>
      <c r="G314" s="144" t="s">
        <v>844</v>
      </c>
      <c r="J314" s="127">
        <v>1</v>
      </c>
      <c r="K314" s="127" t="s">
        <v>941</v>
      </c>
      <c r="L314" s="127">
        <v>2</v>
      </c>
      <c r="M314" s="247">
        <v>7.5</v>
      </c>
      <c r="N314" s="247">
        <v>0.4</v>
      </c>
      <c r="O314" s="247">
        <v>0.05</v>
      </c>
      <c r="P314" s="247" t="s">
        <v>52</v>
      </c>
      <c r="Q314" s="247">
        <v>0.21</v>
      </c>
      <c r="R314" s="247">
        <v>0.47</v>
      </c>
      <c r="S314" s="247" t="s">
        <v>52</v>
      </c>
      <c r="T314" s="127" t="s">
        <v>92</v>
      </c>
      <c r="U314" s="248" t="s">
        <v>945</v>
      </c>
      <c r="V314" s="127" t="s">
        <v>71</v>
      </c>
      <c r="W314" s="127" t="s">
        <v>153</v>
      </c>
      <c r="X314" s="127" t="s">
        <v>163</v>
      </c>
      <c r="Y314" s="127" t="s">
        <v>58</v>
      </c>
      <c r="Z314" s="127">
        <f>AA314*AB314</f>
        <v>2025</v>
      </c>
      <c r="AA314" s="127">
        <f>5*18</f>
        <v>90</v>
      </c>
      <c r="AB314" s="127">
        <f>AVERAGE(15,30)</f>
        <v>22.5</v>
      </c>
      <c r="AC314" s="127" t="s">
        <v>59</v>
      </c>
      <c r="AD314" s="127" t="s">
        <v>946</v>
      </c>
      <c r="AE314" s="127" t="s">
        <v>61</v>
      </c>
      <c r="AF314" s="60" t="s">
        <v>538</v>
      </c>
      <c r="AG314" s="152" t="s">
        <v>947</v>
      </c>
      <c r="AH314" s="127">
        <v>19.739999999999998</v>
      </c>
      <c r="AI314" s="127">
        <v>10.050000000000001</v>
      </c>
      <c r="AJ314" s="127">
        <v>38</v>
      </c>
      <c r="AK314" s="127">
        <v>28.37</v>
      </c>
      <c r="AL314" s="127">
        <v>6.9</v>
      </c>
      <c r="AM314" s="127">
        <v>38</v>
      </c>
      <c r="AN314" s="127" t="s">
        <v>52</v>
      </c>
      <c r="AO314" s="127" t="s">
        <v>52</v>
      </c>
      <c r="AP314" s="127" t="s">
        <v>52</v>
      </c>
      <c r="AQ314" s="127" t="s">
        <v>52</v>
      </c>
    </row>
    <row r="315" spans="1:49" s="128" customFormat="1">
      <c r="A315" s="89"/>
      <c r="B315" s="132"/>
      <c r="C315" s="132"/>
      <c r="D315" s="89"/>
      <c r="E315" s="89"/>
      <c r="F315" s="132"/>
      <c r="G315" s="89"/>
      <c r="H315" s="286"/>
      <c r="I315" s="286"/>
      <c r="J315" s="128">
        <v>0</v>
      </c>
      <c r="K315" s="128" t="s">
        <v>126</v>
      </c>
      <c r="L315" s="128">
        <v>2</v>
      </c>
      <c r="M315" s="249">
        <v>7.5</v>
      </c>
      <c r="N315" s="249">
        <v>0.45</v>
      </c>
      <c r="O315" s="249">
        <v>0.03</v>
      </c>
      <c r="P315" s="249" t="s">
        <v>52</v>
      </c>
      <c r="Q315" s="249">
        <v>0.18</v>
      </c>
      <c r="R315" s="249">
        <v>0.53</v>
      </c>
      <c r="S315" s="249" t="s">
        <v>52</v>
      </c>
      <c r="T315" s="128" t="s">
        <v>92</v>
      </c>
      <c r="U315" s="250" t="s">
        <v>944</v>
      </c>
      <c r="V315" s="128" t="s">
        <v>80</v>
      </c>
      <c r="W315" s="128" t="s">
        <v>78</v>
      </c>
      <c r="X315" s="128" t="s">
        <v>78</v>
      </c>
      <c r="Y315" s="128" t="s">
        <v>78</v>
      </c>
      <c r="Z315" s="128" t="s">
        <v>78</v>
      </c>
      <c r="AA315" s="128" t="s">
        <v>78</v>
      </c>
      <c r="AB315" s="128" t="s">
        <v>78</v>
      </c>
      <c r="AC315" s="128" t="s">
        <v>78</v>
      </c>
      <c r="AD315" s="128" t="s">
        <v>946</v>
      </c>
      <c r="AE315" s="128" t="s">
        <v>61</v>
      </c>
      <c r="AF315" s="63" t="s">
        <v>538</v>
      </c>
      <c r="AG315" s="153" t="s">
        <v>947</v>
      </c>
      <c r="AH315" s="128">
        <v>23.16</v>
      </c>
      <c r="AI315" s="128">
        <v>8</v>
      </c>
      <c r="AJ315" s="128">
        <v>38</v>
      </c>
      <c r="AK315" s="128">
        <v>26.5</v>
      </c>
      <c r="AL315" s="128">
        <v>7.28</v>
      </c>
      <c r="AM315" s="128">
        <v>38</v>
      </c>
      <c r="AN315" s="128" t="s">
        <v>52</v>
      </c>
      <c r="AO315" s="128" t="s">
        <v>52</v>
      </c>
      <c r="AP315" s="128" t="s">
        <v>52</v>
      </c>
      <c r="AQ315" s="128" t="s">
        <v>52</v>
      </c>
      <c r="AV315" s="63"/>
      <c r="AW315" s="63"/>
    </row>
    <row r="316" spans="1:49">
      <c r="A316" s="88" t="s">
        <v>940</v>
      </c>
      <c r="B316" s="130">
        <v>153</v>
      </c>
      <c r="C316" s="130" t="s">
        <v>47</v>
      </c>
      <c r="D316" s="88" t="s">
        <v>454</v>
      </c>
      <c r="E316" s="144" t="s">
        <v>66</v>
      </c>
      <c r="F316" s="88" t="s">
        <v>49</v>
      </c>
      <c r="G316" s="88" t="s">
        <v>844</v>
      </c>
      <c r="J316" s="127">
        <v>1</v>
      </c>
      <c r="K316" s="127" t="s">
        <v>942</v>
      </c>
      <c r="L316" s="127">
        <v>2</v>
      </c>
      <c r="M316" s="247">
        <v>7.5</v>
      </c>
      <c r="N316" s="247">
        <v>0.6</v>
      </c>
      <c r="O316" s="247">
        <v>0.05</v>
      </c>
      <c r="P316" s="247" t="s">
        <v>52</v>
      </c>
      <c r="Q316" s="247">
        <v>0.12</v>
      </c>
      <c r="R316" s="247">
        <v>1</v>
      </c>
      <c r="S316" s="247" t="s">
        <v>52</v>
      </c>
      <c r="T316" s="127" t="s">
        <v>92</v>
      </c>
      <c r="U316" s="248" t="s">
        <v>945</v>
      </c>
      <c r="V316" s="127" t="s">
        <v>71</v>
      </c>
      <c r="W316" s="127" t="s">
        <v>153</v>
      </c>
      <c r="X316" s="127" t="s">
        <v>163</v>
      </c>
      <c r="Y316" s="127" t="s">
        <v>58</v>
      </c>
      <c r="Z316" s="127">
        <f t="shared" ref="Z316" si="31">AA316*AB316</f>
        <v>2250</v>
      </c>
      <c r="AA316" s="127">
        <f t="shared" ref="AA316" si="32">5*18</f>
        <v>90</v>
      </c>
      <c r="AB316" s="127">
        <f>AVERAGE(20,30)</f>
        <v>25</v>
      </c>
      <c r="AC316" s="127" t="s">
        <v>59</v>
      </c>
      <c r="AD316" s="127" t="s">
        <v>946</v>
      </c>
      <c r="AE316" s="127" t="s">
        <v>61</v>
      </c>
      <c r="AF316" s="60" t="s">
        <v>538</v>
      </c>
      <c r="AG316" s="152" t="s">
        <v>947</v>
      </c>
      <c r="AH316" s="127">
        <v>17.78</v>
      </c>
      <c r="AI316" s="127">
        <v>8.27</v>
      </c>
      <c r="AJ316" s="127">
        <v>23</v>
      </c>
      <c r="AK316" s="127">
        <v>28.09</v>
      </c>
      <c r="AL316" s="127">
        <v>7.35</v>
      </c>
      <c r="AM316" s="127">
        <v>23</v>
      </c>
      <c r="AN316" s="127" t="s">
        <v>52</v>
      </c>
      <c r="AO316" s="127" t="s">
        <v>52</v>
      </c>
      <c r="AP316" s="127" t="s">
        <v>52</v>
      </c>
      <c r="AQ316" s="127" t="s">
        <v>52</v>
      </c>
    </row>
    <row r="317" spans="1:49" s="128" customFormat="1">
      <c r="A317" s="89"/>
      <c r="B317" s="132"/>
      <c r="C317" s="132"/>
      <c r="D317" s="89"/>
      <c r="E317" s="89"/>
      <c r="F317" s="132"/>
      <c r="G317" s="89"/>
      <c r="H317" s="286"/>
      <c r="I317" s="286"/>
      <c r="J317" s="128">
        <v>0</v>
      </c>
      <c r="K317" s="128" t="s">
        <v>943</v>
      </c>
      <c r="L317" s="128">
        <v>2</v>
      </c>
      <c r="M317" s="249">
        <v>7.5</v>
      </c>
      <c r="N317" s="249">
        <v>0.6</v>
      </c>
      <c r="O317" s="249">
        <v>0.14000000000000001</v>
      </c>
      <c r="P317" s="249" t="s">
        <v>52</v>
      </c>
      <c r="Q317" s="249">
        <v>0.12</v>
      </c>
      <c r="R317" s="249">
        <v>1</v>
      </c>
      <c r="S317" s="249" t="s">
        <v>52</v>
      </c>
      <c r="T317" s="128" t="s">
        <v>92</v>
      </c>
      <c r="U317" s="250" t="s">
        <v>944</v>
      </c>
      <c r="V317" s="128" t="s">
        <v>80</v>
      </c>
      <c r="W317" s="128" t="s">
        <v>78</v>
      </c>
      <c r="X317" s="128" t="s">
        <v>78</v>
      </c>
      <c r="Y317" s="128" t="s">
        <v>78</v>
      </c>
      <c r="Z317" s="128" t="s">
        <v>78</v>
      </c>
      <c r="AA317" s="128" t="s">
        <v>78</v>
      </c>
      <c r="AB317" s="128" t="s">
        <v>78</v>
      </c>
      <c r="AC317" s="128" t="s">
        <v>78</v>
      </c>
      <c r="AD317" s="128" t="s">
        <v>946</v>
      </c>
      <c r="AE317" s="128" t="s">
        <v>61</v>
      </c>
      <c r="AF317" s="63" t="s">
        <v>538</v>
      </c>
      <c r="AG317" s="153" t="s">
        <v>947</v>
      </c>
      <c r="AH317" s="128">
        <v>18.61</v>
      </c>
      <c r="AI317" s="128">
        <v>7.02</v>
      </c>
      <c r="AJ317" s="128">
        <v>23</v>
      </c>
      <c r="AK317" s="128">
        <v>22.61</v>
      </c>
      <c r="AL317" s="128">
        <v>6.45</v>
      </c>
      <c r="AM317" s="128">
        <v>23</v>
      </c>
      <c r="AN317" s="128" t="s">
        <v>52</v>
      </c>
      <c r="AO317" s="128" t="s">
        <v>52</v>
      </c>
      <c r="AP317" s="128" t="s">
        <v>52</v>
      </c>
      <c r="AQ317" s="128" t="s">
        <v>52</v>
      </c>
      <c r="AV317" s="63"/>
      <c r="AW317" s="63"/>
    </row>
    <row r="318" spans="1:49">
      <c r="A318" s="88"/>
      <c r="AG318" s="152"/>
    </row>
    <row r="319" spans="1:49">
      <c r="A319" s="88"/>
      <c r="AG319" s="152"/>
    </row>
    <row r="320" spans="1:49">
      <c r="A320" s="88"/>
      <c r="AG320" s="152"/>
    </row>
    <row r="321" spans="1:33">
      <c r="A321" s="88"/>
      <c r="AG321" s="152"/>
    </row>
    <row r="322" spans="1:33">
      <c r="A322" s="88"/>
      <c r="AG322" s="152"/>
    </row>
    <row r="323" spans="1:33">
      <c r="A323" s="88"/>
      <c r="AG323" s="152"/>
    </row>
    <row r="324" spans="1:33">
      <c r="A324" s="88"/>
      <c r="AG324" s="152"/>
    </row>
    <row r="325" spans="1:33">
      <c r="A325" s="88"/>
      <c r="AG325" s="152"/>
    </row>
    <row r="326" spans="1:33">
      <c r="A326" s="88"/>
      <c r="AG326" s="152"/>
    </row>
    <row r="327" spans="1:33">
      <c r="A327" s="88"/>
      <c r="AG327" s="152"/>
    </row>
    <row r="328" spans="1:33">
      <c r="A328" s="88"/>
      <c r="AG328" s="152"/>
    </row>
    <row r="329" spans="1:33">
      <c r="A329" s="88"/>
      <c r="AG329" s="152"/>
    </row>
    <row r="330" spans="1:33">
      <c r="A330" s="88"/>
      <c r="AG330" s="152"/>
    </row>
    <row r="331" spans="1:33">
      <c r="A331" s="88"/>
      <c r="AG331" s="152"/>
    </row>
    <row r="332" spans="1:33">
      <c r="A332" s="88"/>
      <c r="AG332" s="152"/>
    </row>
    <row r="333" spans="1:33">
      <c r="A333" s="88"/>
      <c r="AG333" s="152"/>
    </row>
    <row r="334" spans="1:33">
      <c r="A334" s="88"/>
      <c r="AG334" s="152"/>
    </row>
    <row r="335" spans="1:33">
      <c r="A335" s="88"/>
      <c r="AG335" s="152"/>
    </row>
    <row r="336" spans="1:33">
      <c r="A336" s="88"/>
      <c r="AG336" s="152"/>
    </row>
    <row r="337" spans="1:33">
      <c r="A337" s="88"/>
      <c r="AG337" s="152"/>
    </row>
    <row r="338" spans="1:33">
      <c r="A338" s="88"/>
      <c r="AG338" s="152"/>
    </row>
    <row r="339" spans="1:33">
      <c r="A339" s="88"/>
      <c r="AG339" s="152"/>
    </row>
    <row r="340" spans="1:33">
      <c r="A340" s="88"/>
      <c r="AG340" s="152"/>
    </row>
    <row r="341" spans="1:33">
      <c r="A341" s="88"/>
      <c r="AG341" s="152"/>
    </row>
    <row r="342" spans="1:33">
      <c r="A342" s="88"/>
      <c r="AG342" s="152"/>
    </row>
    <row r="343" spans="1:33">
      <c r="A343" s="88"/>
      <c r="AG343" s="152"/>
    </row>
    <row r="344" spans="1:33">
      <c r="A344" s="88"/>
      <c r="AG344" s="152"/>
    </row>
    <row r="345" spans="1:33">
      <c r="A345" s="88"/>
      <c r="AG345" s="152"/>
    </row>
    <row r="346" spans="1:33">
      <c r="A346" s="88"/>
      <c r="AG346" s="152"/>
    </row>
    <row r="347" spans="1:33">
      <c r="A347" s="88"/>
      <c r="AG347" s="152"/>
    </row>
    <row r="348" spans="1:33">
      <c r="A348" s="88"/>
      <c r="AG348" s="152"/>
    </row>
    <row r="349" spans="1:33">
      <c r="A349" s="88"/>
      <c r="AG349" s="152"/>
    </row>
    <row r="350" spans="1:33">
      <c r="A350" s="88"/>
      <c r="AG350" s="152"/>
    </row>
    <row r="351" spans="1:33">
      <c r="A351" s="88"/>
      <c r="AG351" s="152"/>
    </row>
    <row r="352" spans="1:33">
      <c r="A352" s="88"/>
      <c r="AG352" s="152"/>
    </row>
    <row r="353" spans="1:33">
      <c r="A353" s="88"/>
      <c r="AG353" s="152"/>
    </row>
    <row r="354" spans="1:33">
      <c r="A354" s="88"/>
      <c r="AG354" s="152"/>
    </row>
    <row r="355" spans="1:33">
      <c r="A355" s="88"/>
      <c r="AG355" s="152"/>
    </row>
    <row r="356" spans="1:33">
      <c r="A356" s="88"/>
      <c r="AG356" s="152"/>
    </row>
    <row r="357" spans="1:33">
      <c r="A357" s="88"/>
      <c r="AG357" s="152"/>
    </row>
    <row r="358" spans="1:33">
      <c r="A358" s="88"/>
      <c r="AG358" s="152"/>
    </row>
    <row r="359" spans="1:33">
      <c r="A359" s="88"/>
      <c r="AG359" s="152"/>
    </row>
    <row r="360" spans="1:33">
      <c r="A360" s="88"/>
      <c r="AG360" s="152"/>
    </row>
    <row r="361" spans="1:33">
      <c r="A361" s="88"/>
      <c r="AG361" s="152"/>
    </row>
    <row r="362" spans="1:33">
      <c r="A362" s="88"/>
      <c r="AG362" s="152"/>
    </row>
    <row r="363" spans="1:33">
      <c r="A363" s="88"/>
      <c r="AG363" s="152"/>
    </row>
    <row r="364" spans="1:33">
      <c r="A364" s="88"/>
      <c r="AG364" s="152"/>
    </row>
    <row r="365" spans="1:33">
      <c r="A365" s="88"/>
      <c r="AG365" s="152"/>
    </row>
    <row r="366" spans="1:33">
      <c r="A366" s="88"/>
      <c r="AG366" s="152"/>
    </row>
    <row r="367" spans="1:33">
      <c r="A367" s="88"/>
    </row>
    <row r="368" spans="1:33">
      <c r="A368" s="88"/>
    </row>
    <row r="369" spans="1:1">
      <c r="A369" s="88"/>
    </row>
    <row r="370" spans="1:1">
      <c r="A370" s="88"/>
    </row>
    <row r="371" spans="1:1">
      <c r="A371" s="88"/>
    </row>
    <row r="372" spans="1:1">
      <c r="A372" s="88"/>
    </row>
    <row r="373" spans="1:1">
      <c r="A373" s="88"/>
    </row>
    <row r="374" spans="1:1">
      <c r="A374" s="88"/>
    </row>
    <row r="375" spans="1:1">
      <c r="A375" s="88"/>
    </row>
    <row r="376" spans="1:1">
      <c r="A376" s="88"/>
    </row>
    <row r="377" spans="1:1">
      <c r="A377" s="88"/>
    </row>
    <row r="378" spans="1:1">
      <c r="A378" s="88"/>
    </row>
    <row r="379" spans="1:1">
      <c r="A379" s="88"/>
    </row>
    <row r="380" spans="1:1">
      <c r="A380" s="88"/>
    </row>
    <row r="381" spans="1:1">
      <c r="A381" s="88"/>
    </row>
    <row r="382" spans="1:1">
      <c r="A382" s="88"/>
    </row>
    <row r="383" spans="1:1">
      <c r="A383" s="88"/>
    </row>
    <row r="384" spans="1:1">
      <c r="A384" s="88"/>
    </row>
    <row r="385" spans="1:1">
      <c r="A385" s="88"/>
    </row>
    <row r="386" spans="1:1">
      <c r="A386" s="88"/>
    </row>
    <row r="387" spans="1:1">
      <c r="A387" s="88"/>
    </row>
    <row r="388" spans="1:1">
      <c r="A388" s="88"/>
    </row>
    <row r="389" spans="1:1">
      <c r="A389" s="88"/>
    </row>
    <row r="390" spans="1:1">
      <c r="A390" s="88"/>
    </row>
    <row r="391" spans="1:1">
      <c r="A391" s="88"/>
    </row>
    <row r="392" spans="1:1">
      <c r="A392" s="88"/>
    </row>
    <row r="393" spans="1:1">
      <c r="A393" s="88"/>
    </row>
    <row r="394" spans="1:1">
      <c r="A394" s="88"/>
    </row>
    <row r="395" spans="1:1">
      <c r="A395" s="88"/>
    </row>
    <row r="396" spans="1:1">
      <c r="A396" s="88"/>
    </row>
    <row r="397" spans="1:1">
      <c r="A397" s="88"/>
    </row>
    <row r="398" spans="1:1">
      <c r="A398" s="88"/>
    </row>
    <row r="399" spans="1:1">
      <c r="A399" s="88"/>
    </row>
    <row r="400" spans="1:1">
      <c r="A400" s="88"/>
    </row>
    <row r="401" spans="1:1">
      <c r="A401" s="88"/>
    </row>
    <row r="402" spans="1:1">
      <c r="A402" s="88"/>
    </row>
    <row r="403" spans="1:1">
      <c r="A403" s="88"/>
    </row>
    <row r="404" spans="1:1">
      <c r="A404" s="88"/>
    </row>
    <row r="405" spans="1:1">
      <c r="A405" s="88"/>
    </row>
    <row r="406" spans="1:1">
      <c r="A406" s="88"/>
    </row>
    <row r="407" spans="1:1">
      <c r="A407" s="88"/>
    </row>
    <row r="408" spans="1:1">
      <c r="A408" s="88"/>
    </row>
    <row r="409" spans="1:1">
      <c r="A409" s="88"/>
    </row>
    <row r="410" spans="1:1">
      <c r="A410" s="88"/>
    </row>
    <row r="411" spans="1:1">
      <c r="A411" s="88"/>
    </row>
    <row r="412" spans="1:1">
      <c r="A412" s="88"/>
    </row>
    <row r="413" spans="1:1">
      <c r="A413" s="88"/>
    </row>
    <row r="414" spans="1:1">
      <c r="A414" s="88"/>
    </row>
    <row r="415" spans="1:1">
      <c r="A415" s="88"/>
    </row>
    <row r="416" spans="1:1">
      <c r="A416" s="88"/>
    </row>
    <row r="417" spans="1:1">
      <c r="A417" s="88"/>
    </row>
    <row r="418" spans="1:1">
      <c r="A418" s="88"/>
    </row>
    <row r="419" spans="1:1">
      <c r="A419" s="88"/>
    </row>
    <row r="420" spans="1:1">
      <c r="A420" s="88"/>
    </row>
    <row r="421" spans="1:1">
      <c r="A421" s="88"/>
    </row>
    <row r="422" spans="1:1">
      <c r="A422" s="88"/>
    </row>
    <row r="423" spans="1:1">
      <c r="A423" s="88"/>
    </row>
    <row r="424" spans="1:1">
      <c r="A424" s="88"/>
    </row>
    <row r="425" spans="1:1">
      <c r="A425" s="88"/>
    </row>
    <row r="426" spans="1:1">
      <c r="A426" s="88"/>
    </row>
    <row r="427" spans="1:1">
      <c r="A427" s="88"/>
    </row>
    <row r="428" spans="1:1">
      <c r="A428" s="88"/>
    </row>
    <row r="429" spans="1:1">
      <c r="A429" s="88"/>
    </row>
    <row r="430" spans="1:1">
      <c r="A430" s="88"/>
    </row>
    <row r="431" spans="1:1">
      <c r="A431" s="88"/>
    </row>
    <row r="432" spans="1:1">
      <c r="A432" s="88"/>
    </row>
    <row r="433" spans="1:1">
      <c r="A433" s="88"/>
    </row>
    <row r="434" spans="1:1">
      <c r="A434" s="88"/>
    </row>
    <row r="435" spans="1:1">
      <c r="A435" s="88"/>
    </row>
    <row r="436" spans="1:1">
      <c r="A436" s="88"/>
    </row>
    <row r="437" spans="1:1">
      <c r="A437" s="88"/>
    </row>
    <row r="438" spans="1:1">
      <c r="A438" s="88"/>
    </row>
    <row r="439" spans="1:1">
      <c r="A439" s="88"/>
    </row>
    <row r="440" spans="1:1">
      <c r="A440" s="88"/>
    </row>
    <row r="441" spans="1:1">
      <c r="A441" s="88"/>
    </row>
    <row r="442" spans="1:1">
      <c r="A442" s="88"/>
    </row>
    <row r="443" spans="1:1">
      <c r="A443" s="88"/>
    </row>
    <row r="444" spans="1:1">
      <c r="A444" s="88"/>
    </row>
    <row r="445" spans="1:1">
      <c r="A445" s="88"/>
    </row>
    <row r="446" spans="1:1">
      <c r="A446" s="88"/>
    </row>
    <row r="447" spans="1:1">
      <c r="A447" s="88"/>
    </row>
    <row r="448" spans="1:1">
      <c r="A448" s="88"/>
    </row>
    <row r="449" spans="1:1">
      <c r="A449" s="88"/>
    </row>
    <row r="450" spans="1:1">
      <c r="A450" s="88"/>
    </row>
    <row r="451" spans="1:1">
      <c r="A451" s="88"/>
    </row>
  </sheetData>
  <autoFilter ref="A1:AW313" xr:uid="{7A97D7DB-F844-CC45-A9A8-C0A0F89642FA}">
    <filterColumn colId="0" showButton="0"/>
    <filterColumn colId="1" showButton="0"/>
    <filterColumn colId="2" showButton="0"/>
    <filterColumn colId="3" showButton="0"/>
    <filterColumn colId="4" showButton="0"/>
    <filterColumn colId="5" showButton="0"/>
    <filterColumn colId="19" showButton="0"/>
    <filterColumn colId="20" showButton="0"/>
    <filterColumn colId="22" showButton="0"/>
    <filterColumn colId="23" showButton="0"/>
    <filterColumn colId="24" showButton="0"/>
    <filterColumn colId="25" showButton="0"/>
    <filterColumn colId="26" showButton="0"/>
    <filterColumn colId="27" showButton="0"/>
    <filterColumn colId="29" showButton="0"/>
    <filterColumn colId="33" showButton="0"/>
    <filterColumn colId="34" showButton="0"/>
    <filterColumn colId="35" showButton="0"/>
    <filterColumn colId="36" showButton="0"/>
    <filterColumn colId="37" showButton="0"/>
  </autoFilter>
  <dataConsolidate/>
  <mergeCells count="6">
    <mergeCell ref="AG1:AG2"/>
    <mergeCell ref="A1:G1"/>
    <mergeCell ref="AH1:AM1"/>
    <mergeCell ref="AD1:AE1"/>
    <mergeCell ref="W1:AC1"/>
    <mergeCell ref="T1:V1"/>
  </mergeCells>
  <conditionalFormatting sqref="A2:S2">
    <cfRule type="cellIs" dxfId="46" priority="5" operator="notEqual">
      <formula>#REF!</formula>
    </cfRule>
    <cfRule type="cellIs" dxfId="45" priority="6" operator="notEqual">
      <formula>#REF!+#REF!</formula>
    </cfRule>
  </conditionalFormatting>
  <conditionalFormatting sqref="AG1 W2:AF2">
    <cfRule type="cellIs" dxfId="44" priority="7" operator="notEqual">
      <formula>#REF!</formula>
    </cfRule>
    <cfRule type="cellIs" dxfId="43" priority="8" operator="notEqual">
      <formula>#REF!+#REF!</formula>
    </cfRule>
  </conditionalFormatting>
  <conditionalFormatting sqref="AK2:AU2">
    <cfRule type="cellIs" dxfId="42" priority="1" operator="notEqual">
      <formula>#REF!</formula>
    </cfRule>
    <cfRule type="cellIs" dxfId="41" priority="2" operator="notEqual">
      <formula>#REF!+#REF!</formula>
    </cfRule>
  </conditionalFormatting>
  <dataValidations count="15">
    <dataValidation type="list" allowBlank="1" showInputMessage="1" showErrorMessage="1" sqref="X110 X1:X108 X306:X1048576" xr:uid="{93E27F9F-E552-1544-8B13-06C2FAE6222B}">
      <formula1>"BAU, NA, 0 = classroom/ large group,  1 = small group (3–7 students),  2 = individual  (1–2 students)"</formula1>
    </dataValidation>
    <dataValidation type="list" allowBlank="1" showInputMessage="1" showErrorMessage="1" sqref="Y3:Y42 Y44:Y110 Y306:Y1048576" xr:uid="{63A58230-BCFD-A840-93A0-25746A369BFA}">
      <formula1>"BAU, NA, 0 = Research Staff,  1 = School Staff,  2 =  CAI,  3 = 50% T and 50% R"</formula1>
    </dataValidation>
    <dataValidation type="list" allowBlank="1" showInputMessage="1" showErrorMessage="1" sqref="AC3:AC42 AC44:AC99 AC109 AC101 AC103 AC105 AC107 AC306:AC1048576" xr:uid="{A0FC5C2F-034A-6146-8D2C-7A905C198EE7}">
      <formula1>"BAU, 0 = Not reported , 1 = Reported"</formula1>
    </dataValidation>
    <dataValidation type="list" allowBlank="1" showInputMessage="1" showErrorMessage="1" sqref="AE3:AE110 AE306:AE1048576" xr:uid="{43B9E862-9244-B643-B4E4-75D936E35FA6}">
      <formula1>"0 = NO - Not standardized,  1 = YES - standardized"</formula1>
    </dataValidation>
    <dataValidation type="list" allowBlank="1" showInputMessage="1" showErrorMessage="1" sqref="AT3:AT57 AV93:AV97 AV58:AV80 AV86:AV91 AT98:AT110 AJ271:AJ286 AT221:AT286 AT303:AT1048576" xr:uid="{9BFBB305-FBB2-5B49-96F0-C00CFC19F66F}">
      <formula1>"cohen's d,  Hedges' g,  T test,  F test , z score,  Other types"</formula1>
    </dataValidation>
    <dataValidation type="list" allowBlank="1" showInputMessage="1" showErrorMessage="1" sqref="AU3:AU110 AK271:AK286 AU221:AU286 AU303:AU1048576" xr:uid="{170935DB-F5D2-4344-9B92-CDB4B49222BF}">
      <formula1>"0,1,2,3,4,5"</formula1>
    </dataValidation>
    <dataValidation type="list" allowBlank="1" showInputMessage="1" showErrorMessage="1" sqref="V46:V61 V63:V99 V101:V108 V110" xr:uid="{3F054BA7-E497-0145-9CDF-31AF381A887B}">
      <formula1>"0 = Researcher-developed curriculum,   1 = Published or Commercially available curriculum,  2 = District/State curriculum, 3 = NA (for BAU/AC Condition)"</formula1>
    </dataValidation>
    <dataValidation type="list" allowBlank="1" showInputMessage="1" showErrorMessage="1" sqref="E46:E110" xr:uid="{5E305AB8-B480-4A4A-9310-6E8028F31A88}">
      <formula1>"0=School Environment, 1=After school Program"</formula1>
    </dataValidation>
    <dataValidation type="list" allowBlank="1" showInputMessage="1" showErrorMessage="1" sqref="G46:G110" xr:uid="{40F24B6A-F26B-B442-9040-8D80DB3FA522}">
      <formula1>" 0 = RCT,   1 = QED with matched group  "</formula1>
    </dataValidation>
    <dataValidation type="list" allowBlank="1" showInputMessage="1" showErrorMessage="1" sqref="F46:F110" xr:uid="{E8E131F7-FDC4-1140-8455-07F3F6223A87}">
      <formula1>" 0 = peer reviewed paper,   1 = disseration,   2 = report/chapter/others"</formula1>
    </dataValidation>
    <dataValidation type="list" allowBlank="1" showInputMessage="1" showErrorMessage="1" sqref="T46:T110" xr:uid="{89704310-39BF-C04A-B897-122E65A7D03E}">
      <formula1>"BAU, AC (other area),... ,c = code-based,  m = meaning-based, cm = combined coding + meaning "</formula1>
    </dataValidation>
    <dataValidation type="list" allowBlank="1" showInputMessage="1" showErrorMessage="1" sqref="W46:W110 X46:X108 X110" xr:uid="{33BE710D-304F-EB4B-808F-6B19707F67F7}">
      <formula1>"BAU, 0 = No / Not reported,  1 = Yes (Including CAI)"</formula1>
    </dataValidation>
    <dataValidation type="list" allowBlank="1" showInputMessage="1" showErrorMessage="1" sqref="V100" xr:uid="{82839229-6951-7042-B193-A43BA466EE57}">
      <formula1>"0 = Researcher-developed curriculum,   1 = Published or Commercially available curriculum,  2 = District/State curriculum, NA (for BAU/AC Condition)"</formula1>
    </dataValidation>
    <dataValidation type="list" allowBlank="1" showInputMessage="1" showErrorMessage="1" sqref="V199:W199" xr:uid="{6A48CA66-0AC7-3945-B0AA-33E2B8F4015F}">
      <formula1>V$3:V$8</formula1>
    </dataValidation>
    <dataValidation type="list" allowBlank="1" showInputMessage="1" showErrorMessage="1" sqref="F317:F451 G306:G451 F307:F313 F315 E306:E451" xr:uid="{E79098D0-0A21-DF43-9043-DDC5E9445D54}">
      <formula1>#REF!</formula1>
    </dataValidation>
  </dataValidations>
  <pageMargins left="0.7" right="0.7" top="0.75" bottom="0.75" header="0.3" footer="0.3"/>
  <pageSetup orientation="portrait" horizontalDpi="0" verticalDpi="0"/>
  <ignoredErrors>
    <ignoredError sqref="L14 L16 L18" twoDigitTextYear="1"/>
    <ignoredError sqref="L58:L108" numberStoredAsText="1"/>
  </ignoredErrors>
  <drawing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1DC89C6B-6102-0E4E-B328-910F454D3395}">
          <x14:formula1>
            <xm:f>'0. Options'!$D$3:$D$10</xm:f>
          </x14:formula1>
          <xm:sqref>E1:E45 E452:E1048576</xm:sqref>
        </x14:dataValidation>
        <x14:dataValidation type="list" allowBlank="1" showInputMessage="1" showErrorMessage="1" xr:uid="{AB35F928-1B43-6643-9881-5302ACC5AC42}">
          <x14:formula1>
            <xm:f>'0. Options'!$E$3:$E$10</xm:f>
          </x14:formula1>
          <xm:sqref>F1:F45 F452:F1048576</xm:sqref>
        </x14:dataValidation>
        <x14:dataValidation type="list" allowBlank="1" showInputMessage="1" showErrorMessage="1" xr:uid="{06612773-33E2-D042-8659-F022CB642EE5}">
          <x14:formula1>
            <xm:f>'0. Options'!$F$3:$F$10</xm:f>
          </x14:formula1>
          <xm:sqref>G452:G1048576 G1:G45</xm:sqref>
        </x14:dataValidation>
        <x14:dataValidation type="list" allowBlank="1" showInputMessage="1" showErrorMessage="1" xr:uid="{5F978E3B-4FAB-254E-8CED-AC3BA2772E1A}">
          <x14:formula1>
            <xm:f>'0. Options'!$S$3:$S$10</xm:f>
          </x14:formula1>
          <xm:sqref>V1:V45 V306:V1048576</xm:sqref>
        </x14:dataValidation>
        <x14:dataValidation type="list" allowBlank="1" showInputMessage="1" showErrorMessage="1" xr:uid="{82BAFF93-9179-8045-9ACA-06AB76251E7E}">
          <x14:formula1>
            <xm:f>'0. Options'!$Q$3:$Q$10</xm:f>
          </x14:formula1>
          <xm:sqref>T1:T45 T306:T1048576</xm:sqref>
        </x14:dataValidation>
        <x14:dataValidation type="list" allowBlank="1" showInputMessage="1" showErrorMessage="1" xr:uid="{778726C6-35F2-4241-8DA3-647893CFE9AE}">
          <x14:formula1>
            <xm:f>'0. Options'!$T$3:$T$10</xm:f>
          </x14:formula1>
          <xm:sqref>W1:W45 W306:W1048576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AE35-2ED2-874C-9AEA-7A130E94AB1E}">
  <dimension ref="A1:AV534"/>
  <sheetViews>
    <sheetView zoomScaleNormal="125" workbookViewId="0">
      <pane xSplit="11" ySplit="2" topLeftCell="L3" activePane="bottomRight" state="frozen"/>
      <selection pane="topRight" activeCell="J1" sqref="J1"/>
      <selection pane="bottomLeft" activeCell="A3" sqref="A3"/>
      <selection pane="bottomRight" activeCell="J28" sqref="J28"/>
    </sheetView>
  </sheetViews>
  <sheetFormatPr baseColWidth="10" defaultColWidth="11.5" defaultRowHeight="15"/>
  <cols>
    <col min="1" max="1" width="17.83203125" style="11" customWidth="1"/>
    <col min="2" max="2" width="6.1640625" style="11" customWidth="1"/>
    <col min="3" max="3" width="6" style="11" customWidth="1"/>
    <col min="4" max="4" width="10.5" style="88" customWidth="1"/>
    <col min="5" max="5" width="5.5" style="11" customWidth="1"/>
    <col min="6" max="6" width="4.5" style="11" customWidth="1"/>
    <col min="7" max="7" width="7.33203125" style="11" customWidth="1"/>
    <col min="8" max="9" width="7.33203125" style="275" hidden="1" customWidth="1"/>
    <col min="10" max="10" width="9.33203125" style="11" customWidth="1"/>
    <col min="11" max="11" width="12.6640625" style="11" customWidth="1"/>
    <col min="12" max="12" width="11.5" style="11"/>
    <col min="13" max="13" width="11.5" style="17"/>
    <col min="14" max="14" width="14.33203125" style="17" customWidth="1"/>
    <col min="15" max="16" width="9.83203125" style="17" customWidth="1"/>
    <col min="17" max="17" width="11.6640625" style="17" customWidth="1"/>
    <col min="18" max="19" width="9.83203125" style="17" customWidth="1"/>
    <col min="20" max="20" width="15.6640625" style="11" customWidth="1"/>
    <col min="21" max="21" width="10.33203125" style="12" customWidth="1"/>
    <col min="22" max="22" width="16.33203125" style="11" customWidth="1"/>
    <col min="23" max="23" width="11.5" style="11"/>
    <col min="24" max="24" width="13.83203125" style="11" customWidth="1"/>
    <col min="25" max="25" width="16.5" style="11" customWidth="1"/>
    <col min="26" max="27" width="13" style="11" customWidth="1"/>
    <col min="28" max="28" width="13.5" style="11" customWidth="1"/>
    <col min="29" max="29" width="11.5" style="11"/>
    <col min="30" max="30" width="20.1640625" style="11" customWidth="1"/>
    <col min="31" max="31" width="12.5" style="11" customWidth="1"/>
    <col min="32" max="32" width="12.5" style="60" customWidth="1"/>
    <col min="33" max="33" width="30.33203125" style="60" customWidth="1"/>
    <col min="34" max="36" width="12.33203125" style="11" customWidth="1"/>
    <col min="37" max="45" width="11.5" style="11"/>
    <col min="46" max="46" width="13.83203125" style="11" customWidth="1"/>
    <col min="47" max="47" width="20" style="11" customWidth="1"/>
    <col min="48" max="48" width="26.6640625" style="1" customWidth="1"/>
    <col min="49" max="49" width="26.5" style="11" customWidth="1"/>
    <col min="50" max="16384" width="11.5" style="11"/>
  </cols>
  <sheetData>
    <row r="1" spans="1:48" ht="21" customHeight="1">
      <c r="A1" s="354" t="s">
        <v>0</v>
      </c>
      <c r="B1" s="354"/>
      <c r="C1" s="354"/>
      <c r="D1" s="354"/>
      <c r="E1" s="354"/>
      <c r="F1" s="354"/>
      <c r="G1" s="354"/>
      <c r="H1" s="271"/>
      <c r="I1" s="271"/>
      <c r="J1" s="355" t="s">
        <v>1</v>
      </c>
      <c r="K1" s="355"/>
      <c r="L1" s="355"/>
      <c r="M1" s="355"/>
      <c r="N1" s="355"/>
      <c r="O1" s="355"/>
      <c r="P1" s="355"/>
      <c r="Q1" s="355"/>
      <c r="R1" s="355"/>
      <c r="S1" s="355"/>
      <c r="T1" s="356" t="s">
        <v>2</v>
      </c>
      <c r="U1" s="356"/>
      <c r="V1" s="356"/>
      <c r="W1" s="357" t="s">
        <v>3</v>
      </c>
      <c r="X1" s="357"/>
      <c r="Y1" s="357"/>
      <c r="Z1" s="357"/>
      <c r="AA1" s="357"/>
      <c r="AB1" s="357"/>
      <c r="AC1" s="357"/>
      <c r="AD1" s="353" t="s">
        <v>4</v>
      </c>
      <c r="AE1" s="353"/>
      <c r="AF1" s="353"/>
      <c r="AG1" s="352" t="s">
        <v>451</v>
      </c>
      <c r="AH1" s="353" t="s">
        <v>5</v>
      </c>
      <c r="AI1" s="353"/>
      <c r="AJ1" s="353"/>
      <c r="AK1" s="353"/>
      <c r="AL1" s="353"/>
      <c r="AM1" s="353"/>
      <c r="AN1" s="189" t="s">
        <v>902</v>
      </c>
      <c r="AO1" s="190"/>
      <c r="AP1" s="190"/>
      <c r="AQ1" s="190"/>
      <c r="AR1" s="191" t="s">
        <v>789</v>
      </c>
      <c r="AS1" s="191"/>
      <c r="AT1" s="14" t="s">
        <v>6</v>
      </c>
      <c r="AU1" s="14" t="s">
        <v>7</v>
      </c>
      <c r="AV1" s="11" t="s">
        <v>9</v>
      </c>
    </row>
    <row r="2" spans="1:48" ht="38" customHeight="1">
      <c r="A2" s="4" t="s">
        <v>10</v>
      </c>
      <c r="B2" s="4" t="s">
        <v>11</v>
      </c>
      <c r="C2" s="4" t="s">
        <v>12</v>
      </c>
      <c r="D2" s="159" t="s">
        <v>452</v>
      </c>
      <c r="E2" s="5" t="s">
        <v>13</v>
      </c>
      <c r="F2" s="5" t="s">
        <v>14</v>
      </c>
      <c r="G2" s="5" t="s">
        <v>15</v>
      </c>
      <c r="H2" s="272" t="s">
        <v>916</v>
      </c>
      <c r="I2" s="272" t="s">
        <v>917</v>
      </c>
      <c r="J2" s="6" t="s">
        <v>16</v>
      </c>
      <c r="K2" s="6" t="s">
        <v>17</v>
      </c>
      <c r="L2" s="6" t="s">
        <v>18</v>
      </c>
      <c r="M2" s="16" t="s">
        <v>19</v>
      </c>
      <c r="N2" s="6" t="s">
        <v>20</v>
      </c>
      <c r="O2" s="3" t="s">
        <v>21</v>
      </c>
      <c r="P2" s="3" t="s">
        <v>22</v>
      </c>
      <c r="Q2" s="3" t="s">
        <v>293</v>
      </c>
      <c r="R2" s="3" t="s">
        <v>24</v>
      </c>
      <c r="S2" s="3" t="s">
        <v>289</v>
      </c>
      <c r="T2" s="36" t="s">
        <v>26</v>
      </c>
      <c r="U2" s="37" t="s">
        <v>27</v>
      </c>
      <c r="V2" s="35" t="s">
        <v>28</v>
      </c>
      <c r="W2" s="8" t="s">
        <v>29</v>
      </c>
      <c r="X2" s="8" t="s">
        <v>30</v>
      </c>
      <c r="Y2" s="8" t="s">
        <v>31</v>
      </c>
      <c r="Z2" s="9" t="s">
        <v>32</v>
      </c>
      <c r="AA2" s="9" t="s">
        <v>445</v>
      </c>
      <c r="AB2" s="9" t="s">
        <v>33</v>
      </c>
      <c r="AC2" s="8" t="s">
        <v>34</v>
      </c>
      <c r="AD2" s="4" t="s">
        <v>35</v>
      </c>
      <c r="AE2" s="5" t="s">
        <v>36</v>
      </c>
      <c r="AF2" s="115" t="s">
        <v>453</v>
      </c>
      <c r="AG2" s="352"/>
      <c r="AH2" s="7" t="s">
        <v>38</v>
      </c>
      <c r="AI2" s="7" t="s">
        <v>39</v>
      </c>
      <c r="AJ2" s="7" t="s">
        <v>40</v>
      </c>
      <c r="AK2" s="10" t="s">
        <v>41</v>
      </c>
      <c r="AL2" s="10" t="s">
        <v>42</v>
      </c>
      <c r="AM2" s="10" t="s">
        <v>43</v>
      </c>
      <c r="AN2" s="192" t="s">
        <v>790</v>
      </c>
      <c r="AO2" s="192" t="s">
        <v>791</v>
      </c>
      <c r="AP2" s="192" t="s">
        <v>792</v>
      </c>
      <c r="AQ2" s="192" t="s">
        <v>793</v>
      </c>
      <c r="AR2" s="193" t="s">
        <v>794</v>
      </c>
      <c r="AS2" s="193" t="s">
        <v>795</v>
      </c>
      <c r="AT2" s="15" t="s">
        <v>44</v>
      </c>
      <c r="AU2" s="15" t="s">
        <v>45</v>
      </c>
    </row>
    <row r="3" spans="1:48" s="20" customFormat="1" ht="17" customHeight="1">
      <c r="A3" s="23" t="s">
        <v>46</v>
      </c>
      <c r="B3" s="23">
        <v>301</v>
      </c>
      <c r="C3" s="23" t="s">
        <v>47</v>
      </c>
      <c r="D3" s="88" t="s">
        <v>692</v>
      </c>
      <c r="E3" s="23" t="s">
        <v>48</v>
      </c>
      <c r="F3" s="23" t="s">
        <v>49</v>
      </c>
      <c r="G3" s="23" t="s">
        <v>50</v>
      </c>
      <c r="H3" s="273"/>
      <c r="I3" s="273"/>
      <c r="J3" s="20">
        <v>3011</v>
      </c>
      <c r="K3" s="20" t="s">
        <v>51</v>
      </c>
      <c r="L3" s="38">
        <v>2.71</v>
      </c>
      <c r="M3" s="46">
        <v>8.42</v>
      </c>
      <c r="N3" s="19">
        <v>1</v>
      </c>
      <c r="O3" s="19">
        <f>(1+3+13+3+2)/24</f>
        <v>0.91666666666666663</v>
      </c>
      <c r="P3" s="19" t="s">
        <v>52</v>
      </c>
      <c r="Q3" s="19" t="s">
        <v>52</v>
      </c>
      <c r="R3" s="19">
        <f>10/24</f>
        <v>0.41666666666666669</v>
      </c>
      <c r="S3" s="19" t="s">
        <v>52</v>
      </c>
      <c r="T3" s="20" t="s">
        <v>53</v>
      </c>
      <c r="U3" s="24" t="s">
        <v>111</v>
      </c>
      <c r="V3" s="20" t="s">
        <v>55</v>
      </c>
      <c r="W3" s="20" t="s">
        <v>56</v>
      </c>
      <c r="X3" s="20" t="s">
        <v>57</v>
      </c>
      <c r="Y3" s="20" t="s">
        <v>58</v>
      </c>
      <c r="Z3" s="20">
        <f>120*5*5</f>
        <v>3000</v>
      </c>
      <c r="AA3" s="20">
        <v>25</v>
      </c>
      <c r="AB3" s="20">
        <v>120</v>
      </c>
      <c r="AC3" s="20" t="s">
        <v>59</v>
      </c>
      <c r="AD3" s="20" t="s">
        <v>60</v>
      </c>
      <c r="AE3" s="20" t="s">
        <v>61</v>
      </c>
      <c r="AF3" s="60" t="s">
        <v>538</v>
      </c>
      <c r="AG3" s="60" t="s">
        <v>576</v>
      </c>
      <c r="AH3" s="20">
        <v>8.17</v>
      </c>
      <c r="AI3" s="20">
        <v>2.5099999999999998</v>
      </c>
      <c r="AJ3" s="20">
        <v>24</v>
      </c>
      <c r="AK3" s="20">
        <v>9.5399999999999991</v>
      </c>
      <c r="AL3" s="20">
        <v>2.93</v>
      </c>
      <c r="AM3" s="20">
        <v>24</v>
      </c>
      <c r="AU3" s="20">
        <v>0</v>
      </c>
      <c r="AV3" s="2" t="s">
        <v>62</v>
      </c>
    </row>
    <row r="4" spans="1:48" s="21" customFormat="1" ht="17" customHeight="1">
      <c r="A4" s="29"/>
      <c r="B4" s="26"/>
      <c r="C4" s="26"/>
      <c r="D4" s="89"/>
      <c r="E4" s="26"/>
      <c r="F4" s="26"/>
      <c r="G4" s="26"/>
      <c r="H4" s="274"/>
      <c r="I4" s="274"/>
      <c r="J4" s="21">
        <v>3012</v>
      </c>
      <c r="K4" s="21" t="s">
        <v>63</v>
      </c>
      <c r="L4" s="39">
        <v>1.83</v>
      </c>
      <c r="M4" s="22">
        <v>7.96</v>
      </c>
      <c r="N4" s="22">
        <v>1</v>
      </c>
      <c r="O4" s="22">
        <f>(1+5+8+4+2+2)/23</f>
        <v>0.95652173913043481</v>
      </c>
      <c r="P4" s="22" t="s">
        <v>52</v>
      </c>
      <c r="Q4" s="22" t="s">
        <v>52</v>
      </c>
      <c r="R4" s="22">
        <f>11/23</f>
        <v>0.47826086956521741</v>
      </c>
      <c r="S4" s="22" t="s">
        <v>52</v>
      </c>
      <c r="T4" s="21" t="s">
        <v>53</v>
      </c>
      <c r="U4" s="24" t="s">
        <v>111</v>
      </c>
      <c r="V4" s="21" t="s">
        <v>55</v>
      </c>
      <c r="W4" s="21" t="s">
        <v>56</v>
      </c>
      <c r="X4" s="21" t="s">
        <v>57</v>
      </c>
      <c r="Y4" s="21" t="s">
        <v>58</v>
      </c>
      <c r="Z4" s="21">
        <f>120*5*5</f>
        <v>3000</v>
      </c>
      <c r="AA4" s="21">
        <v>25</v>
      </c>
      <c r="AB4" s="21">
        <v>120</v>
      </c>
      <c r="AC4" s="21" t="s">
        <v>59</v>
      </c>
      <c r="AD4" s="21" t="s">
        <v>60</v>
      </c>
      <c r="AE4" s="21" t="s">
        <v>61</v>
      </c>
      <c r="AF4" s="63"/>
      <c r="AG4" s="63"/>
      <c r="AH4" s="21">
        <v>8</v>
      </c>
      <c r="AI4" s="21">
        <v>2.2400000000000002</v>
      </c>
      <c r="AJ4" s="21">
        <v>23</v>
      </c>
      <c r="AK4" s="21">
        <v>8.17</v>
      </c>
      <c r="AL4" s="21">
        <v>2.31</v>
      </c>
      <c r="AM4" s="21">
        <v>23</v>
      </c>
      <c r="AU4" s="21">
        <v>0</v>
      </c>
      <c r="AV4" s="28" t="s">
        <v>64</v>
      </c>
    </row>
    <row r="5" spans="1:48" s="20" customFormat="1" ht="17" customHeight="1">
      <c r="A5" s="23" t="s">
        <v>65</v>
      </c>
      <c r="B5" s="23">
        <v>302</v>
      </c>
      <c r="C5" s="23" t="s">
        <v>47</v>
      </c>
      <c r="D5" s="88" t="s">
        <v>692</v>
      </c>
      <c r="E5" s="23" t="s">
        <v>66</v>
      </c>
      <c r="F5" s="23" t="s">
        <v>49</v>
      </c>
      <c r="G5" s="23" t="s">
        <v>50</v>
      </c>
      <c r="H5" s="273"/>
      <c r="I5" s="273"/>
      <c r="J5" s="20">
        <v>3021</v>
      </c>
      <c r="K5" s="20" t="s">
        <v>67</v>
      </c>
      <c r="L5" s="38" t="s">
        <v>68</v>
      </c>
      <c r="M5" s="19">
        <f>(9.5+10.5)/2</f>
        <v>10</v>
      </c>
      <c r="N5" s="19">
        <v>1</v>
      </c>
      <c r="O5" s="19" t="s">
        <v>52</v>
      </c>
      <c r="P5" s="19">
        <f>30/34</f>
        <v>0.88235294117647056</v>
      </c>
      <c r="Q5" s="19">
        <f>4/34</f>
        <v>0.11764705882352941</v>
      </c>
      <c r="R5" s="19">
        <f>18/34</f>
        <v>0.52941176470588236</v>
      </c>
      <c r="S5" s="19">
        <f>32/34</f>
        <v>0.94117647058823528</v>
      </c>
      <c r="T5" s="43" t="s">
        <v>69</v>
      </c>
      <c r="U5" s="24" t="s">
        <v>112</v>
      </c>
      <c r="V5" s="20" t="s">
        <v>71</v>
      </c>
      <c r="W5" s="20" t="s">
        <v>56</v>
      </c>
      <c r="X5" s="20" t="s">
        <v>57</v>
      </c>
      <c r="Y5" s="20" t="s">
        <v>72</v>
      </c>
      <c r="Z5" s="20">
        <f>40*40</f>
        <v>1600</v>
      </c>
      <c r="AA5" s="20">
        <v>40</v>
      </c>
      <c r="AB5" s="20">
        <v>40</v>
      </c>
      <c r="AC5" s="20" t="s">
        <v>59</v>
      </c>
      <c r="AD5" s="20" t="s">
        <v>73</v>
      </c>
      <c r="AE5" s="20" t="s">
        <v>61</v>
      </c>
      <c r="AF5" s="60" t="s">
        <v>538</v>
      </c>
      <c r="AG5" s="60" t="s">
        <v>577</v>
      </c>
      <c r="AH5" s="20">
        <v>88.91</v>
      </c>
      <c r="AI5" s="20">
        <v>8.9600000000000009</v>
      </c>
      <c r="AJ5" s="20">
        <v>34</v>
      </c>
      <c r="AK5" s="20">
        <v>88.91</v>
      </c>
      <c r="AL5" s="20">
        <v>8.91</v>
      </c>
      <c r="AM5" s="20">
        <v>34</v>
      </c>
      <c r="AU5" s="20">
        <v>0</v>
      </c>
      <c r="AV5" s="2"/>
    </row>
    <row r="6" spans="1:48" s="20" customFormat="1" ht="17" customHeight="1">
      <c r="A6" s="25"/>
      <c r="B6" s="23"/>
      <c r="C6" s="23"/>
      <c r="D6" s="88"/>
      <c r="E6" s="23"/>
      <c r="F6" s="23"/>
      <c r="G6" s="23"/>
      <c r="H6" s="273"/>
      <c r="I6" s="273"/>
      <c r="L6" s="38"/>
      <c r="M6" s="19"/>
      <c r="N6" s="19"/>
      <c r="O6" s="19"/>
      <c r="P6" s="19"/>
      <c r="Q6" s="19"/>
      <c r="R6" s="19"/>
      <c r="S6" s="19"/>
      <c r="U6" s="24"/>
      <c r="AD6" s="20" t="s">
        <v>75</v>
      </c>
      <c r="AE6" s="20" t="s">
        <v>61</v>
      </c>
      <c r="AF6" s="60" t="s">
        <v>538</v>
      </c>
      <c r="AG6" s="60" t="s">
        <v>694</v>
      </c>
      <c r="AH6" s="20">
        <v>88.86</v>
      </c>
      <c r="AI6" s="20">
        <v>12.3</v>
      </c>
      <c r="AJ6" s="20">
        <v>34</v>
      </c>
      <c r="AK6" s="20">
        <v>91.98</v>
      </c>
      <c r="AL6" s="20">
        <v>9.34</v>
      </c>
      <c r="AM6" s="20">
        <v>34</v>
      </c>
      <c r="AU6" s="20">
        <v>0</v>
      </c>
      <c r="AV6" s="2"/>
    </row>
    <row r="7" spans="1:48" s="20" customFormat="1" ht="17" customHeight="1">
      <c r="A7" s="23"/>
      <c r="B7" s="23"/>
      <c r="C7" s="23"/>
      <c r="D7" s="88"/>
      <c r="E7" s="23"/>
      <c r="F7" s="23"/>
      <c r="G7" s="23"/>
      <c r="H7" s="273"/>
      <c r="I7" s="273"/>
      <c r="J7" s="20">
        <v>3022</v>
      </c>
      <c r="K7" s="20" t="s">
        <v>76</v>
      </c>
      <c r="L7" s="38" t="s">
        <v>77</v>
      </c>
      <c r="M7" s="19">
        <f>(22*9.5+16*10.5)/38</f>
        <v>9.9210526315789469</v>
      </c>
      <c r="N7" s="19">
        <v>1</v>
      </c>
      <c r="O7" s="19" t="s">
        <v>52</v>
      </c>
      <c r="P7" s="19">
        <f>34/38</f>
        <v>0.89473684210526316</v>
      </c>
      <c r="Q7" s="19">
        <f>12/38</f>
        <v>0.31578947368421051</v>
      </c>
      <c r="R7" s="19">
        <f>18/38</f>
        <v>0.47368421052631576</v>
      </c>
      <c r="S7" s="19">
        <f>37/38</f>
        <v>0.97368421052631582</v>
      </c>
      <c r="T7" s="43" t="s">
        <v>69</v>
      </c>
      <c r="U7" s="24" t="s">
        <v>112</v>
      </c>
      <c r="V7" s="20" t="s">
        <v>71</v>
      </c>
      <c r="W7" s="20" t="s">
        <v>56</v>
      </c>
      <c r="X7" s="20" t="s">
        <v>57</v>
      </c>
      <c r="Y7" s="20" t="s">
        <v>72</v>
      </c>
      <c r="Z7" s="20">
        <f>40*40</f>
        <v>1600</v>
      </c>
      <c r="AA7" s="20">
        <v>40</v>
      </c>
      <c r="AB7" s="20">
        <v>40</v>
      </c>
      <c r="AC7" s="20" t="s">
        <v>59</v>
      </c>
      <c r="AD7" s="20" t="s">
        <v>73</v>
      </c>
      <c r="AE7" s="20" t="s">
        <v>61</v>
      </c>
      <c r="AF7" s="60"/>
      <c r="AG7" s="60"/>
      <c r="AH7" s="20">
        <v>86.79</v>
      </c>
      <c r="AI7" s="20">
        <v>6.96</v>
      </c>
      <c r="AJ7" s="20">
        <v>38</v>
      </c>
      <c r="AK7" s="20">
        <v>91.16</v>
      </c>
      <c r="AL7" s="20">
        <v>7.53</v>
      </c>
      <c r="AM7" s="20">
        <v>38</v>
      </c>
      <c r="AU7" s="20">
        <v>0</v>
      </c>
      <c r="AV7" s="2"/>
    </row>
    <row r="8" spans="1:48" s="20" customFormat="1" ht="17" customHeight="1">
      <c r="A8" s="23"/>
      <c r="B8" s="23"/>
      <c r="C8" s="23"/>
      <c r="D8" s="88"/>
      <c r="E8" s="23"/>
      <c r="F8" s="23"/>
      <c r="G8" s="23"/>
      <c r="H8" s="273"/>
      <c r="I8" s="273"/>
      <c r="L8" s="38"/>
      <c r="M8" s="19"/>
      <c r="N8" s="19"/>
      <c r="O8" s="19"/>
      <c r="P8" s="19"/>
      <c r="Q8" s="19"/>
      <c r="R8" s="19"/>
      <c r="S8" s="19"/>
      <c r="U8" s="24"/>
      <c r="AD8" s="20" t="s">
        <v>75</v>
      </c>
      <c r="AE8" s="20" t="s">
        <v>61</v>
      </c>
      <c r="AF8" s="60"/>
      <c r="AG8" s="60"/>
      <c r="AH8" s="20">
        <v>89.3</v>
      </c>
      <c r="AI8" s="20">
        <v>10.49</v>
      </c>
      <c r="AJ8" s="20">
        <v>38</v>
      </c>
      <c r="AK8" s="20">
        <v>91.88</v>
      </c>
      <c r="AL8" s="20">
        <v>6.38</v>
      </c>
      <c r="AM8" s="20">
        <v>38</v>
      </c>
      <c r="AU8" s="20">
        <v>0</v>
      </c>
      <c r="AV8" s="2"/>
    </row>
    <row r="9" spans="1:48" s="20" customFormat="1" ht="17" customHeight="1">
      <c r="A9" s="23"/>
      <c r="B9" s="23"/>
      <c r="C9" s="23"/>
      <c r="D9" s="88"/>
      <c r="E9" s="23"/>
      <c r="F9" s="23"/>
      <c r="G9" s="23"/>
      <c r="H9" s="273"/>
      <c r="I9" s="273"/>
      <c r="J9" s="20">
        <v>3023</v>
      </c>
      <c r="K9" s="20" t="s">
        <v>78</v>
      </c>
      <c r="L9" s="38" t="s">
        <v>77</v>
      </c>
      <c r="M9" s="19">
        <f>(20*9.5+17*10.5)/37</f>
        <v>9.9594594594594597</v>
      </c>
      <c r="N9" s="19">
        <v>1</v>
      </c>
      <c r="O9" s="19" t="s">
        <v>52</v>
      </c>
      <c r="P9" s="19">
        <f>34/37</f>
        <v>0.91891891891891897</v>
      </c>
      <c r="Q9" s="19">
        <f>13/37</f>
        <v>0.35135135135135137</v>
      </c>
      <c r="R9" s="19">
        <f>17/37</f>
        <v>0.45945945945945948</v>
      </c>
      <c r="S9" s="19">
        <f>36/37</f>
        <v>0.97297297297297303</v>
      </c>
      <c r="T9" s="20" t="s">
        <v>78</v>
      </c>
      <c r="U9" s="24" t="s">
        <v>79</v>
      </c>
      <c r="V9" s="20" t="s">
        <v>80</v>
      </c>
      <c r="W9" s="20" t="s">
        <v>78</v>
      </c>
      <c r="X9" s="20" t="s">
        <v>78</v>
      </c>
      <c r="Y9" s="20" t="s">
        <v>78</v>
      </c>
      <c r="Z9" s="20" t="s">
        <v>78</v>
      </c>
      <c r="AA9" s="20" t="s">
        <v>78</v>
      </c>
      <c r="AB9" s="20" t="s">
        <v>78</v>
      </c>
      <c r="AC9" s="20" t="s">
        <v>78</v>
      </c>
      <c r="AD9" s="20" t="s">
        <v>73</v>
      </c>
      <c r="AE9" s="20" t="s">
        <v>61</v>
      </c>
      <c r="AF9" s="60"/>
      <c r="AG9" s="60"/>
      <c r="AH9" s="20">
        <v>87.19</v>
      </c>
      <c r="AI9" s="20">
        <v>6.97</v>
      </c>
      <c r="AJ9" s="20">
        <v>37</v>
      </c>
      <c r="AK9" s="20">
        <v>89.06</v>
      </c>
      <c r="AL9" s="20">
        <v>6.59</v>
      </c>
      <c r="AM9" s="20">
        <v>36</v>
      </c>
      <c r="AU9" s="20">
        <v>0</v>
      </c>
      <c r="AV9" s="2"/>
    </row>
    <row r="10" spans="1:48" s="21" customFormat="1" ht="17" customHeight="1">
      <c r="A10" s="26"/>
      <c r="B10" s="26"/>
      <c r="C10" s="26"/>
      <c r="D10" s="89"/>
      <c r="E10" s="26"/>
      <c r="F10" s="26"/>
      <c r="G10" s="26"/>
      <c r="H10" s="274"/>
      <c r="I10" s="274"/>
      <c r="L10" s="39"/>
      <c r="M10" s="22"/>
      <c r="N10" s="22"/>
      <c r="O10" s="22"/>
      <c r="P10" s="22"/>
      <c r="Q10" s="22"/>
      <c r="R10" s="22"/>
      <c r="S10" s="22"/>
      <c r="U10" s="27"/>
      <c r="AD10" s="21" t="s">
        <v>75</v>
      </c>
      <c r="AE10" s="21" t="s">
        <v>61</v>
      </c>
      <c r="AF10" s="63"/>
      <c r="AG10" s="60"/>
      <c r="AH10" s="21">
        <v>91.31</v>
      </c>
      <c r="AI10" s="21">
        <v>9.9700000000000006</v>
      </c>
      <c r="AJ10" s="21">
        <v>36</v>
      </c>
      <c r="AK10" s="21">
        <v>90.8</v>
      </c>
      <c r="AL10" s="21">
        <v>7.82</v>
      </c>
      <c r="AM10" s="21">
        <v>36</v>
      </c>
      <c r="AU10" s="21">
        <v>0</v>
      </c>
      <c r="AV10" s="28"/>
    </row>
    <row r="11" spans="1:48" ht="17" customHeight="1">
      <c r="A11" s="13" t="s">
        <v>81</v>
      </c>
      <c r="B11" s="13">
        <v>303</v>
      </c>
      <c r="C11" s="13" t="s">
        <v>47</v>
      </c>
      <c r="D11" s="88" t="s">
        <v>692</v>
      </c>
      <c r="E11" s="13" t="s">
        <v>66</v>
      </c>
      <c r="F11" s="13" t="s">
        <v>49</v>
      </c>
      <c r="G11" s="13" t="s">
        <v>50</v>
      </c>
      <c r="J11" s="11">
        <v>3031</v>
      </c>
      <c r="K11" s="11" t="s">
        <v>67</v>
      </c>
      <c r="L11" s="40" t="s">
        <v>83</v>
      </c>
      <c r="M11" s="19">
        <f xml:space="preserve"> (39*8.5+20*9.5)/59</f>
        <v>8.8389830508474585</v>
      </c>
      <c r="N11" s="17">
        <v>1</v>
      </c>
      <c r="O11" s="17" t="s">
        <v>52</v>
      </c>
      <c r="P11" s="44">
        <f>(86.5+51)/2/100</f>
        <v>0.6875</v>
      </c>
      <c r="Q11" s="17" t="s">
        <v>52</v>
      </c>
      <c r="R11" s="17">
        <f>29/59</f>
        <v>0.49152542372881358</v>
      </c>
      <c r="S11" s="19">
        <f>(0.975+0.85)/2</f>
        <v>0.91249999999999998</v>
      </c>
      <c r="T11" s="20" t="s">
        <v>69</v>
      </c>
      <c r="U11" s="12" t="s">
        <v>113</v>
      </c>
      <c r="V11" s="11" t="s">
        <v>71</v>
      </c>
      <c r="W11" s="11" t="s">
        <v>56</v>
      </c>
      <c r="X11" s="11" t="s">
        <v>57</v>
      </c>
      <c r="Y11" s="11" t="s">
        <v>72</v>
      </c>
      <c r="Z11" s="45">
        <f>35*24</f>
        <v>840</v>
      </c>
      <c r="AA11" s="45">
        <v>24</v>
      </c>
      <c r="AB11" s="45">
        <v>35</v>
      </c>
      <c r="AC11" s="11" t="s">
        <v>59</v>
      </c>
      <c r="AD11" s="11" t="s">
        <v>114</v>
      </c>
      <c r="AE11" s="11" t="s">
        <v>61</v>
      </c>
      <c r="AF11" s="60" t="s">
        <v>538</v>
      </c>
      <c r="AG11" s="126" t="s">
        <v>695</v>
      </c>
      <c r="AH11" s="11">
        <v>98.33</v>
      </c>
      <c r="AI11" s="11">
        <v>10.6</v>
      </c>
      <c r="AJ11" s="11">
        <v>18</v>
      </c>
      <c r="AK11" s="11">
        <v>97.17</v>
      </c>
      <c r="AL11" s="11">
        <v>7.9</v>
      </c>
      <c r="AM11" s="11">
        <v>18</v>
      </c>
      <c r="AU11" s="11">
        <v>0</v>
      </c>
      <c r="AV11" s="1" t="s">
        <v>86</v>
      </c>
    </row>
    <row r="12" spans="1:48" ht="17" customHeight="1">
      <c r="A12" s="13"/>
      <c r="B12" s="13"/>
      <c r="C12" s="13"/>
      <c r="E12" s="13"/>
      <c r="F12" s="13"/>
      <c r="G12" s="13"/>
      <c r="J12" s="11">
        <v>3032</v>
      </c>
      <c r="K12" s="11" t="s">
        <v>76</v>
      </c>
      <c r="L12" s="40" t="s">
        <v>83</v>
      </c>
      <c r="M12" s="19">
        <f xml:space="preserve"> (39*8.5+20*9.5)/59</f>
        <v>8.8389830508474585</v>
      </c>
      <c r="N12" s="17">
        <v>1</v>
      </c>
      <c r="O12" s="17" t="s">
        <v>52</v>
      </c>
      <c r="P12" s="44">
        <f>(86.5+51)/2/100</f>
        <v>0.6875</v>
      </c>
      <c r="Q12" s="17" t="s">
        <v>52</v>
      </c>
      <c r="R12" s="17">
        <f>29/59</f>
        <v>0.49152542372881358</v>
      </c>
      <c r="S12" s="19">
        <f>(0.975+0.85)/2</f>
        <v>0.91249999999999998</v>
      </c>
      <c r="T12" s="20" t="s">
        <v>69</v>
      </c>
      <c r="U12" s="12" t="s">
        <v>113</v>
      </c>
      <c r="V12" s="11" t="s">
        <v>71</v>
      </c>
      <c r="W12" s="11" t="s">
        <v>56</v>
      </c>
      <c r="X12" s="11" t="s">
        <v>57</v>
      </c>
      <c r="Y12" s="11" t="s">
        <v>72</v>
      </c>
      <c r="Z12" s="11">
        <f>40*24</f>
        <v>960</v>
      </c>
      <c r="AA12" s="11">
        <v>24</v>
      </c>
      <c r="AB12" s="11">
        <v>40</v>
      </c>
      <c r="AC12" s="11" t="s">
        <v>59</v>
      </c>
      <c r="AD12" s="11" t="s">
        <v>114</v>
      </c>
      <c r="AE12" s="11" t="s">
        <v>61</v>
      </c>
      <c r="AH12" s="11">
        <v>94.89</v>
      </c>
      <c r="AI12" s="11">
        <v>9.64</v>
      </c>
      <c r="AJ12" s="11">
        <v>19</v>
      </c>
      <c r="AK12" s="11">
        <v>100.47</v>
      </c>
      <c r="AL12" s="11">
        <v>9.9700000000000006</v>
      </c>
      <c r="AM12" s="11">
        <v>19</v>
      </c>
      <c r="AU12" s="11">
        <v>0</v>
      </c>
    </row>
    <row r="13" spans="1:48" s="31" customFormat="1" ht="17" customHeight="1">
      <c r="A13" s="30"/>
      <c r="B13" s="30"/>
      <c r="C13" s="30"/>
      <c r="D13" s="89"/>
      <c r="E13" s="30"/>
      <c r="F13" s="30"/>
      <c r="G13" s="30"/>
      <c r="H13" s="276"/>
      <c r="I13" s="276"/>
      <c r="J13" s="31">
        <v>3033</v>
      </c>
      <c r="K13" s="31" t="s">
        <v>78</v>
      </c>
      <c r="L13" s="41" t="s">
        <v>83</v>
      </c>
      <c r="M13" s="22">
        <f xml:space="preserve"> (39*8.5+20*9.5)/59</f>
        <v>8.8389830508474585</v>
      </c>
      <c r="N13" s="32">
        <v>1</v>
      </c>
      <c r="O13" s="32" t="s">
        <v>52</v>
      </c>
      <c r="P13" s="47">
        <f>(86.5+51)/2/100</f>
        <v>0.6875</v>
      </c>
      <c r="Q13" s="32" t="s">
        <v>52</v>
      </c>
      <c r="R13" s="32">
        <f>29/59</f>
        <v>0.49152542372881358</v>
      </c>
      <c r="S13" s="22">
        <f>(0.975+0.85)/2</f>
        <v>0.91249999999999998</v>
      </c>
      <c r="T13" s="31" t="s">
        <v>78</v>
      </c>
      <c r="U13" s="33" t="s">
        <v>115</v>
      </c>
      <c r="V13" s="50" t="s">
        <v>80</v>
      </c>
      <c r="W13" s="31" t="s">
        <v>78</v>
      </c>
      <c r="X13" s="31" t="s">
        <v>78</v>
      </c>
      <c r="Y13" s="31" t="s">
        <v>78</v>
      </c>
      <c r="Z13" s="31" t="s">
        <v>78</v>
      </c>
      <c r="AA13" s="31" t="s">
        <v>78</v>
      </c>
      <c r="AB13" s="21" t="s">
        <v>78</v>
      </c>
      <c r="AC13" s="31" t="s">
        <v>78</v>
      </c>
      <c r="AD13" s="31" t="s">
        <v>114</v>
      </c>
      <c r="AE13" s="31" t="s">
        <v>61</v>
      </c>
      <c r="AF13" s="63"/>
      <c r="AG13" s="63"/>
      <c r="AH13" s="31">
        <v>90.36</v>
      </c>
      <c r="AI13" s="31">
        <v>10.61</v>
      </c>
      <c r="AJ13" s="31">
        <v>22</v>
      </c>
      <c r="AK13" s="31">
        <v>94.91</v>
      </c>
      <c r="AL13" s="31">
        <v>14.33</v>
      </c>
      <c r="AM13" s="31">
        <v>21</v>
      </c>
      <c r="AU13" s="31">
        <v>0</v>
      </c>
      <c r="AV13" s="34"/>
    </row>
    <row r="14" spans="1:48" ht="17" customHeight="1">
      <c r="A14" s="13" t="s">
        <v>89</v>
      </c>
      <c r="B14" s="13">
        <v>304</v>
      </c>
      <c r="C14" s="13" t="s">
        <v>47</v>
      </c>
      <c r="D14" s="88" t="s">
        <v>692</v>
      </c>
      <c r="E14" s="13" t="s">
        <v>66</v>
      </c>
      <c r="F14" s="13" t="s">
        <v>49</v>
      </c>
      <c r="G14" s="13" t="s">
        <v>50</v>
      </c>
      <c r="J14" s="11">
        <v>3041</v>
      </c>
      <c r="K14" s="11" t="s">
        <v>116</v>
      </c>
      <c r="L14" s="40" t="s">
        <v>91</v>
      </c>
      <c r="M14" s="17">
        <v>14.737500000000001</v>
      </c>
      <c r="N14" s="17">
        <v>1</v>
      </c>
      <c r="O14" s="17">
        <v>1</v>
      </c>
      <c r="P14" s="17" t="s">
        <v>52</v>
      </c>
      <c r="Q14" s="17">
        <f>6/20</f>
        <v>0.3</v>
      </c>
      <c r="R14" s="17">
        <f>15/20</f>
        <v>0.75</v>
      </c>
      <c r="S14" s="17">
        <f>15/20</f>
        <v>0.75</v>
      </c>
      <c r="T14" s="11" t="s">
        <v>92</v>
      </c>
      <c r="U14" s="12" t="s">
        <v>117</v>
      </c>
      <c r="V14" s="11" t="s">
        <v>71</v>
      </c>
      <c r="W14" s="11" t="s">
        <v>56</v>
      </c>
      <c r="X14" s="43" t="s">
        <v>57</v>
      </c>
      <c r="Y14" s="45" t="s">
        <v>72</v>
      </c>
      <c r="Z14" s="11">
        <v>360</v>
      </c>
      <c r="AA14" s="11">
        <v>12</v>
      </c>
      <c r="AB14" s="11">
        <v>30</v>
      </c>
      <c r="AC14" s="11" t="s">
        <v>59</v>
      </c>
      <c r="AD14" s="11" t="s">
        <v>118</v>
      </c>
      <c r="AE14" s="11" t="s">
        <v>95</v>
      </c>
      <c r="AF14" s="60" t="s">
        <v>461</v>
      </c>
      <c r="AG14" s="60" t="s">
        <v>52</v>
      </c>
      <c r="AH14" s="11">
        <v>3.8</v>
      </c>
      <c r="AI14" s="11">
        <v>1.28</v>
      </c>
      <c r="AJ14" s="11">
        <v>20</v>
      </c>
      <c r="AK14" s="11">
        <v>7.5</v>
      </c>
      <c r="AL14" s="11">
        <v>2.1800000000000002</v>
      </c>
      <c r="AM14" s="11">
        <v>20</v>
      </c>
      <c r="AU14" s="11">
        <v>1</v>
      </c>
      <c r="AV14" s="1" t="s">
        <v>97</v>
      </c>
    </row>
    <row r="15" spans="1:48" ht="17" customHeight="1">
      <c r="A15" s="13"/>
      <c r="B15" s="13"/>
      <c r="C15" s="13"/>
      <c r="E15" s="13"/>
      <c r="F15" s="13"/>
      <c r="G15" s="13"/>
      <c r="L15" s="40"/>
      <c r="AD15" s="11" t="s">
        <v>119</v>
      </c>
      <c r="AE15" s="11" t="s">
        <v>95</v>
      </c>
      <c r="AF15" s="60" t="s">
        <v>461</v>
      </c>
      <c r="AG15" s="60" t="s">
        <v>52</v>
      </c>
      <c r="AH15" s="11">
        <v>6.55</v>
      </c>
      <c r="AI15" s="11">
        <v>2.2799999999999998</v>
      </c>
      <c r="AJ15" s="11">
        <v>20</v>
      </c>
      <c r="AK15" s="11">
        <v>8.9499999999999993</v>
      </c>
      <c r="AL15" s="11">
        <v>3.49</v>
      </c>
      <c r="AM15" s="11">
        <v>20</v>
      </c>
      <c r="AU15" s="11">
        <v>1</v>
      </c>
    </row>
    <row r="16" spans="1:48" ht="17" customHeight="1">
      <c r="A16" s="13"/>
      <c r="B16" s="13"/>
      <c r="C16" s="13"/>
      <c r="E16" s="13"/>
      <c r="F16" s="13"/>
      <c r="G16" s="13"/>
      <c r="J16" s="11">
        <v>3042</v>
      </c>
      <c r="K16" s="11" t="s">
        <v>99</v>
      </c>
      <c r="L16" s="40" t="s">
        <v>91</v>
      </c>
      <c r="M16" s="17">
        <v>14.737500000000001</v>
      </c>
      <c r="N16" s="17">
        <v>1</v>
      </c>
      <c r="O16" s="17">
        <v>1</v>
      </c>
      <c r="P16" s="17" t="s">
        <v>52</v>
      </c>
      <c r="Q16" s="17">
        <f>8/19</f>
        <v>0.42105263157894735</v>
      </c>
      <c r="R16" s="17">
        <f>11/19</f>
        <v>0.57894736842105265</v>
      </c>
      <c r="S16" s="17">
        <f>18/19</f>
        <v>0.94736842105263153</v>
      </c>
      <c r="T16" s="11" t="s">
        <v>92</v>
      </c>
      <c r="U16" s="12" t="s">
        <v>120</v>
      </c>
      <c r="V16" s="11" t="s">
        <v>71</v>
      </c>
      <c r="W16" s="11" t="s">
        <v>56</v>
      </c>
      <c r="X16" s="43" t="s">
        <v>57</v>
      </c>
      <c r="Y16" s="11" t="s">
        <v>58</v>
      </c>
      <c r="Z16" s="11">
        <v>360</v>
      </c>
      <c r="AA16" s="11">
        <v>12</v>
      </c>
      <c r="AB16" s="11">
        <v>30</v>
      </c>
      <c r="AC16" s="11" t="s">
        <v>59</v>
      </c>
      <c r="AD16" s="11" t="s">
        <v>118</v>
      </c>
      <c r="AE16" s="11" t="s">
        <v>95</v>
      </c>
      <c r="AH16" s="11">
        <v>3.61</v>
      </c>
      <c r="AI16" s="11">
        <v>1.72</v>
      </c>
      <c r="AJ16" s="11">
        <v>19</v>
      </c>
      <c r="AK16" s="11">
        <v>6.4</v>
      </c>
      <c r="AL16" s="11">
        <v>1.81</v>
      </c>
      <c r="AM16" s="11">
        <v>19</v>
      </c>
      <c r="AU16" s="11">
        <v>1</v>
      </c>
    </row>
    <row r="17" spans="1:48" ht="17" customHeight="1">
      <c r="A17" s="13"/>
      <c r="B17" s="13"/>
      <c r="C17" s="13"/>
      <c r="E17" s="13"/>
      <c r="F17" s="13"/>
      <c r="G17" s="13"/>
      <c r="L17" s="40"/>
      <c r="AD17" s="11" t="s">
        <v>119</v>
      </c>
      <c r="AE17" s="11" t="s">
        <v>95</v>
      </c>
      <c r="AH17" s="11">
        <v>5.89</v>
      </c>
      <c r="AI17" s="11">
        <v>2.16</v>
      </c>
      <c r="AJ17" s="11">
        <v>19</v>
      </c>
      <c r="AK17" s="11">
        <v>7.84</v>
      </c>
      <c r="AL17" s="11">
        <v>3.83</v>
      </c>
      <c r="AM17" s="11">
        <v>19</v>
      </c>
      <c r="AU17" s="11">
        <v>1</v>
      </c>
    </row>
    <row r="18" spans="1:48" ht="17" customHeight="1">
      <c r="A18" s="13"/>
      <c r="B18" s="13"/>
      <c r="C18" s="13"/>
      <c r="E18" s="13"/>
      <c r="F18" s="13"/>
      <c r="G18" s="13"/>
      <c r="J18" s="11">
        <v>3043</v>
      </c>
      <c r="K18" s="11" t="s">
        <v>100</v>
      </c>
      <c r="L18" s="40" t="s">
        <v>91</v>
      </c>
      <c r="M18" s="17">
        <v>14.737500000000001</v>
      </c>
      <c r="N18" s="17">
        <v>1</v>
      </c>
      <c r="O18" s="17">
        <v>1</v>
      </c>
      <c r="P18" s="17" t="s">
        <v>52</v>
      </c>
      <c r="Q18" s="17">
        <f>9/20</f>
        <v>0.45</v>
      </c>
      <c r="R18" s="17">
        <f>14/20</f>
        <v>0.7</v>
      </c>
      <c r="S18" s="17">
        <f>19/20</f>
        <v>0.95</v>
      </c>
      <c r="T18" s="43" t="s">
        <v>53</v>
      </c>
      <c r="U18" s="51" t="s">
        <v>121</v>
      </c>
      <c r="V18" s="43" t="s">
        <v>55</v>
      </c>
      <c r="W18" s="43" t="s">
        <v>56</v>
      </c>
      <c r="X18" s="43" t="s">
        <v>57</v>
      </c>
      <c r="Y18" s="11" t="s">
        <v>58</v>
      </c>
      <c r="Z18" s="11">
        <v>360</v>
      </c>
      <c r="AA18" s="11">
        <v>12</v>
      </c>
      <c r="AB18" s="11">
        <v>30</v>
      </c>
      <c r="AC18" s="11" t="s">
        <v>59</v>
      </c>
      <c r="AD18" s="11" t="s">
        <v>118</v>
      </c>
      <c r="AE18" s="11" t="s">
        <v>95</v>
      </c>
      <c r="AH18" s="11">
        <v>3.95</v>
      </c>
      <c r="AI18" s="11">
        <v>1.46</v>
      </c>
      <c r="AJ18" s="11">
        <v>20</v>
      </c>
      <c r="AK18" s="11">
        <v>4.83</v>
      </c>
      <c r="AL18" s="11">
        <v>1.52</v>
      </c>
      <c r="AM18" s="11">
        <v>20</v>
      </c>
      <c r="AU18" s="11">
        <v>1</v>
      </c>
    </row>
    <row r="19" spans="1:48" s="31" customFormat="1" ht="17" customHeight="1">
      <c r="A19" s="30"/>
      <c r="B19" s="30"/>
      <c r="C19" s="30"/>
      <c r="D19" s="89"/>
      <c r="E19" s="30"/>
      <c r="F19" s="30"/>
      <c r="G19" s="30"/>
      <c r="H19" s="276"/>
      <c r="I19" s="276"/>
      <c r="L19" s="41"/>
      <c r="M19" s="32"/>
      <c r="N19" s="32"/>
      <c r="O19" s="32"/>
      <c r="P19" s="32"/>
      <c r="Q19" s="32"/>
      <c r="R19" s="32"/>
      <c r="S19" s="32"/>
      <c r="U19" s="33"/>
      <c r="AD19" s="31" t="s">
        <v>119</v>
      </c>
      <c r="AE19" s="31" t="s">
        <v>95</v>
      </c>
      <c r="AF19" s="60"/>
      <c r="AG19" s="60"/>
      <c r="AH19" s="31">
        <v>5.8</v>
      </c>
      <c r="AI19" s="31">
        <v>2.34</v>
      </c>
      <c r="AJ19" s="31">
        <v>20</v>
      </c>
      <c r="AK19" s="31">
        <v>8.4499999999999993</v>
      </c>
      <c r="AL19" s="31">
        <v>3.83</v>
      </c>
      <c r="AM19" s="31">
        <v>20</v>
      </c>
      <c r="AU19" s="31">
        <v>1</v>
      </c>
      <c r="AV19" s="34"/>
    </row>
    <row r="20" spans="1:48" ht="17" customHeight="1">
      <c r="A20" s="13" t="s">
        <v>103</v>
      </c>
      <c r="B20" s="13">
        <v>305</v>
      </c>
      <c r="C20" s="13" t="s">
        <v>47</v>
      </c>
      <c r="D20" s="88" t="s">
        <v>692</v>
      </c>
      <c r="E20" s="13" t="s">
        <v>66</v>
      </c>
      <c r="F20" s="13" t="s">
        <v>49</v>
      </c>
      <c r="G20" s="13" t="s">
        <v>50</v>
      </c>
      <c r="J20" s="11">
        <v>3051</v>
      </c>
      <c r="K20" s="11" t="s">
        <v>122</v>
      </c>
      <c r="L20" s="40" t="s">
        <v>68</v>
      </c>
      <c r="M20" s="19">
        <v>11.2</v>
      </c>
      <c r="N20" s="19">
        <v>1</v>
      </c>
      <c r="O20" s="19" t="s">
        <v>52</v>
      </c>
      <c r="P20" s="19">
        <v>0.85</v>
      </c>
      <c r="Q20" s="44">
        <f>21/33</f>
        <v>0.63636363636363635</v>
      </c>
      <c r="R20" s="17">
        <f>15/33</f>
        <v>0.45454545454545453</v>
      </c>
      <c r="S20" s="17">
        <f>1-0.12</f>
        <v>0.88</v>
      </c>
      <c r="T20" s="11" t="s">
        <v>92</v>
      </c>
      <c r="U20" s="12" t="s">
        <v>123</v>
      </c>
      <c r="V20" s="11" t="s">
        <v>71</v>
      </c>
      <c r="W20" s="11" t="s">
        <v>56</v>
      </c>
      <c r="X20" s="11" t="s">
        <v>57</v>
      </c>
      <c r="Y20" s="45" t="s">
        <v>72</v>
      </c>
      <c r="Z20" s="11">
        <f>35*15</f>
        <v>525</v>
      </c>
      <c r="AA20" s="11">
        <v>15</v>
      </c>
      <c r="AB20" s="11">
        <v>35</v>
      </c>
      <c r="AC20" s="43" t="s">
        <v>59</v>
      </c>
      <c r="AD20" s="11" t="s">
        <v>124</v>
      </c>
      <c r="AE20" s="43" t="s">
        <v>95</v>
      </c>
      <c r="AF20" s="126" t="s">
        <v>461</v>
      </c>
      <c r="AG20" s="126" t="s">
        <v>545</v>
      </c>
      <c r="AH20" s="11">
        <v>7.8</v>
      </c>
      <c r="AI20" s="11">
        <v>2.5</v>
      </c>
      <c r="AJ20" s="11">
        <v>11</v>
      </c>
      <c r="AK20" s="11">
        <v>12.5</v>
      </c>
      <c r="AL20" s="11">
        <v>3.7</v>
      </c>
      <c r="AM20" s="11">
        <v>11</v>
      </c>
      <c r="AU20" s="11">
        <v>0</v>
      </c>
      <c r="AV20" s="1" t="s">
        <v>108</v>
      </c>
    </row>
    <row r="21" spans="1:48" ht="17" customHeight="1">
      <c r="A21" s="13"/>
      <c r="B21" s="13"/>
      <c r="C21" s="13"/>
      <c r="E21" s="13"/>
      <c r="F21" s="13"/>
      <c r="G21" s="13"/>
      <c r="J21" s="11">
        <v>3052</v>
      </c>
      <c r="K21" s="11" t="s">
        <v>125</v>
      </c>
      <c r="L21" s="40" t="s">
        <v>68</v>
      </c>
      <c r="M21" s="19">
        <v>11.2</v>
      </c>
      <c r="N21" s="19">
        <v>1</v>
      </c>
      <c r="O21" s="19" t="s">
        <v>52</v>
      </c>
      <c r="P21" s="19">
        <v>0.85</v>
      </c>
      <c r="Q21" s="44">
        <f>21/33</f>
        <v>0.63636363636363635</v>
      </c>
      <c r="R21" s="17">
        <f>15/33</f>
        <v>0.45454545454545453</v>
      </c>
      <c r="S21" s="17">
        <f>1-0.12</f>
        <v>0.88</v>
      </c>
      <c r="T21" s="11" t="s">
        <v>92</v>
      </c>
      <c r="U21" s="12" t="s">
        <v>123</v>
      </c>
      <c r="V21" s="11" t="s">
        <v>71</v>
      </c>
      <c r="W21" s="11" t="s">
        <v>56</v>
      </c>
      <c r="X21" s="11" t="s">
        <v>57</v>
      </c>
      <c r="Y21" s="45" t="s">
        <v>72</v>
      </c>
      <c r="Z21" s="11">
        <f>35*15</f>
        <v>525</v>
      </c>
      <c r="AA21" s="11">
        <v>15</v>
      </c>
      <c r="AB21" s="11">
        <v>35</v>
      </c>
      <c r="AC21" s="43" t="s">
        <v>59</v>
      </c>
      <c r="AD21" s="11" t="s">
        <v>124</v>
      </c>
      <c r="AE21" s="43" t="s">
        <v>95</v>
      </c>
      <c r="AH21" s="11">
        <v>7.8</v>
      </c>
      <c r="AI21" s="11">
        <v>1.9</v>
      </c>
      <c r="AJ21" s="11">
        <v>11</v>
      </c>
      <c r="AK21" s="11">
        <v>11.5</v>
      </c>
      <c r="AL21" s="11">
        <v>3.4</v>
      </c>
      <c r="AM21" s="11">
        <v>11</v>
      </c>
      <c r="AU21" s="11">
        <v>0</v>
      </c>
    </row>
    <row r="22" spans="1:48" s="31" customFormat="1" ht="17" customHeight="1">
      <c r="A22" s="30"/>
      <c r="B22" s="30"/>
      <c r="C22" s="30"/>
      <c r="D22" s="89"/>
      <c r="E22" s="30"/>
      <c r="F22" s="30"/>
      <c r="G22" s="30"/>
      <c r="H22" s="276"/>
      <c r="I22" s="276"/>
      <c r="J22" s="31">
        <v>3053</v>
      </c>
      <c r="K22" s="31" t="s">
        <v>126</v>
      </c>
      <c r="L22" s="41" t="s">
        <v>68</v>
      </c>
      <c r="M22" s="22">
        <v>11.2</v>
      </c>
      <c r="N22" s="22">
        <v>1</v>
      </c>
      <c r="O22" s="22" t="s">
        <v>52</v>
      </c>
      <c r="P22" s="22">
        <v>0.85</v>
      </c>
      <c r="Q22" s="47">
        <f>21/33</f>
        <v>0.63636363636363635</v>
      </c>
      <c r="R22" s="32">
        <f>15/33</f>
        <v>0.45454545454545453</v>
      </c>
      <c r="S22" s="32">
        <f>1-0.12</f>
        <v>0.88</v>
      </c>
      <c r="T22" s="31" t="s">
        <v>92</v>
      </c>
      <c r="U22" s="33" t="s">
        <v>123</v>
      </c>
      <c r="V22" s="31" t="s">
        <v>71</v>
      </c>
      <c r="W22" s="31" t="s">
        <v>56</v>
      </c>
      <c r="X22" s="31" t="s">
        <v>57</v>
      </c>
      <c r="Y22" s="50" t="s">
        <v>72</v>
      </c>
      <c r="Z22" s="31">
        <f>35*15</f>
        <v>525</v>
      </c>
      <c r="AA22" s="31">
        <v>15</v>
      </c>
      <c r="AB22" s="31">
        <v>35</v>
      </c>
      <c r="AC22" s="49" t="s">
        <v>59</v>
      </c>
      <c r="AD22" s="31" t="s">
        <v>124</v>
      </c>
      <c r="AE22" s="49" t="s">
        <v>95</v>
      </c>
      <c r="AF22" s="63"/>
      <c r="AG22" s="63"/>
      <c r="AH22" s="31">
        <v>7.6</v>
      </c>
      <c r="AI22" s="31">
        <v>2.9</v>
      </c>
      <c r="AJ22" s="31">
        <v>11</v>
      </c>
      <c r="AK22" s="31">
        <v>8.5</v>
      </c>
      <c r="AL22" s="31">
        <v>2.2000000000000002</v>
      </c>
      <c r="AM22" s="31">
        <v>11</v>
      </c>
      <c r="AU22" s="31">
        <v>0</v>
      </c>
      <c r="AV22" s="34"/>
    </row>
    <row r="23" spans="1:48" ht="17" customHeight="1">
      <c r="A23" s="13" t="s">
        <v>145</v>
      </c>
      <c r="B23" s="13">
        <v>306</v>
      </c>
      <c r="C23" s="13" t="s">
        <v>47</v>
      </c>
      <c r="D23" s="88" t="s">
        <v>692</v>
      </c>
      <c r="E23" s="13" t="s">
        <v>66</v>
      </c>
      <c r="F23" s="13" t="s">
        <v>49</v>
      </c>
      <c r="G23" s="13" t="s">
        <v>50</v>
      </c>
      <c r="J23" s="11">
        <v>3061</v>
      </c>
      <c r="K23" s="11" t="s">
        <v>125</v>
      </c>
      <c r="L23" s="40" t="s">
        <v>146</v>
      </c>
      <c r="M23" s="17">
        <v>11.3</v>
      </c>
      <c r="N23" s="17">
        <v>1</v>
      </c>
      <c r="O23" s="17" t="s">
        <v>52</v>
      </c>
      <c r="P23" s="17">
        <v>0.85</v>
      </c>
      <c r="Q23" s="17">
        <v>0.53</v>
      </c>
      <c r="R23" s="17">
        <f>16/30</f>
        <v>0.53333333333333333</v>
      </c>
      <c r="S23" s="17">
        <f>1-0.18</f>
        <v>0.82000000000000006</v>
      </c>
      <c r="T23" s="11" t="s">
        <v>92</v>
      </c>
      <c r="U23" s="12" t="s">
        <v>184</v>
      </c>
      <c r="V23" s="11" t="s">
        <v>71</v>
      </c>
      <c r="W23" s="11" t="s">
        <v>56</v>
      </c>
      <c r="X23" s="45" t="s">
        <v>57</v>
      </c>
      <c r="Y23" s="11" t="s">
        <v>72</v>
      </c>
      <c r="Z23" s="11">
        <f>35*15</f>
        <v>525</v>
      </c>
      <c r="AA23" s="11">
        <v>15</v>
      </c>
      <c r="AB23" s="11">
        <v>35</v>
      </c>
      <c r="AC23" s="11" t="s">
        <v>59</v>
      </c>
      <c r="AD23" s="11" t="s">
        <v>124</v>
      </c>
      <c r="AE23" s="43" t="s">
        <v>95</v>
      </c>
      <c r="AF23" s="60" t="s">
        <v>461</v>
      </c>
      <c r="AG23" s="126" t="s">
        <v>545</v>
      </c>
      <c r="AH23" s="11">
        <v>6.9</v>
      </c>
      <c r="AI23" s="11">
        <v>2.7</v>
      </c>
      <c r="AJ23" s="11">
        <v>10</v>
      </c>
      <c r="AK23" s="11">
        <v>8</v>
      </c>
      <c r="AL23" s="11">
        <v>2.7</v>
      </c>
      <c r="AM23" s="11">
        <v>10</v>
      </c>
      <c r="AU23" s="11">
        <v>0</v>
      </c>
      <c r="AV23" s="1" t="s">
        <v>97</v>
      </c>
    </row>
    <row r="24" spans="1:48" ht="17" customHeight="1">
      <c r="A24" s="13"/>
      <c r="B24" s="13"/>
      <c r="C24" s="13"/>
      <c r="E24" s="13"/>
      <c r="F24" s="13"/>
      <c r="G24" s="13"/>
      <c r="J24" s="11">
        <v>3062</v>
      </c>
      <c r="K24" s="11" t="s">
        <v>122</v>
      </c>
      <c r="L24" s="40" t="s">
        <v>146</v>
      </c>
      <c r="M24" s="17">
        <v>11.3</v>
      </c>
      <c r="N24" s="17">
        <v>1</v>
      </c>
      <c r="O24" s="17" t="s">
        <v>52</v>
      </c>
      <c r="P24" s="17">
        <v>0.85</v>
      </c>
      <c r="Q24" s="17">
        <v>0.53</v>
      </c>
      <c r="R24" s="17">
        <f>16/30</f>
        <v>0.53333333333333333</v>
      </c>
      <c r="S24" s="17">
        <f t="shared" ref="S24:S25" si="0">1-0.18</f>
        <v>0.82000000000000006</v>
      </c>
      <c r="T24" s="11" t="s">
        <v>92</v>
      </c>
      <c r="U24" s="12" t="s">
        <v>185</v>
      </c>
      <c r="V24" s="11" t="s">
        <v>71</v>
      </c>
      <c r="W24" s="11" t="s">
        <v>56</v>
      </c>
      <c r="X24" s="45" t="s">
        <v>57</v>
      </c>
      <c r="Y24" s="11" t="s">
        <v>72</v>
      </c>
      <c r="Z24" s="11">
        <f t="shared" ref="Z24:Z25" si="1">35*15</f>
        <v>525</v>
      </c>
      <c r="AA24" s="11">
        <v>15</v>
      </c>
      <c r="AB24" s="11">
        <v>35</v>
      </c>
      <c r="AC24" s="11" t="s">
        <v>59</v>
      </c>
      <c r="AD24" s="11" t="s">
        <v>124</v>
      </c>
      <c r="AE24" s="43" t="s">
        <v>95</v>
      </c>
      <c r="AH24" s="11">
        <v>6.5</v>
      </c>
      <c r="AI24" s="11">
        <v>2.4</v>
      </c>
      <c r="AJ24" s="11">
        <v>10</v>
      </c>
      <c r="AK24" s="11">
        <v>8.6999999999999993</v>
      </c>
      <c r="AL24" s="11">
        <v>2.2000000000000002</v>
      </c>
      <c r="AM24" s="11">
        <v>10</v>
      </c>
      <c r="AU24" s="11">
        <v>0</v>
      </c>
    </row>
    <row r="25" spans="1:48" s="31" customFormat="1" ht="17.5" customHeight="1">
      <c r="A25" s="30"/>
      <c r="B25" s="30"/>
      <c r="C25" s="30"/>
      <c r="D25" s="89"/>
      <c r="E25" s="30"/>
      <c r="F25" s="30"/>
      <c r="G25" s="30"/>
      <c r="H25" s="276"/>
      <c r="I25" s="276"/>
      <c r="J25" s="31">
        <v>3063</v>
      </c>
      <c r="K25" s="31" t="s">
        <v>186</v>
      </c>
      <c r="L25" s="41" t="s">
        <v>146</v>
      </c>
      <c r="M25" s="32">
        <v>11.3</v>
      </c>
      <c r="N25" s="32">
        <v>1</v>
      </c>
      <c r="O25" s="32" t="s">
        <v>52</v>
      </c>
      <c r="P25" s="32">
        <v>0.85</v>
      </c>
      <c r="Q25" s="32">
        <v>0.53</v>
      </c>
      <c r="R25" s="32">
        <f>16/30</f>
        <v>0.53333333333333333</v>
      </c>
      <c r="S25" s="32">
        <f t="shared" si="0"/>
        <v>0.82000000000000006</v>
      </c>
      <c r="T25" s="31" t="s">
        <v>92</v>
      </c>
      <c r="U25" s="33" t="s">
        <v>187</v>
      </c>
      <c r="V25" s="31" t="s">
        <v>71</v>
      </c>
      <c r="W25" s="31" t="s">
        <v>56</v>
      </c>
      <c r="X25" s="50" t="s">
        <v>57</v>
      </c>
      <c r="Y25" s="31" t="s">
        <v>72</v>
      </c>
      <c r="Z25" s="31">
        <f t="shared" si="1"/>
        <v>525</v>
      </c>
      <c r="AA25" s="31">
        <v>15</v>
      </c>
      <c r="AB25" s="31">
        <v>35</v>
      </c>
      <c r="AC25" s="31" t="s">
        <v>59</v>
      </c>
      <c r="AD25" s="31" t="s">
        <v>124</v>
      </c>
      <c r="AE25" s="49" t="s">
        <v>95</v>
      </c>
      <c r="AF25" s="60"/>
      <c r="AG25" s="60"/>
      <c r="AH25" s="31">
        <v>6.1</v>
      </c>
      <c r="AI25" s="31">
        <v>1.9</v>
      </c>
      <c r="AJ25" s="31">
        <v>10</v>
      </c>
      <c r="AK25" s="31">
        <v>11.6</v>
      </c>
      <c r="AL25" s="31">
        <v>2.7</v>
      </c>
      <c r="AM25" s="31">
        <v>10</v>
      </c>
      <c r="AU25" s="31">
        <v>0</v>
      </c>
      <c r="AV25" s="34"/>
    </row>
    <row r="26" spans="1:48" ht="17" customHeight="1">
      <c r="A26" s="13" t="s">
        <v>150</v>
      </c>
      <c r="B26" s="13">
        <v>307</v>
      </c>
      <c r="C26" s="13" t="s">
        <v>47</v>
      </c>
      <c r="D26" s="88" t="s">
        <v>692</v>
      </c>
      <c r="E26" s="13" t="s">
        <v>66</v>
      </c>
      <c r="F26" s="13" t="s">
        <v>49</v>
      </c>
      <c r="G26" s="13" t="s">
        <v>50</v>
      </c>
      <c r="J26" s="11">
        <v>3071</v>
      </c>
      <c r="K26" s="11" t="s">
        <v>188</v>
      </c>
      <c r="L26" s="75" t="s">
        <v>68</v>
      </c>
      <c r="M26" s="17">
        <f>(10+14)/2</f>
        <v>12</v>
      </c>
      <c r="N26" s="17">
        <v>1</v>
      </c>
      <c r="O26" s="17">
        <v>1</v>
      </c>
      <c r="P26" s="17" t="s">
        <v>52</v>
      </c>
      <c r="Q26" s="17" t="s">
        <v>52</v>
      </c>
      <c r="R26" s="17">
        <f>49/75</f>
        <v>0.65333333333333332</v>
      </c>
      <c r="S26" s="17">
        <v>0.1</v>
      </c>
      <c r="T26" s="11" t="s">
        <v>92</v>
      </c>
      <c r="U26" s="12" t="s">
        <v>189</v>
      </c>
      <c r="V26" s="11" t="s">
        <v>71</v>
      </c>
      <c r="W26" s="11" t="s">
        <v>153</v>
      </c>
      <c r="X26" s="61" t="s">
        <v>57</v>
      </c>
      <c r="Y26" s="11" t="s">
        <v>72</v>
      </c>
      <c r="Z26" s="11" t="s">
        <v>52</v>
      </c>
      <c r="AA26" s="11" t="s">
        <v>52</v>
      </c>
      <c r="AB26" s="11" t="s">
        <v>52</v>
      </c>
      <c r="AC26" s="11" t="s">
        <v>148</v>
      </c>
      <c r="AD26" s="11" t="s">
        <v>190</v>
      </c>
      <c r="AE26" s="11" t="s">
        <v>95</v>
      </c>
      <c r="AF26" s="126" t="s">
        <v>461</v>
      </c>
      <c r="AG26" s="126" t="s">
        <v>52</v>
      </c>
      <c r="AH26" s="43">
        <v>5.67</v>
      </c>
      <c r="AI26" s="11">
        <v>3.9</v>
      </c>
      <c r="AJ26" s="11">
        <v>17</v>
      </c>
      <c r="AK26" s="11">
        <v>12.72</v>
      </c>
      <c r="AL26" s="11">
        <v>5.18</v>
      </c>
      <c r="AM26" s="11">
        <v>17</v>
      </c>
      <c r="AU26" s="11">
        <v>0</v>
      </c>
      <c r="AV26" s="1" t="s">
        <v>226</v>
      </c>
    </row>
    <row r="27" spans="1:48" ht="17" customHeight="1">
      <c r="A27" s="13"/>
      <c r="B27" s="13"/>
      <c r="C27" s="13"/>
      <c r="E27" s="13"/>
      <c r="F27" s="13"/>
      <c r="G27" s="13"/>
      <c r="L27" s="40"/>
      <c r="AD27" s="11" t="s">
        <v>191</v>
      </c>
      <c r="AE27" s="11" t="s">
        <v>95</v>
      </c>
      <c r="AH27" s="11">
        <v>5.67</v>
      </c>
      <c r="AI27" s="11">
        <v>3.9</v>
      </c>
      <c r="AJ27" s="11">
        <v>17</v>
      </c>
      <c r="AK27" s="11">
        <v>13.44</v>
      </c>
      <c r="AL27" s="11">
        <v>4.91</v>
      </c>
      <c r="AM27" s="11">
        <v>17</v>
      </c>
      <c r="AU27" s="11">
        <v>0</v>
      </c>
    </row>
    <row r="28" spans="1:48" ht="17" customHeight="1">
      <c r="A28" s="13"/>
      <c r="B28" s="13"/>
      <c r="C28" s="13"/>
      <c r="E28" s="13"/>
      <c r="F28" s="13"/>
      <c r="G28" s="13"/>
      <c r="J28" s="11">
        <v>3072</v>
      </c>
      <c r="K28" s="11" t="s">
        <v>192</v>
      </c>
      <c r="L28" s="75" t="s">
        <v>68</v>
      </c>
      <c r="M28" s="17">
        <f t="shared" ref="M28:M32" si="2">(10+14)/2</f>
        <v>12</v>
      </c>
      <c r="N28" s="17">
        <v>1</v>
      </c>
      <c r="O28" s="17">
        <v>1</v>
      </c>
      <c r="P28" s="17" t="s">
        <v>52</v>
      </c>
      <c r="Q28" s="17" t="s">
        <v>52</v>
      </c>
      <c r="R28" s="17">
        <f t="shared" ref="R28:R32" si="3">49/75</f>
        <v>0.65333333333333332</v>
      </c>
      <c r="S28" s="17">
        <v>0.1</v>
      </c>
      <c r="T28" s="11" t="s">
        <v>92</v>
      </c>
      <c r="U28" s="12" t="s">
        <v>193</v>
      </c>
      <c r="V28" s="11" t="s">
        <v>71</v>
      </c>
      <c r="W28" s="11" t="s">
        <v>153</v>
      </c>
      <c r="X28" s="61" t="s">
        <v>57</v>
      </c>
      <c r="Y28" s="11" t="s">
        <v>72</v>
      </c>
      <c r="Z28" s="11" t="s">
        <v>52</v>
      </c>
      <c r="AA28" s="11" t="s">
        <v>52</v>
      </c>
      <c r="AB28" s="11" t="s">
        <v>52</v>
      </c>
      <c r="AC28" s="11" t="s">
        <v>148</v>
      </c>
      <c r="AD28" s="11" t="s">
        <v>190</v>
      </c>
      <c r="AE28" s="11" t="s">
        <v>95</v>
      </c>
      <c r="AH28" s="11">
        <v>6.81</v>
      </c>
      <c r="AI28" s="11">
        <v>4.8099999999999996</v>
      </c>
      <c r="AJ28" s="11">
        <v>16</v>
      </c>
      <c r="AK28" s="11">
        <v>11.41</v>
      </c>
      <c r="AL28" s="11">
        <v>6.61</v>
      </c>
      <c r="AM28" s="11">
        <v>16</v>
      </c>
      <c r="AU28" s="11">
        <v>0</v>
      </c>
    </row>
    <row r="29" spans="1:48" ht="17" customHeight="1">
      <c r="A29" s="13"/>
      <c r="B29" s="13"/>
      <c r="C29" s="13"/>
      <c r="E29" s="13"/>
      <c r="F29" s="13"/>
      <c r="G29" s="13"/>
      <c r="L29" s="40"/>
      <c r="AD29" s="11" t="s">
        <v>191</v>
      </c>
      <c r="AE29" s="11" t="s">
        <v>95</v>
      </c>
      <c r="AH29" s="11">
        <v>6.81</v>
      </c>
      <c r="AI29" s="11">
        <v>4.8099999999999996</v>
      </c>
      <c r="AJ29" s="11">
        <v>16</v>
      </c>
      <c r="AK29" s="11">
        <v>11.56</v>
      </c>
      <c r="AL29" s="11">
        <v>6.55</v>
      </c>
      <c r="AM29" s="11">
        <v>16</v>
      </c>
      <c r="AU29" s="11">
        <v>0</v>
      </c>
    </row>
    <row r="30" spans="1:48" ht="17" customHeight="1">
      <c r="A30" s="13"/>
      <c r="B30" s="13"/>
      <c r="C30" s="13"/>
      <c r="E30" s="13"/>
      <c r="F30" s="13"/>
      <c r="G30" s="13"/>
      <c r="J30" s="11">
        <v>3073</v>
      </c>
      <c r="K30" s="11" t="s">
        <v>194</v>
      </c>
      <c r="L30" s="75" t="s">
        <v>68</v>
      </c>
      <c r="M30" s="17">
        <f t="shared" si="2"/>
        <v>12</v>
      </c>
      <c r="N30" s="17">
        <v>1</v>
      </c>
      <c r="O30" s="17">
        <v>1</v>
      </c>
      <c r="P30" s="17" t="s">
        <v>52</v>
      </c>
      <c r="Q30" s="17" t="s">
        <v>52</v>
      </c>
      <c r="R30" s="17">
        <f t="shared" si="3"/>
        <v>0.65333333333333332</v>
      </c>
      <c r="S30" s="17">
        <v>0.1</v>
      </c>
      <c r="T30" s="11" t="s">
        <v>92</v>
      </c>
      <c r="U30" s="12" t="s">
        <v>195</v>
      </c>
      <c r="V30" s="11" t="s">
        <v>71</v>
      </c>
      <c r="W30" s="11" t="s">
        <v>153</v>
      </c>
      <c r="X30" s="61" t="s">
        <v>57</v>
      </c>
      <c r="Y30" s="11" t="s">
        <v>72</v>
      </c>
      <c r="Z30" s="11" t="s">
        <v>52</v>
      </c>
      <c r="AA30" s="11" t="s">
        <v>52</v>
      </c>
      <c r="AB30" s="11" t="s">
        <v>52</v>
      </c>
      <c r="AC30" s="11" t="s">
        <v>148</v>
      </c>
      <c r="AD30" s="11" t="s">
        <v>190</v>
      </c>
      <c r="AE30" s="11" t="s">
        <v>95</v>
      </c>
      <c r="AH30" s="11">
        <v>7</v>
      </c>
      <c r="AI30" s="11">
        <v>3.84</v>
      </c>
      <c r="AJ30" s="11">
        <v>19</v>
      </c>
      <c r="AK30" s="11">
        <v>9.73</v>
      </c>
      <c r="AL30" s="11">
        <v>4.49</v>
      </c>
      <c r="AM30" s="11">
        <v>19</v>
      </c>
      <c r="AU30" s="11">
        <v>0</v>
      </c>
    </row>
    <row r="31" spans="1:48" ht="17" customHeight="1">
      <c r="A31" s="13"/>
      <c r="B31" s="13"/>
      <c r="C31" s="13"/>
      <c r="E31" s="13"/>
      <c r="F31" s="13"/>
      <c r="G31" s="13"/>
      <c r="L31" s="40"/>
      <c r="AD31" s="11" t="s">
        <v>191</v>
      </c>
      <c r="AE31" s="11" t="s">
        <v>95</v>
      </c>
      <c r="AH31" s="11">
        <v>7</v>
      </c>
      <c r="AI31" s="11">
        <v>3.84</v>
      </c>
      <c r="AJ31" s="11">
        <v>19</v>
      </c>
      <c r="AK31" s="11">
        <v>9.36</v>
      </c>
      <c r="AL31" s="11">
        <v>5.62</v>
      </c>
      <c r="AM31" s="11">
        <v>19</v>
      </c>
      <c r="AU31" s="11">
        <v>0</v>
      </c>
    </row>
    <row r="32" spans="1:48" ht="17" customHeight="1">
      <c r="A32" s="13"/>
      <c r="B32" s="13"/>
      <c r="C32" s="13"/>
      <c r="E32" s="13"/>
      <c r="F32" s="13"/>
      <c r="G32" s="13"/>
      <c r="J32" s="11">
        <v>3074</v>
      </c>
      <c r="K32" s="11" t="s">
        <v>196</v>
      </c>
      <c r="L32" s="75" t="s">
        <v>68</v>
      </c>
      <c r="M32" s="17">
        <f t="shared" si="2"/>
        <v>12</v>
      </c>
      <c r="N32" s="17">
        <v>1</v>
      </c>
      <c r="O32" s="17">
        <v>1</v>
      </c>
      <c r="P32" s="17" t="s">
        <v>52</v>
      </c>
      <c r="Q32" s="17" t="s">
        <v>52</v>
      </c>
      <c r="R32" s="17">
        <f t="shared" si="3"/>
        <v>0.65333333333333332</v>
      </c>
      <c r="S32" s="17">
        <v>0.1</v>
      </c>
      <c r="T32" s="11" t="s">
        <v>92</v>
      </c>
      <c r="U32" s="12" t="s">
        <v>197</v>
      </c>
      <c r="V32" s="11" t="s">
        <v>71</v>
      </c>
      <c r="W32" s="11" t="s">
        <v>153</v>
      </c>
      <c r="X32" s="61" t="s">
        <v>57</v>
      </c>
      <c r="Y32" s="11" t="s">
        <v>72</v>
      </c>
      <c r="Z32" s="11" t="s">
        <v>52</v>
      </c>
      <c r="AA32" s="11" t="s">
        <v>52</v>
      </c>
      <c r="AB32" s="11" t="s">
        <v>52</v>
      </c>
      <c r="AC32" s="11" t="s">
        <v>148</v>
      </c>
      <c r="AD32" s="11" t="s">
        <v>190</v>
      </c>
      <c r="AE32" s="11" t="s">
        <v>95</v>
      </c>
      <c r="AH32" s="11">
        <v>7.9</v>
      </c>
      <c r="AI32" s="11">
        <v>3.99</v>
      </c>
      <c r="AJ32" s="11">
        <v>21</v>
      </c>
      <c r="AK32" s="11">
        <v>9.81</v>
      </c>
      <c r="AL32" s="11">
        <v>5.34</v>
      </c>
      <c r="AM32" s="11">
        <v>21</v>
      </c>
      <c r="AU32" s="11">
        <v>0</v>
      </c>
    </row>
    <row r="33" spans="1:48" s="31" customFormat="1" ht="17" customHeight="1">
      <c r="A33" s="30"/>
      <c r="B33" s="30"/>
      <c r="C33" s="30"/>
      <c r="D33" s="89"/>
      <c r="E33" s="30"/>
      <c r="F33" s="30"/>
      <c r="G33" s="30"/>
      <c r="H33" s="276"/>
      <c r="I33" s="276"/>
      <c r="L33" s="41"/>
      <c r="M33" s="32"/>
      <c r="N33" s="32"/>
      <c r="O33" s="32"/>
      <c r="P33" s="32"/>
      <c r="Q33" s="32"/>
      <c r="R33" s="32"/>
      <c r="S33" s="32"/>
      <c r="U33" s="33"/>
      <c r="AD33" s="31" t="s">
        <v>191</v>
      </c>
      <c r="AE33" s="31" t="s">
        <v>95</v>
      </c>
      <c r="AF33" s="63"/>
      <c r="AG33" s="63"/>
      <c r="AH33" s="31">
        <v>7.9</v>
      </c>
      <c r="AI33" s="31">
        <v>3.99</v>
      </c>
      <c r="AJ33" s="31">
        <v>21</v>
      </c>
      <c r="AK33" s="31">
        <v>8.66</v>
      </c>
      <c r="AL33" s="31">
        <v>3.95</v>
      </c>
      <c r="AM33" s="31">
        <v>21</v>
      </c>
      <c r="AU33" s="31">
        <v>0</v>
      </c>
      <c r="AV33" s="34"/>
    </row>
    <row r="34" spans="1:48" ht="17" customHeight="1">
      <c r="A34" s="13" t="s">
        <v>161</v>
      </c>
      <c r="B34" s="13">
        <v>308</v>
      </c>
      <c r="C34" s="13" t="s">
        <v>47</v>
      </c>
      <c r="D34" s="88" t="s">
        <v>692</v>
      </c>
      <c r="E34" s="13" t="s">
        <v>66</v>
      </c>
      <c r="F34" s="13" t="s">
        <v>49</v>
      </c>
      <c r="G34" s="13" t="s">
        <v>50</v>
      </c>
      <c r="J34" s="11">
        <v>3081</v>
      </c>
      <c r="K34" s="11" t="s">
        <v>198</v>
      </c>
      <c r="L34" s="11">
        <v>6</v>
      </c>
      <c r="M34" s="17">
        <v>11.5</v>
      </c>
      <c r="N34" s="17">
        <v>1</v>
      </c>
      <c r="O34" s="17">
        <f>153/462</f>
        <v>0.33116883116883117</v>
      </c>
      <c r="P34" s="17">
        <f>314/462</f>
        <v>0.67965367965367962</v>
      </c>
      <c r="Q34" s="17" t="s">
        <v>52</v>
      </c>
      <c r="R34" s="17">
        <f>269/462</f>
        <v>0.58225108225108224</v>
      </c>
      <c r="S34" s="17">
        <f>58/462</f>
        <v>0.12554112554112554</v>
      </c>
      <c r="T34" s="43" t="s">
        <v>53</v>
      </c>
      <c r="U34" s="12" t="s">
        <v>199</v>
      </c>
      <c r="V34" s="11" t="s">
        <v>71</v>
      </c>
      <c r="W34" s="11" t="s">
        <v>153</v>
      </c>
      <c r="X34" s="11" t="s">
        <v>163</v>
      </c>
      <c r="Y34" s="11" t="s">
        <v>58</v>
      </c>
      <c r="Z34" s="45">
        <f>5*36*AB34</f>
        <v>7448.1</v>
      </c>
      <c r="AA34" s="102">
        <f>3*5*36</f>
        <v>540</v>
      </c>
      <c r="AB34" s="59">
        <f>55*AVERAGE(0.585, 0.8, 0.872)</f>
        <v>41.378333333333337</v>
      </c>
      <c r="AC34" s="11" t="s">
        <v>59</v>
      </c>
      <c r="AD34" s="11" t="s">
        <v>200</v>
      </c>
      <c r="AE34" s="11" t="s">
        <v>61</v>
      </c>
      <c r="AF34" s="60" t="s">
        <v>538</v>
      </c>
      <c r="AG34" s="60" t="s">
        <v>696</v>
      </c>
      <c r="AH34" s="11" t="s">
        <v>52</v>
      </c>
      <c r="AI34" s="11" t="s">
        <v>52</v>
      </c>
      <c r="AJ34" s="11" t="s">
        <v>52</v>
      </c>
      <c r="AK34" s="11">
        <v>32.1</v>
      </c>
      <c r="AL34" s="11">
        <v>14.33</v>
      </c>
      <c r="AM34" s="11">
        <v>462</v>
      </c>
      <c r="AU34" s="11">
        <v>0</v>
      </c>
      <c r="AV34" s="1" t="s">
        <v>86</v>
      </c>
    </row>
    <row r="35" spans="1:48" s="31" customFormat="1" ht="17" customHeight="1">
      <c r="A35" s="30"/>
      <c r="B35" s="30"/>
      <c r="C35" s="30"/>
      <c r="D35" s="89"/>
      <c r="E35" s="30"/>
      <c r="F35" s="30"/>
      <c r="G35" s="30"/>
      <c r="H35" s="276"/>
      <c r="I35" s="276"/>
      <c r="J35" s="31">
        <v>3082</v>
      </c>
      <c r="K35" s="31" t="s">
        <v>126</v>
      </c>
      <c r="L35" s="31">
        <v>6</v>
      </c>
      <c r="M35" s="32">
        <v>11.5</v>
      </c>
      <c r="N35" s="32">
        <v>1</v>
      </c>
      <c r="O35" s="32">
        <f>102/389</f>
        <v>0.26221079691516708</v>
      </c>
      <c r="P35" s="32">
        <f>255/389</f>
        <v>0.65552699228791778</v>
      </c>
      <c r="Q35" s="32" t="s">
        <v>52</v>
      </c>
      <c r="R35" s="32">
        <f>225/389</f>
        <v>0.57840616966580982</v>
      </c>
      <c r="S35" s="32">
        <f>56/389</f>
        <v>0.14395886889460155</v>
      </c>
      <c r="T35" s="31" t="s">
        <v>78</v>
      </c>
      <c r="U35" s="33" t="s">
        <v>201</v>
      </c>
      <c r="V35" s="31" t="s">
        <v>71</v>
      </c>
      <c r="W35" s="31" t="s">
        <v>78</v>
      </c>
      <c r="X35" s="31" t="s">
        <v>78</v>
      </c>
      <c r="Y35" s="31" t="s">
        <v>78</v>
      </c>
      <c r="Z35" s="31" t="s">
        <v>78</v>
      </c>
      <c r="AB35" s="31" t="s">
        <v>78</v>
      </c>
      <c r="AC35" s="31" t="s">
        <v>78</v>
      </c>
      <c r="AD35" s="31" t="s">
        <v>200</v>
      </c>
      <c r="AE35" s="31" t="s">
        <v>61</v>
      </c>
      <c r="AF35" s="63"/>
      <c r="AG35" s="60"/>
      <c r="AH35" s="31" t="s">
        <v>52</v>
      </c>
      <c r="AI35" s="31" t="s">
        <v>52</v>
      </c>
      <c r="AJ35" s="31" t="s">
        <v>52</v>
      </c>
      <c r="AK35" s="31">
        <v>31.6</v>
      </c>
      <c r="AL35" s="31">
        <v>14.11</v>
      </c>
      <c r="AM35" s="31">
        <v>389</v>
      </c>
      <c r="AU35" s="31">
        <v>0</v>
      </c>
      <c r="AV35" s="34"/>
    </row>
    <row r="36" spans="1:48" ht="17" customHeight="1">
      <c r="A36" s="13" t="s">
        <v>166</v>
      </c>
      <c r="B36" s="13">
        <v>309</v>
      </c>
      <c r="C36" s="13" t="s">
        <v>47</v>
      </c>
      <c r="D36" s="88" t="s">
        <v>692</v>
      </c>
      <c r="E36" s="13" t="s">
        <v>66</v>
      </c>
      <c r="F36" s="13" t="s">
        <v>49</v>
      </c>
      <c r="G36" s="13" t="s">
        <v>50</v>
      </c>
      <c r="J36" s="11" t="s">
        <v>167</v>
      </c>
      <c r="K36" s="11" t="s">
        <v>202</v>
      </c>
      <c r="L36" s="11">
        <v>6</v>
      </c>
      <c r="M36" s="17">
        <v>11.5</v>
      </c>
      <c r="N36" s="17">
        <v>1</v>
      </c>
      <c r="O36" s="17">
        <f>201/605</f>
        <v>0.3322314049586777</v>
      </c>
      <c r="P36" s="17">
        <f>418/605</f>
        <v>0.69090909090909092</v>
      </c>
      <c r="Q36" s="17" t="s">
        <v>52</v>
      </c>
      <c r="R36" s="17">
        <f>360/605</f>
        <v>0.5950413223140496</v>
      </c>
      <c r="S36" s="17">
        <f>79/605</f>
        <v>0.13057851239669421</v>
      </c>
      <c r="T36" s="43" t="s">
        <v>53</v>
      </c>
      <c r="U36" s="12" t="s">
        <v>203</v>
      </c>
      <c r="V36" s="11" t="s">
        <v>71</v>
      </c>
      <c r="W36" s="11" t="s">
        <v>153</v>
      </c>
      <c r="X36" s="11" t="s">
        <v>163</v>
      </c>
      <c r="Y36" s="11" t="s">
        <v>58</v>
      </c>
      <c r="Z36" s="45">
        <f>5*36*AB36</f>
        <v>9519.5250000000015</v>
      </c>
      <c r="AA36" s="102">
        <f>4*5*36</f>
        <v>720</v>
      </c>
      <c r="AB36" s="11">
        <f>AVERAGE(45, 90)*AVERAGE(0.585, 0.8, 0.872, 0.877)</f>
        <v>52.886250000000004</v>
      </c>
      <c r="AC36" s="11" t="s">
        <v>59</v>
      </c>
      <c r="AD36" s="11" t="s">
        <v>200</v>
      </c>
      <c r="AE36" s="11" t="s">
        <v>61</v>
      </c>
      <c r="AF36" s="60" t="s">
        <v>538</v>
      </c>
      <c r="AG36" s="126" t="s">
        <v>697</v>
      </c>
      <c r="AH36" s="11">
        <v>21.11</v>
      </c>
      <c r="AI36" s="11">
        <v>9.49</v>
      </c>
      <c r="AJ36" s="11">
        <v>605</v>
      </c>
      <c r="AK36" s="11">
        <v>32.299999999999997</v>
      </c>
      <c r="AL36" s="11">
        <v>13.92</v>
      </c>
      <c r="AM36" s="11">
        <v>605</v>
      </c>
      <c r="AU36" s="58">
        <v>0</v>
      </c>
      <c r="AV36" s="1" t="s">
        <v>86</v>
      </c>
    </row>
    <row r="37" spans="1:48" ht="17" customHeight="1">
      <c r="A37" s="13"/>
      <c r="B37" s="13"/>
      <c r="C37" s="13"/>
      <c r="E37" s="13"/>
      <c r="F37" s="13"/>
      <c r="G37" s="13"/>
      <c r="J37" s="11" t="s">
        <v>170</v>
      </c>
      <c r="K37" s="11" t="s">
        <v>204</v>
      </c>
      <c r="L37" s="11">
        <v>6</v>
      </c>
      <c r="M37" s="17">
        <v>11.5</v>
      </c>
      <c r="N37" s="17">
        <v>1</v>
      </c>
      <c r="O37" s="17">
        <f>1-379/530</f>
        <v>0.28490566037735854</v>
      </c>
      <c r="P37" s="17">
        <f>358/530</f>
        <v>0.67547169811320751</v>
      </c>
      <c r="Q37" s="17" t="s">
        <v>52</v>
      </c>
      <c r="R37" s="17">
        <f>309/530</f>
        <v>0.58301886792452828</v>
      </c>
      <c r="S37" s="17">
        <f>74/530</f>
        <v>0.13962264150943396</v>
      </c>
      <c r="T37" s="11" t="s">
        <v>78</v>
      </c>
      <c r="U37" s="12" t="s">
        <v>205</v>
      </c>
      <c r="V37" s="11" t="s">
        <v>80</v>
      </c>
      <c r="W37" s="11" t="s">
        <v>78</v>
      </c>
      <c r="X37" s="11" t="s">
        <v>78</v>
      </c>
      <c r="Y37" s="11" t="s">
        <v>78</v>
      </c>
      <c r="Z37" s="11" t="s">
        <v>78</v>
      </c>
      <c r="AB37" s="11" t="s">
        <v>78</v>
      </c>
      <c r="AC37" s="11" t="s">
        <v>78</v>
      </c>
      <c r="AD37" s="11" t="s">
        <v>200</v>
      </c>
      <c r="AE37" s="11" t="s">
        <v>61</v>
      </c>
      <c r="AH37" s="11">
        <v>21.66</v>
      </c>
      <c r="AI37" s="11">
        <v>9.32</v>
      </c>
      <c r="AJ37" s="11">
        <v>530</v>
      </c>
      <c r="AK37" s="11">
        <v>30.7</v>
      </c>
      <c r="AL37" s="11">
        <v>13.86</v>
      </c>
      <c r="AM37" s="11">
        <v>530</v>
      </c>
      <c r="AU37" s="58">
        <v>0</v>
      </c>
    </row>
    <row r="38" spans="1:48" ht="17" customHeight="1">
      <c r="A38" s="13"/>
      <c r="B38" s="13"/>
      <c r="C38" s="13"/>
      <c r="E38" s="13"/>
      <c r="F38" s="13"/>
      <c r="G38" s="13"/>
      <c r="J38" s="11" t="s">
        <v>172</v>
      </c>
      <c r="K38" s="11" t="s">
        <v>206</v>
      </c>
      <c r="L38" s="11">
        <v>9</v>
      </c>
      <c r="M38" s="17">
        <v>14.5</v>
      </c>
      <c r="N38" s="17">
        <v>1</v>
      </c>
      <c r="O38" s="17">
        <f>176/593</f>
        <v>0.29679595278246207</v>
      </c>
      <c r="P38" s="17">
        <f>371/593</f>
        <v>0.62563237774030356</v>
      </c>
      <c r="Q38" s="17" t="s">
        <v>52</v>
      </c>
      <c r="R38" s="17">
        <f>348/593</f>
        <v>0.58684654300168637</v>
      </c>
      <c r="S38" s="17">
        <f>69/593</f>
        <v>0.1163575042158516</v>
      </c>
      <c r="T38" s="43" t="s">
        <v>53</v>
      </c>
      <c r="U38" s="12" t="s">
        <v>203</v>
      </c>
      <c r="V38" s="11" t="s">
        <v>71</v>
      </c>
      <c r="W38" s="11" t="s">
        <v>153</v>
      </c>
      <c r="X38" s="11" t="s">
        <v>163</v>
      </c>
      <c r="Y38" s="11" t="s">
        <v>58</v>
      </c>
      <c r="Z38" s="45">
        <f>5*36*AB38</f>
        <v>9519.5250000000015</v>
      </c>
      <c r="AA38" s="102">
        <f>4*5*36</f>
        <v>720</v>
      </c>
      <c r="AB38" s="11">
        <f>AVERAGE(45, 90)*AVERAGE(0.585, 0.8, 0.872, 0.877)</f>
        <v>52.886250000000004</v>
      </c>
      <c r="AC38" s="11" t="s">
        <v>59</v>
      </c>
      <c r="AD38" s="11" t="s">
        <v>200</v>
      </c>
      <c r="AE38" s="11" t="s">
        <v>61</v>
      </c>
      <c r="AH38" s="11">
        <v>23.59</v>
      </c>
      <c r="AI38" s="11">
        <v>8.0500000000000007</v>
      </c>
      <c r="AJ38" s="11">
        <v>593</v>
      </c>
      <c r="AK38" s="11">
        <v>33.700000000000003</v>
      </c>
      <c r="AL38" s="11">
        <v>14.87</v>
      </c>
      <c r="AM38" s="11">
        <v>593</v>
      </c>
      <c r="AU38" s="11">
        <v>0</v>
      </c>
    </row>
    <row r="39" spans="1:48" s="31" customFormat="1" ht="17" customHeight="1">
      <c r="A39" s="30"/>
      <c r="B39" s="30"/>
      <c r="C39" s="30"/>
      <c r="D39" s="89"/>
      <c r="E39" s="30"/>
      <c r="F39" s="30"/>
      <c r="G39" s="30"/>
      <c r="H39" s="276"/>
      <c r="I39" s="276"/>
      <c r="J39" s="31" t="s">
        <v>174</v>
      </c>
      <c r="K39" s="31" t="s">
        <v>207</v>
      </c>
      <c r="L39" s="31">
        <v>9</v>
      </c>
      <c r="M39" s="32">
        <v>14.5</v>
      </c>
      <c r="N39" s="32">
        <v>1</v>
      </c>
      <c r="O39" s="32">
        <f>124/535</f>
        <v>0.23177570093457944</v>
      </c>
      <c r="P39" s="32">
        <f>327/535</f>
        <v>0.61121495327102804</v>
      </c>
      <c r="Q39" s="32" t="s">
        <v>52</v>
      </c>
      <c r="R39" s="32">
        <f>295/535</f>
        <v>0.55140186915887845</v>
      </c>
      <c r="S39" s="32">
        <f>71/535</f>
        <v>0.13271028037383178</v>
      </c>
      <c r="T39" s="31" t="s">
        <v>78</v>
      </c>
      <c r="U39" s="33" t="s">
        <v>205</v>
      </c>
      <c r="V39" s="31" t="s">
        <v>80</v>
      </c>
      <c r="W39" s="31" t="s">
        <v>78</v>
      </c>
      <c r="X39" s="31" t="s">
        <v>78</v>
      </c>
      <c r="Y39" s="31" t="s">
        <v>78</v>
      </c>
      <c r="Z39" s="31" t="s">
        <v>78</v>
      </c>
      <c r="AB39" s="31" t="s">
        <v>78</v>
      </c>
      <c r="AC39" s="31" t="s">
        <v>78</v>
      </c>
      <c r="AD39" s="31" t="s">
        <v>200</v>
      </c>
      <c r="AE39" s="31" t="s">
        <v>61</v>
      </c>
      <c r="AF39" s="63"/>
      <c r="AG39" s="63"/>
      <c r="AH39" s="31">
        <v>23.56</v>
      </c>
      <c r="AI39" s="31">
        <v>8.34</v>
      </c>
      <c r="AJ39" s="31">
        <v>535</v>
      </c>
      <c r="AK39" s="31">
        <v>32.299999999999997</v>
      </c>
      <c r="AL39" s="31">
        <v>13.83</v>
      </c>
      <c r="AM39" s="31">
        <v>535</v>
      </c>
      <c r="AU39" s="31">
        <v>0</v>
      </c>
      <c r="AV39" s="34"/>
    </row>
    <row r="40" spans="1:48" ht="17" customHeight="1">
      <c r="A40" s="13" t="s">
        <v>176</v>
      </c>
      <c r="B40" s="13">
        <v>310</v>
      </c>
      <c r="C40" s="13" t="s">
        <v>177</v>
      </c>
      <c r="D40" s="88" t="s">
        <v>692</v>
      </c>
      <c r="E40" s="13" t="s">
        <v>66</v>
      </c>
      <c r="F40" s="13" t="s">
        <v>49</v>
      </c>
      <c r="G40" s="13" t="s">
        <v>50</v>
      </c>
      <c r="J40" s="11">
        <v>3101</v>
      </c>
      <c r="K40" s="11" t="s">
        <v>208</v>
      </c>
      <c r="L40" s="11">
        <v>5</v>
      </c>
      <c r="M40" s="17">
        <v>9.57</v>
      </c>
      <c r="N40" s="17">
        <v>1</v>
      </c>
      <c r="O40" s="17" t="s">
        <v>52</v>
      </c>
      <c r="P40" s="17">
        <v>1</v>
      </c>
      <c r="Q40" s="17" t="s">
        <v>52</v>
      </c>
      <c r="R40" s="17">
        <f>40/76</f>
        <v>0.52631578947368418</v>
      </c>
      <c r="S40" s="17" t="s">
        <v>52</v>
      </c>
      <c r="T40" s="11" t="s">
        <v>92</v>
      </c>
      <c r="U40" s="12" t="s">
        <v>209</v>
      </c>
      <c r="V40" s="11" t="s">
        <v>71</v>
      </c>
      <c r="W40" s="45" t="s">
        <v>153</v>
      </c>
      <c r="X40" s="11" t="s">
        <v>163</v>
      </c>
      <c r="Y40" s="11" t="s">
        <v>58</v>
      </c>
      <c r="Z40" s="45">
        <f>6*60*5+60</f>
        <v>1860</v>
      </c>
      <c r="AA40" s="11">
        <v>6</v>
      </c>
      <c r="AB40" s="11">
        <v>60</v>
      </c>
      <c r="AC40" s="11" t="s">
        <v>148</v>
      </c>
      <c r="AD40" s="11" t="s">
        <v>212</v>
      </c>
      <c r="AE40" s="11" t="s">
        <v>61</v>
      </c>
      <c r="AF40" s="60" t="s">
        <v>538</v>
      </c>
      <c r="AG40" s="60" t="s">
        <v>52</v>
      </c>
      <c r="AH40" s="11">
        <v>21</v>
      </c>
      <c r="AI40" s="11">
        <v>3.35</v>
      </c>
      <c r="AJ40" s="73">
        <v>27</v>
      </c>
      <c r="AK40" s="11">
        <v>24.54</v>
      </c>
      <c r="AL40" s="11">
        <v>2.98</v>
      </c>
      <c r="AM40" s="73">
        <v>27</v>
      </c>
      <c r="AN40" s="58"/>
      <c r="AO40" s="58"/>
      <c r="AP40" s="58"/>
      <c r="AQ40" s="58"/>
      <c r="AR40" s="58"/>
      <c r="AS40" s="58"/>
      <c r="AU40" s="11">
        <v>0</v>
      </c>
      <c r="AV40" s="60" t="s">
        <v>211</v>
      </c>
    </row>
    <row r="41" spans="1:48" ht="17" customHeight="1">
      <c r="A41" s="13"/>
      <c r="B41" s="13"/>
      <c r="C41" s="13"/>
      <c r="E41" s="13"/>
      <c r="F41" s="13"/>
      <c r="G41" s="13"/>
      <c r="L41" s="40"/>
      <c r="AD41" s="11" t="s">
        <v>210</v>
      </c>
      <c r="AE41" s="11" t="s">
        <v>95</v>
      </c>
      <c r="AF41" s="60" t="s">
        <v>461</v>
      </c>
      <c r="AG41" s="60" t="s">
        <v>581</v>
      </c>
      <c r="AH41" s="11">
        <v>34.67</v>
      </c>
      <c r="AI41" s="11">
        <v>24.15</v>
      </c>
      <c r="AJ41" s="58">
        <v>27</v>
      </c>
      <c r="AK41" s="11">
        <v>66.63</v>
      </c>
      <c r="AL41" s="11">
        <v>30.28</v>
      </c>
      <c r="AM41" s="58">
        <v>27</v>
      </c>
      <c r="AN41" s="58"/>
      <c r="AO41" s="58"/>
      <c r="AP41" s="58"/>
      <c r="AQ41" s="58"/>
      <c r="AR41" s="58"/>
      <c r="AS41" s="58"/>
      <c r="AU41" s="11">
        <v>0</v>
      </c>
      <c r="AV41" s="60" t="s">
        <v>213</v>
      </c>
    </row>
    <row r="42" spans="1:48" ht="17" customHeight="1">
      <c r="A42" s="13"/>
      <c r="B42" s="13"/>
      <c r="C42" s="13"/>
      <c r="E42" s="13"/>
      <c r="F42" s="13"/>
      <c r="G42" s="13"/>
      <c r="J42" s="11">
        <v>3102</v>
      </c>
      <c r="K42" s="11" t="s">
        <v>182</v>
      </c>
      <c r="L42" s="11">
        <v>5</v>
      </c>
      <c r="M42" s="17">
        <v>9.57</v>
      </c>
      <c r="N42" s="17">
        <v>1</v>
      </c>
      <c r="O42" s="17" t="s">
        <v>52</v>
      </c>
      <c r="P42" s="17">
        <v>1</v>
      </c>
      <c r="Q42" s="17" t="s">
        <v>52</v>
      </c>
      <c r="R42" s="17">
        <f>40/76</f>
        <v>0.52631578947368418</v>
      </c>
      <c r="S42" s="17" t="s">
        <v>52</v>
      </c>
      <c r="T42" s="11" t="s">
        <v>92</v>
      </c>
      <c r="U42" s="12" t="s">
        <v>214</v>
      </c>
      <c r="V42" s="11" t="s">
        <v>71</v>
      </c>
      <c r="W42" s="45" t="s">
        <v>153</v>
      </c>
      <c r="X42" s="11" t="s">
        <v>163</v>
      </c>
      <c r="Y42" s="11" t="s">
        <v>58</v>
      </c>
      <c r="Z42" s="45">
        <f>6*60*5</f>
        <v>1800</v>
      </c>
      <c r="AA42" s="11">
        <v>6</v>
      </c>
      <c r="AB42" s="11">
        <v>60</v>
      </c>
      <c r="AC42" s="11" t="s">
        <v>148</v>
      </c>
      <c r="AD42" s="11" t="s">
        <v>212</v>
      </c>
      <c r="AE42" s="11" t="s">
        <v>61</v>
      </c>
      <c r="AH42" s="11">
        <v>17.13</v>
      </c>
      <c r="AI42" s="11">
        <v>7.93</v>
      </c>
      <c r="AJ42" s="58">
        <f>(76-27)/2</f>
        <v>24.5</v>
      </c>
      <c r="AK42" s="11">
        <v>21.65</v>
      </c>
      <c r="AL42" s="11">
        <v>6.14</v>
      </c>
      <c r="AM42" s="58">
        <f>(76-27)/2</f>
        <v>24.5</v>
      </c>
      <c r="AN42" s="58"/>
      <c r="AO42" s="58"/>
      <c r="AP42" s="58"/>
      <c r="AQ42" s="58"/>
      <c r="AR42" s="58"/>
      <c r="AS42" s="58"/>
      <c r="AU42" s="11">
        <v>0</v>
      </c>
      <c r="AV42" s="60" t="s">
        <v>215</v>
      </c>
    </row>
    <row r="43" spans="1:48" ht="17" customHeight="1">
      <c r="A43" s="13"/>
      <c r="B43" s="13"/>
      <c r="C43" s="13"/>
      <c r="E43" s="13"/>
      <c r="F43" s="13"/>
      <c r="G43" s="13"/>
      <c r="L43" s="40"/>
      <c r="AD43" s="11" t="s">
        <v>210</v>
      </c>
      <c r="AE43" s="11" t="s">
        <v>95</v>
      </c>
      <c r="AH43" s="11">
        <v>13.84</v>
      </c>
      <c r="AI43" s="11">
        <v>13.17</v>
      </c>
      <c r="AJ43" s="58">
        <f t="shared" ref="AJ43:AJ45" si="4">(76-27)/2</f>
        <v>24.5</v>
      </c>
      <c r="AK43" s="11">
        <v>30.32</v>
      </c>
      <c r="AL43" s="11">
        <v>22.26</v>
      </c>
      <c r="AM43" s="58">
        <f t="shared" ref="AM43:AM45" si="5">(76-27)/2</f>
        <v>24.5</v>
      </c>
      <c r="AN43" s="58"/>
      <c r="AO43" s="58"/>
      <c r="AP43" s="58"/>
      <c r="AQ43" s="58"/>
      <c r="AR43" s="58"/>
      <c r="AS43" s="58"/>
      <c r="AU43" s="11">
        <v>0</v>
      </c>
      <c r="AV43" s="60" t="s">
        <v>216</v>
      </c>
    </row>
    <row r="44" spans="1:48" ht="17" customHeight="1">
      <c r="A44" s="13"/>
      <c r="B44" s="13"/>
      <c r="C44" s="13"/>
      <c r="E44" s="13"/>
      <c r="F44" s="13"/>
      <c r="G44" s="13"/>
      <c r="J44" s="11">
        <v>3103</v>
      </c>
      <c r="K44" s="11" t="s">
        <v>126</v>
      </c>
      <c r="L44" s="11">
        <v>5</v>
      </c>
      <c r="M44" s="17">
        <v>9.57</v>
      </c>
      <c r="N44" s="17">
        <v>1</v>
      </c>
      <c r="O44" s="17" t="s">
        <v>52</v>
      </c>
      <c r="P44" s="17">
        <v>1</v>
      </c>
      <c r="Q44" s="17" t="s">
        <v>52</v>
      </c>
      <c r="R44" s="17">
        <f t="shared" ref="R44" si="6">40/76</f>
        <v>0.52631578947368418</v>
      </c>
      <c r="S44" s="17" t="s">
        <v>52</v>
      </c>
      <c r="T44" s="11" t="s">
        <v>78</v>
      </c>
      <c r="U44" s="12" t="s">
        <v>183</v>
      </c>
      <c r="V44" s="11" t="s">
        <v>80</v>
      </c>
      <c r="W44" s="11" t="s">
        <v>78</v>
      </c>
      <c r="X44" s="11" t="s">
        <v>78</v>
      </c>
      <c r="Y44" s="11" t="s">
        <v>78</v>
      </c>
      <c r="Z44" s="11" t="s">
        <v>78</v>
      </c>
      <c r="AA44" s="11" t="s">
        <v>78</v>
      </c>
      <c r="AB44" s="11" t="s">
        <v>78</v>
      </c>
      <c r="AC44" s="11" t="s">
        <v>78</v>
      </c>
      <c r="AD44" s="11" t="s">
        <v>212</v>
      </c>
      <c r="AE44" s="11" t="s">
        <v>61</v>
      </c>
      <c r="AH44" s="11">
        <v>18.05</v>
      </c>
      <c r="AI44" s="11">
        <v>4.9400000000000004</v>
      </c>
      <c r="AJ44" s="58">
        <f t="shared" si="4"/>
        <v>24.5</v>
      </c>
      <c r="AK44" s="11">
        <v>17.8</v>
      </c>
      <c r="AL44" s="11">
        <v>4.93</v>
      </c>
      <c r="AM44" s="58">
        <f t="shared" si="5"/>
        <v>24.5</v>
      </c>
      <c r="AN44" s="58"/>
      <c r="AO44" s="58"/>
      <c r="AP44" s="58"/>
      <c r="AQ44" s="58"/>
      <c r="AR44" s="58"/>
      <c r="AS44" s="58"/>
      <c r="AU44" s="11">
        <v>0</v>
      </c>
      <c r="AV44" s="60" t="s">
        <v>217</v>
      </c>
    </row>
    <row r="45" spans="1:48" s="31" customFormat="1" ht="17" customHeight="1">
      <c r="A45" s="30"/>
      <c r="B45" s="30"/>
      <c r="C45" s="30"/>
      <c r="D45" s="89"/>
      <c r="E45" s="30"/>
      <c r="F45" s="30"/>
      <c r="G45" s="30"/>
      <c r="H45" s="276"/>
      <c r="I45" s="276"/>
      <c r="L45" s="41"/>
      <c r="M45" s="32"/>
      <c r="N45" s="32"/>
      <c r="O45" s="32"/>
      <c r="P45" s="32"/>
      <c r="Q45" s="32"/>
      <c r="R45" s="32"/>
      <c r="S45" s="32"/>
      <c r="U45" s="33"/>
      <c r="AD45" s="31" t="s">
        <v>210</v>
      </c>
      <c r="AE45" s="31" t="s">
        <v>95</v>
      </c>
      <c r="AF45" s="63"/>
      <c r="AG45" s="63"/>
      <c r="AH45" s="31">
        <v>30.81</v>
      </c>
      <c r="AI45" s="31">
        <v>28.05</v>
      </c>
      <c r="AJ45" s="74">
        <f t="shared" si="4"/>
        <v>24.5</v>
      </c>
      <c r="AK45" s="31">
        <v>45.08</v>
      </c>
      <c r="AL45" s="31">
        <v>35.479999999999997</v>
      </c>
      <c r="AM45" s="74">
        <f t="shared" si="5"/>
        <v>24.5</v>
      </c>
      <c r="AN45" s="74"/>
      <c r="AO45" s="74"/>
      <c r="AP45" s="74"/>
      <c r="AQ45" s="74"/>
      <c r="AR45" s="74"/>
      <c r="AS45" s="74"/>
      <c r="AU45" s="31">
        <v>0</v>
      </c>
      <c r="AV45" s="63" t="s">
        <v>217</v>
      </c>
    </row>
    <row r="46" spans="1:48" ht="17" customHeight="1">
      <c r="A46" s="13" t="s">
        <v>237</v>
      </c>
      <c r="B46" s="13">
        <v>311</v>
      </c>
      <c r="C46" s="13" t="s">
        <v>238</v>
      </c>
      <c r="D46" s="88" t="s">
        <v>52</v>
      </c>
      <c r="E46" s="13" t="s">
        <v>66</v>
      </c>
      <c r="F46" s="13" t="s">
        <v>49</v>
      </c>
      <c r="G46" s="13" t="s">
        <v>239</v>
      </c>
      <c r="J46" s="11">
        <v>3111</v>
      </c>
      <c r="K46" s="11" t="s">
        <v>198</v>
      </c>
      <c r="L46" s="11">
        <v>5</v>
      </c>
      <c r="M46" s="17">
        <v>11</v>
      </c>
      <c r="N46" s="17" t="s">
        <v>52</v>
      </c>
      <c r="O46" s="17" t="s">
        <v>52</v>
      </c>
      <c r="P46" s="17">
        <v>1</v>
      </c>
      <c r="Q46" s="17">
        <v>1</v>
      </c>
      <c r="R46" s="17">
        <v>0</v>
      </c>
      <c r="S46" s="17" t="s">
        <v>52</v>
      </c>
      <c r="T46" s="11" t="s">
        <v>92</v>
      </c>
      <c r="U46" s="12" t="s">
        <v>270</v>
      </c>
      <c r="V46" s="11" t="s">
        <v>55</v>
      </c>
      <c r="W46" s="11" t="s">
        <v>153</v>
      </c>
      <c r="X46" s="11" t="s">
        <v>163</v>
      </c>
      <c r="Y46" s="11" t="s">
        <v>58</v>
      </c>
      <c r="Z46" s="43">
        <f>50*5*16</f>
        <v>4000</v>
      </c>
      <c r="AA46" s="11">
        <f>5*16</f>
        <v>80</v>
      </c>
      <c r="AB46" s="11">
        <v>50</v>
      </c>
      <c r="AC46" s="11" t="s">
        <v>148</v>
      </c>
      <c r="AD46" s="11" t="s">
        <v>271</v>
      </c>
      <c r="AE46" s="11" t="s">
        <v>95</v>
      </c>
      <c r="AF46" s="60" t="s">
        <v>461</v>
      </c>
      <c r="AG46" s="60" t="s">
        <v>52</v>
      </c>
      <c r="AH46" s="11" t="s">
        <v>52</v>
      </c>
      <c r="AI46" s="11" t="s">
        <v>52</v>
      </c>
      <c r="AJ46" s="11" t="s">
        <v>52</v>
      </c>
      <c r="AK46" s="11">
        <v>82.22</v>
      </c>
      <c r="AL46" s="11">
        <v>18.12</v>
      </c>
      <c r="AM46" s="11">
        <v>32</v>
      </c>
      <c r="AU46" s="11">
        <v>0</v>
      </c>
      <c r="AV46" s="1" t="s">
        <v>272</v>
      </c>
    </row>
    <row r="47" spans="1:48" s="31" customFormat="1" ht="17" customHeight="1">
      <c r="A47" s="30"/>
      <c r="B47" s="30"/>
      <c r="C47" s="30"/>
      <c r="D47" s="88"/>
      <c r="E47" s="30"/>
      <c r="F47" s="30"/>
      <c r="G47" s="30"/>
      <c r="H47" s="276"/>
      <c r="I47" s="276"/>
      <c r="J47" s="31">
        <v>3112</v>
      </c>
      <c r="K47" s="31" t="s">
        <v>126</v>
      </c>
      <c r="L47" s="31">
        <v>5</v>
      </c>
      <c r="M47" s="32">
        <v>11</v>
      </c>
      <c r="N47" s="32" t="s">
        <v>52</v>
      </c>
      <c r="O47" s="32" t="s">
        <v>52</v>
      </c>
      <c r="P47" s="32">
        <v>1</v>
      </c>
      <c r="Q47" s="32">
        <v>1</v>
      </c>
      <c r="R47" s="32">
        <v>0</v>
      </c>
      <c r="S47" s="32" t="s">
        <v>52</v>
      </c>
      <c r="T47" s="31" t="s">
        <v>78</v>
      </c>
      <c r="U47" s="33" t="s">
        <v>273</v>
      </c>
      <c r="V47" s="31" t="s">
        <v>80</v>
      </c>
      <c r="W47" s="31" t="s">
        <v>78</v>
      </c>
      <c r="X47" s="31" t="s">
        <v>78</v>
      </c>
      <c r="Y47" s="31" t="s">
        <v>78</v>
      </c>
      <c r="Z47" s="31" t="s">
        <v>78</v>
      </c>
      <c r="AA47" s="31" t="s">
        <v>78</v>
      </c>
      <c r="AB47" s="31" t="s">
        <v>78</v>
      </c>
      <c r="AC47" s="31" t="s">
        <v>78</v>
      </c>
      <c r="AD47" s="31" t="s">
        <v>271</v>
      </c>
      <c r="AE47" s="31" t="s">
        <v>95</v>
      </c>
      <c r="AF47" s="63"/>
      <c r="AG47" s="60"/>
      <c r="AH47" s="31" t="s">
        <v>52</v>
      </c>
      <c r="AI47" s="31" t="s">
        <v>52</v>
      </c>
      <c r="AJ47" s="31" t="s">
        <v>52</v>
      </c>
      <c r="AK47" s="31">
        <v>47.18</v>
      </c>
      <c r="AL47" s="31">
        <v>23.85</v>
      </c>
      <c r="AM47" s="31">
        <v>34</v>
      </c>
      <c r="AU47" s="31">
        <v>0</v>
      </c>
      <c r="AV47" s="34"/>
    </row>
    <row r="48" spans="1:48" ht="17" customHeight="1">
      <c r="A48" s="13" t="s">
        <v>274</v>
      </c>
      <c r="B48" s="13">
        <v>312</v>
      </c>
      <c r="C48" s="13" t="s">
        <v>245</v>
      </c>
      <c r="D48" s="144" t="s">
        <v>535</v>
      </c>
      <c r="E48" s="13" t="s">
        <v>66</v>
      </c>
      <c r="F48" s="13" t="s">
        <v>49</v>
      </c>
      <c r="G48" s="13" t="s">
        <v>239</v>
      </c>
      <c r="J48" s="11">
        <v>3121</v>
      </c>
      <c r="K48" s="11" t="s">
        <v>198</v>
      </c>
      <c r="L48" s="11">
        <v>3</v>
      </c>
      <c r="M48" s="17">
        <v>8.5</v>
      </c>
      <c r="N48" s="17" t="s">
        <v>52</v>
      </c>
      <c r="O48" s="17" t="s">
        <v>52</v>
      </c>
      <c r="P48" s="17" t="s">
        <v>52</v>
      </c>
      <c r="Q48" s="17" t="s">
        <v>52</v>
      </c>
      <c r="R48" s="17" t="s">
        <v>52</v>
      </c>
      <c r="S48" s="17">
        <v>0.1</v>
      </c>
      <c r="T48" s="11" t="s">
        <v>92</v>
      </c>
      <c r="U48" s="12" t="s">
        <v>275</v>
      </c>
      <c r="V48" s="11" t="s">
        <v>71</v>
      </c>
      <c r="W48" s="11" t="s">
        <v>56</v>
      </c>
      <c r="X48" s="11" t="s">
        <v>163</v>
      </c>
      <c r="Y48" s="11" t="s">
        <v>58</v>
      </c>
      <c r="Z48" s="11" t="s">
        <v>290</v>
      </c>
      <c r="AA48" s="11">
        <v>40</v>
      </c>
      <c r="AB48" s="11" t="s">
        <v>248</v>
      </c>
      <c r="AC48" s="11" t="s">
        <v>59</v>
      </c>
      <c r="AD48" s="11" t="s">
        <v>249</v>
      </c>
      <c r="AE48" s="11" t="s">
        <v>61</v>
      </c>
      <c r="AF48" s="60" t="s">
        <v>538</v>
      </c>
      <c r="AG48" s="126" t="s">
        <v>582</v>
      </c>
      <c r="AH48" s="11">
        <v>17.8</v>
      </c>
      <c r="AI48" s="11">
        <v>5.58</v>
      </c>
      <c r="AJ48" s="11">
        <v>155</v>
      </c>
      <c r="AK48" s="11">
        <v>21.47</v>
      </c>
      <c r="AL48" s="11">
        <v>5.75</v>
      </c>
      <c r="AM48" s="11">
        <v>155</v>
      </c>
      <c r="AU48" s="11">
        <v>0</v>
      </c>
      <c r="AV48" s="1" t="s">
        <v>86</v>
      </c>
    </row>
    <row r="49" spans="1:48" s="31" customFormat="1" ht="17" customHeight="1">
      <c r="A49" s="30"/>
      <c r="B49" s="30"/>
      <c r="C49" s="30"/>
      <c r="D49" s="89"/>
      <c r="E49" s="30"/>
      <c r="F49" s="30"/>
      <c r="G49" s="30"/>
      <c r="H49" s="276"/>
      <c r="I49" s="276"/>
      <c r="J49" s="31">
        <v>3122</v>
      </c>
      <c r="K49" s="31" t="s">
        <v>126</v>
      </c>
      <c r="L49" s="31">
        <v>3</v>
      </c>
      <c r="M49" s="32">
        <v>8.5</v>
      </c>
      <c r="N49" s="32" t="s">
        <v>52</v>
      </c>
      <c r="O49" s="32" t="s">
        <v>52</v>
      </c>
      <c r="P49" s="32" t="s">
        <v>52</v>
      </c>
      <c r="Q49" s="32" t="s">
        <v>52</v>
      </c>
      <c r="R49" s="32" t="s">
        <v>52</v>
      </c>
      <c r="S49" s="32">
        <v>0.1</v>
      </c>
      <c r="T49" s="31" t="s">
        <v>92</v>
      </c>
      <c r="U49" s="33" t="s">
        <v>275</v>
      </c>
      <c r="V49" s="31" t="s">
        <v>80</v>
      </c>
      <c r="W49" s="31" t="s">
        <v>78</v>
      </c>
      <c r="X49" s="31" t="s">
        <v>78</v>
      </c>
      <c r="Y49" s="31" t="s">
        <v>78</v>
      </c>
      <c r="Z49" s="31" t="s">
        <v>78</v>
      </c>
      <c r="AA49" s="31" t="s">
        <v>78</v>
      </c>
      <c r="AB49" s="31" t="s">
        <v>78</v>
      </c>
      <c r="AC49" s="31" t="s">
        <v>78</v>
      </c>
      <c r="AD49" s="31" t="s">
        <v>249</v>
      </c>
      <c r="AE49" s="31" t="s">
        <v>61</v>
      </c>
      <c r="AF49" s="63"/>
      <c r="AG49" s="63"/>
      <c r="AH49" s="31">
        <v>18.18</v>
      </c>
      <c r="AI49" s="31">
        <v>5.88</v>
      </c>
      <c r="AJ49" s="31">
        <v>172</v>
      </c>
      <c r="AK49" s="31">
        <v>21.66</v>
      </c>
      <c r="AL49" s="31">
        <v>6.02</v>
      </c>
      <c r="AM49" s="31">
        <v>172</v>
      </c>
      <c r="AU49" s="31">
        <v>0</v>
      </c>
      <c r="AV49" s="34"/>
    </row>
    <row r="50" spans="1:48" ht="17" customHeight="1">
      <c r="A50" s="13" t="s">
        <v>252</v>
      </c>
      <c r="B50" s="13">
        <v>313</v>
      </c>
      <c r="C50" s="13" t="s">
        <v>47</v>
      </c>
      <c r="D50" s="88" t="s">
        <v>692</v>
      </c>
      <c r="E50" s="13" t="s">
        <v>66</v>
      </c>
      <c r="F50" s="13" t="s">
        <v>49</v>
      </c>
      <c r="G50" s="13" t="s">
        <v>239</v>
      </c>
      <c r="J50" s="11">
        <v>3131</v>
      </c>
      <c r="K50" s="11" t="s">
        <v>240</v>
      </c>
      <c r="L50" s="11">
        <v>4</v>
      </c>
      <c r="M50" s="17">
        <v>9.5</v>
      </c>
      <c r="N50" s="17" t="s">
        <v>52</v>
      </c>
      <c r="O50" s="17" t="s">
        <v>52</v>
      </c>
      <c r="P50" s="17" t="s">
        <v>52</v>
      </c>
      <c r="Q50" s="17" t="s">
        <v>52</v>
      </c>
      <c r="R50" s="17" t="s">
        <v>52</v>
      </c>
      <c r="S50" s="17">
        <f>1-0.68</f>
        <v>0.31999999999999995</v>
      </c>
      <c r="T50" s="11" t="s">
        <v>92</v>
      </c>
      <c r="U50" s="12" t="s">
        <v>276</v>
      </c>
      <c r="V50" s="11" t="s">
        <v>55</v>
      </c>
      <c r="W50" s="11" t="s">
        <v>153</v>
      </c>
      <c r="X50" s="11" t="s">
        <v>163</v>
      </c>
      <c r="Y50" s="11" t="s">
        <v>58</v>
      </c>
      <c r="Z50" s="11">
        <f>90*5*12</f>
        <v>5400</v>
      </c>
      <c r="AA50" s="11">
        <f>5*12</f>
        <v>60</v>
      </c>
      <c r="AB50" s="11">
        <v>90</v>
      </c>
      <c r="AC50" s="11" t="s">
        <v>59</v>
      </c>
      <c r="AD50" s="11" t="s">
        <v>277</v>
      </c>
      <c r="AE50" s="11" t="s">
        <v>61</v>
      </c>
      <c r="AF50" s="60" t="s">
        <v>538</v>
      </c>
      <c r="AG50" s="60" t="s">
        <v>52</v>
      </c>
      <c r="AH50" s="11" t="s">
        <v>52</v>
      </c>
      <c r="AI50" s="11" t="s">
        <v>52</v>
      </c>
      <c r="AJ50" s="11" t="s">
        <v>52</v>
      </c>
      <c r="AK50" s="11">
        <v>516.6</v>
      </c>
      <c r="AL50" s="11">
        <v>28.39</v>
      </c>
      <c r="AM50" s="112">
        <f>492*(5/(5+7+3))</f>
        <v>164</v>
      </c>
      <c r="AN50" s="112"/>
      <c r="AO50" s="112"/>
      <c r="AP50" s="112"/>
      <c r="AQ50" s="112"/>
      <c r="AR50" s="112"/>
      <c r="AS50" s="112"/>
      <c r="AU50" s="11">
        <v>0</v>
      </c>
      <c r="AV50" s="1" t="s">
        <v>86</v>
      </c>
    </row>
    <row r="51" spans="1:48" ht="17" customHeight="1">
      <c r="A51" s="13"/>
      <c r="B51" s="13"/>
      <c r="C51" s="13"/>
      <c r="E51" s="13"/>
      <c r="F51" s="13"/>
      <c r="G51" s="13"/>
      <c r="AD51" s="11" t="s">
        <v>257</v>
      </c>
      <c r="AE51" s="11" t="s">
        <v>95</v>
      </c>
      <c r="AF51" s="60" t="s">
        <v>461</v>
      </c>
      <c r="AG51" s="60" t="s">
        <v>698</v>
      </c>
      <c r="AH51" s="11" t="s">
        <v>52</v>
      </c>
      <c r="AI51" s="11" t="s">
        <v>52</v>
      </c>
      <c r="AJ51" s="11" t="s">
        <v>52</v>
      </c>
      <c r="AK51" s="11">
        <v>4.3</v>
      </c>
      <c r="AL51" s="11">
        <v>0.67</v>
      </c>
      <c r="AM51" s="112">
        <f>492*(5/(5+7+3))</f>
        <v>164</v>
      </c>
      <c r="AN51" s="112"/>
      <c r="AO51" s="112"/>
      <c r="AP51" s="112"/>
      <c r="AQ51" s="112"/>
      <c r="AR51" s="112"/>
      <c r="AS51" s="112"/>
      <c r="AU51" s="11">
        <v>0</v>
      </c>
      <c r="AV51" s="1" t="s">
        <v>278</v>
      </c>
    </row>
    <row r="52" spans="1:48" ht="17" customHeight="1">
      <c r="A52" s="13"/>
      <c r="B52" s="13"/>
      <c r="C52" s="13"/>
      <c r="E52" s="13"/>
      <c r="F52" s="13"/>
      <c r="G52" s="13"/>
      <c r="J52" s="11">
        <v>3132</v>
      </c>
      <c r="K52" s="11" t="s">
        <v>279</v>
      </c>
      <c r="L52" s="11">
        <v>4</v>
      </c>
      <c r="M52" s="17">
        <v>9.5</v>
      </c>
      <c r="N52" s="17" t="s">
        <v>52</v>
      </c>
      <c r="O52" s="17" t="s">
        <v>52</v>
      </c>
      <c r="P52" s="17" t="s">
        <v>52</v>
      </c>
      <c r="Q52" s="17" t="s">
        <v>52</v>
      </c>
      <c r="R52" s="17" t="s">
        <v>52</v>
      </c>
      <c r="S52" s="17">
        <f>1-0.68</f>
        <v>0.31999999999999995</v>
      </c>
      <c r="T52" s="11" t="s">
        <v>92</v>
      </c>
      <c r="U52" s="12" t="s">
        <v>280</v>
      </c>
      <c r="V52" s="11" t="s">
        <v>55</v>
      </c>
      <c r="W52" s="11" t="s">
        <v>153</v>
      </c>
      <c r="X52" s="11" t="s">
        <v>163</v>
      </c>
      <c r="Y52" s="11" t="s">
        <v>58</v>
      </c>
      <c r="Z52" s="11">
        <f>90*5*12</f>
        <v>5400</v>
      </c>
      <c r="AA52" s="11">
        <f>5*12</f>
        <v>60</v>
      </c>
      <c r="AB52" s="11">
        <v>90</v>
      </c>
      <c r="AC52" s="11" t="s">
        <v>59</v>
      </c>
      <c r="AD52" s="11" t="s">
        <v>277</v>
      </c>
      <c r="AE52" s="11" t="s">
        <v>61</v>
      </c>
      <c r="AH52" s="11" t="s">
        <v>52</v>
      </c>
      <c r="AI52" s="11" t="s">
        <v>52</v>
      </c>
      <c r="AJ52" s="11" t="s">
        <v>52</v>
      </c>
      <c r="AK52" s="11">
        <v>484.86</v>
      </c>
      <c r="AL52" s="11">
        <v>16.78</v>
      </c>
      <c r="AM52" s="112">
        <f>492*(7/(5+7+3))</f>
        <v>229.6</v>
      </c>
      <c r="AN52" s="112"/>
      <c r="AO52" s="112"/>
      <c r="AP52" s="112"/>
      <c r="AQ52" s="112"/>
      <c r="AR52" s="112"/>
      <c r="AS52" s="112"/>
      <c r="AU52" s="11">
        <v>0</v>
      </c>
    </row>
    <row r="53" spans="1:48" ht="17" customHeight="1">
      <c r="A53" s="13"/>
      <c r="B53" s="13"/>
      <c r="C53" s="13"/>
      <c r="E53" s="13"/>
      <c r="F53" s="13"/>
      <c r="G53" s="13"/>
      <c r="AD53" s="11" t="s">
        <v>257</v>
      </c>
      <c r="AE53" s="11" t="s">
        <v>95</v>
      </c>
      <c r="AH53" s="11" t="s">
        <v>52</v>
      </c>
      <c r="AI53" s="11" t="s">
        <v>52</v>
      </c>
      <c r="AJ53" s="11" t="s">
        <v>52</v>
      </c>
      <c r="AK53" s="11">
        <v>3</v>
      </c>
      <c r="AL53" s="11">
        <v>0</v>
      </c>
      <c r="AM53" s="112">
        <f>492*(7/(5+7+3))</f>
        <v>229.6</v>
      </c>
      <c r="AN53" s="112"/>
      <c r="AO53" s="112"/>
      <c r="AP53" s="112"/>
      <c r="AQ53" s="112"/>
      <c r="AR53" s="112"/>
      <c r="AS53" s="112"/>
      <c r="AU53" s="11">
        <v>0</v>
      </c>
    </row>
    <row r="54" spans="1:48" ht="16.75" customHeight="1">
      <c r="A54" s="13"/>
      <c r="B54" s="13"/>
      <c r="C54" s="13"/>
      <c r="E54" s="13"/>
      <c r="F54" s="13"/>
      <c r="G54" s="13"/>
      <c r="J54" s="11">
        <v>3133</v>
      </c>
      <c r="K54" s="11" t="s">
        <v>281</v>
      </c>
      <c r="L54" s="11">
        <v>4</v>
      </c>
      <c r="M54" s="17">
        <v>9.5</v>
      </c>
      <c r="N54" s="17" t="s">
        <v>52</v>
      </c>
      <c r="O54" s="17" t="s">
        <v>52</v>
      </c>
      <c r="P54" s="17" t="s">
        <v>52</v>
      </c>
      <c r="Q54" s="17" t="s">
        <v>52</v>
      </c>
      <c r="R54" s="17" t="s">
        <v>52</v>
      </c>
      <c r="S54" s="17">
        <f>1-0.68</f>
        <v>0.31999999999999995</v>
      </c>
      <c r="T54" s="11" t="s">
        <v>78</v>
      </c>
      <c r="U54" s="12" t="s">
        <v>282</v>
      </c>
      <c r="V54" s="11" t="s">
        <v>80</v>
      </c>
      <c r="W54" s="11" t="s">
        <v>78</v>
      </c>
      <c r="X54" s="11" t="s">
        <v>78</v>
      </c>
      <c r="Y54" s="11" t="s">
        <v>78</v>
      </c>
      <c r="Z54" s="11" t="s">
        <v>78</v>
      </c>
      <c r="AA54" s="11" t="s">
        <v>78</v>
      </c>
      <c r="AB54" s="11" t="s">
        <v>78</v>
      </c>
      <c r="AC54" s="11" t="s">
        <v>78</v>
      </c>
      <c r="AD54" s="11" t="s">
        <v>277</v>
      </c>
      <c r="AE54" s="11" t="s">
        <v>61</v>
      </c>
      <c r="AH54" s="11" t="s">
        <v>52</v>
      </c>
      <c r="AI54" s="11" t="s">
        <v>52</v>
      </c>
      <c r="AJ54" s="11" t="s">
        <v>52</v>
      </c>
      <c r="AK54" s="11">
        <v>484</v>
      </c>
      <c r="AL54" s="11">
        <v>8.7200000000000006</v>
      </c>
      <c r="AM54" s="112">
        <f>492*(3/(5+7+3))</f>
        <v>98.4</v>
      </c>
      <c r="AN54" s="112"/>
      <c r="AO54" s="112"/>
      <c r="AP54" s="112"/>
      <c r="AQ54" s="112"/>
      <c r="AR54" s="112"/>
      <c r="AS54" s="112"/>
      <c r="AU54" s="11">
        <v>0</v>
      </c>
    </row>
    <row r="55" spans="1:48" s="31" customFormat="1" ht="17" customHeight="1">
      <c r="A55" s="30"/>
      <c r="B55" s="30"/>
      <c r="C55" s="30"/>
      <c r="D55" s="88"/>
      <c r="E55" s="30"/>
      <c r="F55" s="30"/>
      <c r="G55" s="30"/>
      <c r="H55" s="276"/>
      <c r="I55" s="276"/>
      <c r="M55" s="32"/>
      <c r="N55" s="32"/>
      <c r="O55" s="32"/>
      <c r="P55" s="32"/>
      <c r="Q55" s="32"/>
      <c r="R55" s="32"/>
      <c r="S55" s="32"/>
      <c r="U55" s="33"/>
      <c r="AD55" s="31" t="s">
        <v>257</v>
      </c>
      <c r="AE55" s="31" t="s">
        <v>95</v>
      </c>
      <c r="AF55" s="60"/>
      <c r="AG55" s="60"/>
      <c r="AH55" s="31" t="s">
        <v>52</v>
      </c>
      <c r="AI55" s="31" t="s">
        <v>52</v>
      </c>
      <c r="AJ55" s="31" t="s">
        <v>52</v>
      </c>
      <c r="AK55" s="31">
        <v>2.67</v>
      </c>
      <c r="AL55" s="31">
        <v>0.57999999999999996</v>
      </c>
      <c r="AM55" s="113">
        <f>492*(3/(5+7+3))</f>
        <v>98.4</v>
      </c>
      <c r="AN55" s="113"/>
      <c r="AO55" s="113"/>
      <c r="AP55" s="113"/>
      <c r="AQ55" s="113"/>
      <c r="AR55" s="113"/>
      <c r="AS55" s="113"/>
      <c r="AU55" s="31">
        <v>0</v>
      </c>
      <c r="AV55" s="34"/>
    </row>
    <row r="56" spans="1:48" ht="17" customHeight="1">
      <c r="A56" s="13" t="s">
        <v>288</v>
      </c>
      <c r="B56" s="13">
        <v>314</v>
      </c>
      <c r="C56" s="13" t="s">
        <v>263</v>
      </c>
      <c r="D56" s="144" t="s">
        <v>571</v>
      </c>
      <c r="E56" s="13" t="s">
        <v>66</v>
      </c>
      <c r="F56" s="13" t="s">
        <v>49</v>
      </c>
      <c r="G56" s="45" t="s">
        <v>239</v>
      </c>
      <c r="H56" s="277"/>
      <c r="I56" s="277"/>
      <c r="J56" s="11">
        <v>3141</v>
      </c>
      <c r="K56" s="11" t="s">
        <v>283</v>
      </c>
      <c r="L56" s="11">
        <v>1</v>
      </c>
      <c r="M56" s="46">
        <v>7.5</v>
      </c>
      <c r="N56" s="17">
        <v>0</v>
      </c>
      <c r="O56" s="17">
        <v>0</v>
      </c>
      <c r="P56" s="17">
        <v>0</v>
      </c>
      <c r="Q56" s="82" t="s">
        <v>52</v>
      </c>
      <c r="R56" s="17">
        <f>13/29</f>
        <v>0.44827586206896552</v>
      </c>
      <c r="S56" s="82" t="s">
        <v>52</v>
      </c>
      <c r="T56" s="84" t="s">
        <v>53</v>
      </c>
      <c r="U56" s="12" t="s">
        <v>284</v>
      </c>
      <c r="V56" s="84" t="s">
        <v>71</v>
      </c>
      <c r="W56" s="11" t="s">
        <v>153</v>
      </c>
      <c r="X56" s="11" t="s">
        <v>163</v>
      </c>
      <c r="Y56" s="11" t="s">
        <v>58</v>
      </c>
      <c r="Z56" s="11">
        <f>90*5*24</f>
        <v>10800</v>
      </c>
      <c r="AA56" s="11">
        <f>5*24</f>
        <v>120</v>
      </c>
      <c r="AB56" s="45">
        <v>45</v>
      </c>
      <c r="AC56" s="11" t="s">
        <v>148</v>
      </c>
      <c r="AD56" s="11" t="s">
        <v>285</v>
      </c>
      <c r="AE56" s="11" t="s">
        <v>61</v>
      </c>
      <c r="AF56" s="126" t="s">
        <v>538</v>
      </c>
      <c r="AG56" s="126" t="s">
        <v>699</v>
      </c>
      <c r="AH56" s="11" t="s">
        <v>52</v>
      </c>
      <c r="AI56" s="11" t="s">
        <v>52</v>
      </c>
      <c r="AJ56" s="11" t="s">
        <v>52</v>
      </c>
      <c r="AK56" s="11">
        <v>84.55</v>
      </c>
      <c r="AL56" s="11">
        <v>8.77</v>
      </c>
      <c r="AM56" s="11">
        <v>29</v>
      </c>
      <c r="AU56" s="11">
        <v>0</v>
      </c>
    </row>
    <row r="57" spans="1:48" s="31" customFormat="1" ht="17" customHeight="1">
      <c r="A57" s="81"/>
      <c r="B57" s="30"/>
      <c r="C57" s="30"/>
      <c r="D57" s="89"/>
      <c r="E57" s="30"/>
      <c r="F57" s="30"/>
      <c r="G57" s="30"/>
      <c r="H57" s="276"/>
      <c r="I57" s="276"/>
      <c r="J57" s="31">
        <v>3142</v>
      </c>
      <c r="K57" s="31" t="s">
        <v>286</v>
      </c>
      <c r="L57" s="31">
        <v>1</v>
      </c>
      <c r="M57" s="48">
        <v>7.5</v>
      </c>
      <c r="N57" s="32">
        <v>0</v>
      </c>
      <c r="O57" s="32">
        <v>0</v>
      </c>
      <c r="P57" s="32">
        <v>0</v>
      </c>
      <c r="Q57" s="83" t="s">
        <v>52</v>
      </c>
      <c r="R57" s="32">
        <f>10/29</f>
        <v>0.34482758620689657</v>
      </c>
      <c r="S57" s="83" t="s">
        <v>52</v>
      </c>
      <c r="T57" s="31" t="s">
        <v>78</v>
      </c>
      <c r="U57" s="33" t="s">
        <v>287</v>
      </c>
      <c r="V57" s="31" t="s">
        <v>80</v>
      </c>
      <c r="W57" s="31" t="s">
        <v>78</v>
      </c>
      <c r="X57" s="31" t="s">
        <v>78</v>
      </c>
      <c r="Y57" s="31" t="s">
        <v>78</v>
      </c>
      <c r="Z57" s="31" t="s">
        <v>78</v>
      </c>
      <c r="AA57" s="31" t="s">
        <v>78</v>
      </c>
      <c r="AB57" s="31" t="s">
        <v>78</v>
      </c>
      <c r="AC57" s="31" t="s">
        <v>78</v>
      </c>
      <c r="AD57" s="31" t="s">
        <v>285</v>
      </c>
      <c r="AE57" s="31" t="s">
        <v>61</v>
      </c>
      <c r="AF57" s="63"/>
      <c r="AG57" s="63"/>
      <c r="AH57" s="31" t="s">
        <v>52</v>
      </c>
      <c r="AI57" s="31" t="s">
        <v>52</v>
      </c>
      <c r="AJ57" s="31" t="s">
        <v>52</v>
      </c>
      <c r="AK57" s="31">
        <v>60.67</v>
      </c>
      <c r="AL57" s="31">
        <v>22.73</v>
      </c>
      <c r="AM57" s="31">
        <v>29</v>
      </c>
      <c r="AU57" s="31">
        <v>0</v>
      </c>
      <c r="AV57" s="34"/>
    </row>
    <row r="58" spans="1:48" ht="14.5" customHeight="1">
      <c r="A58" s="13" t="s">
        <v>344</v>
      </c>
      <c r="B58" s="13">
        <v>315</v>
      </c>
      <c r="C58" s="13" t="s">
        <v>294</v>
      </c>
      <c r="D58" s="88" t="s">
        <v>693</v>
      </c>
      <c r="E58" s="13" t="s">
        <v>66</v>
      </c>
      <c r="F58" s="13" t="s">
        <v>49</v>
      </c>
      <c r="G58" s="13" t="s">
        <v>239</v>
      </c>
      <c r="J58" s="11">
        <v>3151</v>
      </c>
      <c r="K58" s="11" t="s">
        <v>198</v>
      </c>
      <c r="L58" s="40" t="s">
        <v>146</v>
      </c>
      <c r="M58" s="17">
        <v>10.5</v>
      </c>
      <c r="N58" s="17" t="s">
        <v>316</v>
      </c>
      <c r="O58" s="17">
        <f>5/(55+48)</f>
        <v>4.8543689320388349E-2</v>
      </c>
      <c r="P58" s="17">
        <v>0</v>
      </c>
      <c r="Q58" s="17">
        <f>12/(55+48)</f>
        <v>0.11650485436893204</v>
      </c>
      <c r="R58" s="17">
        <f>48/(55+48)</f>
        <v>0.46601941747572817</v>
      </c>
      <c r="S58" s="46" t="s">
        <v>52</v>
      </c>
      <c r="T58" s="11" t="s">
        <v>92</v>
      </c>
      <c r="U58" s="12" t="s">
        <v>345</v>
      </c>
      <c r="V58" s="45" t="s">
        <v>71</v>
      </c>
      <c r="W58" s="11" t="s">
        <v>153</v>
      </c>
      <c r="X58" s="11" t="s">
        <v>163</v>
      </c>
      <c r="Y58" s="11" t="s">
        <v>58</v>
      </c>
      <c r="Z58" s="11">
        <f>45*90</f>
        <v>4050</v>
      </c>
      <c r="AA58" s="11">
        <f>5*18</f>
        <v>90</v>
      </c>
      <c r="AB58" s="11">
        <v>45</v>
      </c>
      <c r="AC58" s="11" t="s">
        <v>59</v>
      </c>
      <c r="AD58" s="11" t="s">
        <v>346</v>
      </c>
      <c r="AE58" s="11" t="s">
        <v>61</v>
      </c>
      <c r="AF58" s="60" t="s">
        <v>538</v>
      </c>
      <c r="AG58" s="60" t="s">
        <v>585</v>
      </c>
      <c r="AH58" s="86">
        <v>15.47</v>
      </c>
      <c r="AI58" s="86">
        <v>4.43</v>
      </c>
      <c r="AJ58" s="86">
        <v>103</v>
      </c>
      <c r="AK58" s="86" t="s">
        <v>52</v>
      </c>
      <c r="AL58" s="86" t="s">
        <v>52</v>
      </c>
      <c r="AM58" s="86" t="s">
        <v>52</v>
      </c>
      <c r="AN58" s="86"/>
      <c r="AO58" s="86"/>
      <c r="AP58" s="86"/>
      <c r="AQ58" s="86"/>
      <c r="AR58" s="86"/>
      <c r="AS58" s="86"/>
      <c r="AU58" s="11">
        <v>0</v>
      </c>
    </row>
    <row r="59" spans="1:48" ht="14.5" customHeight="1">
      <c r="A59" s="13"/>
      <c r="B59" s="13"/>
      <c r="C59" s="13"/>
      <c r="E59" s="13"/>
      <c r="F59" s="13"/>
      <c r="G59" s="13"/>
      <c r="L59" s="40"/>
      <c r="N59" s="85"/>
      <c r="AD59" s="11" t="s">
        <v>347</v>
      </c>
      <c r="AE59" s="11" t="s">
        <v>95</v>
      </c>
      <c r="AF59" s="60" t="s">
        <v>461</v>
      </c>
      <c r="AG59" s="60" t="s">
        <v>700</v>
      </c>
      <c r="AH59" s="11" t="s">
        <v>52</v>
      </c>
      <c r="AI59" s="11" t="s">
        <v>52</v>
      </c>
      <c r="AJ59" s="11" t="s">
        <v>52</v>
      </c>
      <c r="AK59" s="11">
        <v>22.04</v>
      </c>
      <c r="AL59" s="11">
        <v>7.19</v>
      </c>
      <c r="AM59" s="11">
        <v>89</v>
      </c>
      <c r="AU59" s="11">
        <v>0</v>
      </c>
    </row>
    <row r="60" spans="1:48" ht="14.5" customHeight="1">
      <c r="A60" s="13"/>
      <c r="B60" s="13"/>
      <c r="C60" s="13"/>
      <c r="E60" s="13"/>
      <c r="F60" s="13"/>
      <c r="G60" s="13"/>
      <c r="L60" s="40"/>
      <c r="N60" s="85"/>
      <c r="AD60" s="11" t="s">
        <v>348</v>
      </c>
      <c r="AE60" s="11" t="s">
        <v>61</v>
      </c>
      <c r="AF60" s="60" t="s">
        <v>538</v>
      </c>
      <c r="AG60" s="60" t="s">
        <v>587</v>
      </c>
      <c r="AH60" s="11" t="s">
        <v>52</v>
      </c>
      <c r="AI60" s="11" t="s">
        <v>52</v>
      </c>
      <c r="AJ60" s="11" t="s">
        <v>52</v>
      </c>
      <c r="AK60" s="11">
        <v>6.01</v>
      </c>
      <c r="AL60" s="11">
        <v>2.13</v>
      </c>
      <c r="AM60" s="11">
        <v>89</v>
      </c>
      <c r="AU60" s="11">
        <v>0</v>
      </c>
    </row>
    <row r="61" spans="1:48" ht="14.5" customHeight="1">
      <c r="A61" s="13"/>
      <c r="B61" s="13"/>
      <c r="C61" s="13"/>
      <c r="E61" s="13"/>
      <c r="F61" s="13"/>
      <c r="G61" s="13"/>
      <c r="L61" s="40"/>
      <c r="N61" s="85"/>
      <c r="AD61" s="11" t="s">
        <v>349</v>
      </c>
      <c r="AE61" s="11" t="s">
        <v>95</v>
      </c>
      <c r="AF61" s="60" t="s">
        <v>461</v>
      </c>
      <c r="AG61" s="60" t="s">
        <v>700</v>
      </c>
      <c r="AH61" s="11" t="s">
        <v>52</v>
      </c>
      <c r="AI61" s="11" t="s">
        <v>52</v>
      </c>
      <c r="AJ61" s="11" t="s">
        <v>52</v>
      </c>
      <c r="AK61" s="11">
        <v>6.24</v>
      </c>
      <c r="AL61" s="11">
        <v>3.09</v>
      </c>
      <c r="AM61" s="11">
        <v>89</v>
      </c>
      <c r="AU61" s="11">
        <v>0</v>
      </c>
    </row>
    <row r="62" spans="1:48" ht="14.5" customHeight="1">
      <c r="A62" s="13"/>
      <c r="B62" s="13"/>
      <c r="C62" s="13"/>
      <c r="E62" s="13"/>
      <c r="F62" s="13"/>
      <c r="G62" s="13"/>
      <c r="J62" s="11">
        <v>3152</v>
      </c>
      <c r="K62" s="11" t="s">
        <v>126</v>
      </c>
      <c r="L62" s="40" t="s">
        <v>146</v>
      </c>
      <c r="M62" s="17">
        <v>10.5</v>
      </c>
      <c r="N62" s="17" t="s">
        <v>316</v>
      </c>
      <c r="O62" s="17">
        <f>2/(64+49)</f>
        <v>1.7699115044247787E-2</v>
      </c>
      <c r="P62" s="17">
        <v>0</v>
      </c>
      <c r="Q62" s="17">
        <f>2/(64+49)</f>
        <v>1.7699115044247787E-2</v>
      </c>
      <c r="R62" s="17">
        <f>49/(64+49)</f>
        <v>0.4336283185840708</v>
      </c>
      <c r="S62" s="46" t="s">
        <v>52</v>
      </c>
      <c r="T62" s="11" t="s">
        <v>78</v>
      </c>
      <c r="U62" s="12" t="s">
        <v>350</v>
      </c>
      <c r="V62" s="11" t="s">
        <v>351</v>
      </c>
      <c r="W62" s="11" t="s">
        <v>78</v>
      </c>
      <c r="X62" s="11" t="s">
        <v>78</v>
      </c>
      <c r="Y62" s="11" t="s">
        <v>78</v>
      </c>
      <c r="Z62" s="11" t="s">
        <v>78</v>
      </c>
      <c r="AA62" s="11" t="s">
        <v>78</v>
      </c>
      <c r="AB62" s="11" t="s">
        <v>78</v>
      </c>
      <c r="AC62" s="11" t="s">
        <v>78</v>
      </c>
      <c r="AD62" s="11" t="s">
        <v>346</v>
      </c>
      <c r="AE62" s="11" t="s">
        <v>61</v>
      </c>
      <c r="AH62" s="86">
        <v>16.46</v>
      </c>
      <c r="AI62" s="86">
        <v>5.28</v>
      </c>
      <c r="AJ62" s="86">
        <v>113</v>
      </c>
      <c r="AK62" s="86" t="s">
        <v>52</v>
      </c>
      <c r="AL62" s="86" t="s">
        <v>52</v>
      </c>
      <c r="AM62" s="86" t="s">
        <v>52</v>
      </c>
      <c r="AN62" s="86"/>
      <c r="AO62" s="86"/>
      <c r="AP62" s="86"/>
      <c r="AQ62" s="86"/>
      <c r="AR62" s="86"/>
      <c r="AS62" s="86"/>
      <c r="AU62" s="11">
        <v>0</v>
      </c>
    </row>
    <row r="63" spans="1:48" ht="14.5" customHeight="1">
      <c r="A63" s="13"/>
      <c r="B63" s="13"/>
      <c r="C63" s="13"/>
      <c r="E63" s="13"/>
      <c r="F63" s="13"/>
      <c r="G63" s="13"/>
      <c r="L63" s="40"/>
      <c r="AD63" s="11" t="s">
        <v>347</v>
      </c>
      <c r="AE63" s="11" t="s">
        <v>95</v>
      </c>
      <c r="AH63" s="11" t="s">
        <v>52</v>
      </c>
      <c r="AI63" s="11" t="s">
        <v>52</v>
      </c>
      <c r="AJ63" s="11" t="s">
        <v>52</v>
      </c>
      <c r="AK63" s="11">
        <v>23.21</v>
      </c>
      <c r="AL63" s="11">
        <v>7.33</v>
      </c>
      <c r="AM63" s="11">
        <v>90</v>
      </c>
      <c r="AU63" s="11">
        <v>0</v>
      </c>
    </row>
    <row r="64" spans="1:48" ht="14.5" customHeight="1">
      <c r="A64" s="13"/>
      <c r="B64" s="13"/>
      <c r="C64" s="13"/>
      <c r="E64" s="13"/>
      <c r="F64" s="13"/>
      <c r="G64" s="13"/>
      <c r="L64" s="40"/>
      <c r="AD64" s="11" t="s">
        <v>348</v>
      </c>
      <c r="AE64" s="11" t="s">
        <v>61</v>
      </c>
      <c r="AH64" s="11" t="s">
        <v>52</v>
      </c>
      <c r="AI64" s="11" t="s">
        <v>52</v>
      </c>
      <c r="AJ64" s="11" t="s">
        <v>52</v>
      </c>
      <c r="AK64" s="11">
        <v>6.25</v>
      </c>
      <c r="AL64" s="11">
        <v>1.98</v>
      </c>
      <c r="AM64" s="11">
        <v>90</v>
      </c>
      <c r="AU64" s="11">
        <v>0</v>
      </c>
    </row>
    <row r="65" spans="1:48" s="31" customFormat="1" ht="14.5" customHeight="1">
      <c r="A65" s="30"/>
      <c r="B65" s="30"/>
      <c r="C65" s="30"/>
      <c r="D65" s="89"/>
      <c r="E65" s="30"/>
      <c r="F65" s="30"/>
      <c r="G65" s="30"/>
      <c r="H65" s="276"/>
      <c r="I65" s="276"/>
      <c r="L65" s="41"/>
      <c r="M65" s="32"/>
      <c r="N65" s="32"/>
      <c r="O65" s="32"/>
      <c r="P65" s="32"/>
      <c r="Q65" s="32"/>
      <c r="R65" s="32"/>
      <c r="S65" s="32"/>
      <c r="U65" s="33"/>
      <c r="AD65" s="31" t="s">
        <v>349</v>
      </c>
      <c r="AE65" s="31" t="s">
        <v>95</v>
      </c>
      <c r="AF65" s="60"/>
      <c r="AG65" s="60"/>
      <c r="AH65" s="31" t="s">
        <v>52</v>
      </c>
      <c r="AI65" s="31" t="s">
        <v>52</v>
      </c>
      <c r="AJ65" s="31" t="s">
        <v>52</v>
      </c>
      <c r="AK65" s="31">
        <v>5.89</v>
      </c>
      <c r="AL65" s="31">
        <v>2.92</v>
      </c>
      <c r="AM65" s="31">
        <v>90</v>
      </c>
      <c r="AU65" s="31">
        <v>0</v>
      </c>
      <c r="AV65" s="34"/>
    </row>
    <row r="66" spans="1:48" ht="14.5" customHeight="1">
      <c r="A66" s="13" t="s">
        <v>352</v>
      </c>
      <c r="B66" s="13">
        <v>316</v>
      </c>
      <c r="C66" s="13" t="s">
        <v>47</v>
      </c>
      <c r="D66" s="88" t="s">
        <v>692</v>
      </c>
      <c r="E66" s="13" t="s">
        <v>66</v>
      </c>
      <c r="F66" s="13" t="s">
        <v>49</v>
      </c>
      <c r="G66" s="13" t="s">
        <v>50</v>
      </c>
      <c r="J66" s="11">
        <v>3161</v>
      </c>
      <c r="K66" s="11" t="s">
        <v>353</v>
      </c>
      <c r="L66" s="40" t="s">
        <v>354</v>
      </c>
      <c r="M66" s="17">
        <f>(15+17)/2</f>
        <v>16</v>
      </c>
      <c r="N66" s="17">
        <v>0</v>
      </c>
      <c r="O66" s="17">
        <v>0</v>
      </c>
      <c r="P66" s="17">
        <v>0.6</v>
      </c>
      <c r="Q66" s="17">
        <v>0</v>
      </c>
      <c r="R66" s="17">
        <f>1-0.46</f>
        <v>0.54</v>
      </c>
      <c r="S66" s="17">
        <f>1-0.21</f>
        <v>0.79</v>
      </c>
      <c r="T66" s="11" t="s">
        <v>92</v>
      </c>
      <c r="U66" s="12" t="s">
        <v>355</v>
      </c>
      <c r="V66" s="11" t="s">
        <v>71</v>
      </c>
      <c r="W66" s="11" t="s">
        <v>153</v>
      </c>
      <c r="X66" s="11" t="s">
        <v>163</v>
      </c>
      <c r="Y66" s="11" t="s">
        <v>58</v>
      </c>
      <c r="Z66" s="11">
        <f>60*14</f>
        <v>840</v>
      </c>
      <c r="AA66" s="11">
        <v>14</v>
      </c>
      <c r="AB66" s="11">
        <v>60</v>
      </c>
      <c r="AC66" s="11" t="s">
        <v>148</v>
      </c>
      <c r="AD66" s="11" t="s">
        <v>356</v>
      </c>
      <c r="AE66" s="11" t="s">
        <v>61</v>
      </c>
      <c r="AF66" s="126" t="s">
        <v>538</v>
      </c>
      <c r="AG66" s="126" t="s">
        <v>52</v>
      </c>
      <c r="AH66" s="11" t="s">
        <v>52</v>
      </c>
      <c r="AI66" s="11" t="s">
        <v>52</v>
      </c>
      <c r="AJ66" s="11" t="s">
        <v>52</v>
      </c>
      <c r="AK66" s="11">
        <v>560.97</v>
      </c>
      <c r="AL66" s="11">
        <v>20.68</v>
      </c>
      <c r="AM66" s="11">
        <v>38</v>
      </c>
      <c r="AU66" s="11">
        <v>0</v>
      </c>
    </row>
    <row r="67" spans="1:48" ht="14.5" customHeight="1">
      <c r="A67" s="13"/>
      <c r="B67" s="13"/>
      <c r="C67" s="13"/>
      <c r="E67" s="13"/>
      <c r="F67" s="13"/>
      <c r="G67" s="13"/>
      <c r="L67" s="40"/>
      <c r="AD67" s="11" t="s">
        <v>357</v>
      </c>
      <c r="AE67" s="11" t="s">
        <v>95</v>
      </c>
      <c r="AF67" s="60" t="s">
        <v>530</v>
      </c>
      <c r="AG67" s="60" t="s">
        <v>52</v>
      </c>
      <c r="AH67" s="11" t="s">
        <v>52</v>
      </c>
      <c r="AI67" s="11" t="s">
        <v>52</v>
      </c>
      <c r="AJ67" s="11" t="s">
        <v>52</v>
      </c>
      <c r="AK67" s="11">
        <v>68.39</v>
      </c>
      <c r="AL67" s="11">
        <v>13.56</v>
      </c>
      <c r="AM67" s="11">
        <v>31</v>
      </c>
      <c r="AU67" s="11">
        <v>0</v>
      </c>
    </row>
    <row r="68" spans="1:48" ht="14.5" customHeight="1">
      <c r="A68" s="13"/>
      <c r="B68" s="13"/>
      <c r="C68" s="13"/>
      <c r="E68" s="13"/>
      <c r="F68" s="13"/>
      <c r="G68" s="13"/>
      <c r="L68" s="40"/>
      <c r="AD68" s="11" t="s">
        <v>358</v>
      </c>
      <c r="AE68" s="11" t="s">
        <v>95</v>
      </c>
      <c r="AF68" s="60" t="s">
        <v>530</v>
      </c>
      <c r="AG68" s="60" t="s">
        <v>52</v>
      </c>
      <c r="AH68" s="11" t="s">
        <v>52</v>
      </c>
      <c r="AI68" s="11" t="s">
        <v>52</v>
      </c>
      <c r="AJ68" s="11" t="s">
        <v>52</v>
      </c>
      <c r="AK68" s="11">
        <v>82.1</v>
      </c>
      <c r="AL68" s="11">
        <v>13.02</v>
      </c>
      <c r="AM68" s="11">
        <v>31</v>
      </c>
      <c r="AU68" s="11">
        <v>0</v>
      </c>
    </row>
    <row r="69" spans="1:48" ht="14.5" customHeight="1">
      <c r="A69" s="13"/>
      <c r="B69" s="13"/>
      <c r="C69" s="13"/>
      <c r="E69" s="13"/>
      <c r="F69" s="13"/>
      <c r="G69" s="13"/>
      <c r="L69" s="40"/>
      <c r="AD69" s="11" t="s">
        <v>359</v>
      </c>
      <c r="AE69" s="11" t="s">
        <v>95</v>
      </c>
      <c r="AF69" s="60" t="s">
        <v>530</v>
      </c>
      <c r="AG69" s="60" t="s">
        <v>52</v>
      </c>
      <c r="AH69" s="11" t="s">
        <v>52</v>
      </c>
      <c r="AI69" s="11" t="s">
        <v>52</v>
      </c>
      <c r="AJ69" s="11" t="s">
        <v>52</v>
      </c>
      <c r="AK69" s="11">
        <v>81.94</v>
      </c>
      <c r="AL69" s="11">
        <v>13.58</v>
      </c>
      <c r="AM69" s="11">
        <v>31</v>
      </c>
      <c r="AU69" s="11">
        <v>0</v>
      </c>
    </row>
    <row r="70" spans="1:48" ht="14.5" customHeight="1">
      <c r="A70" s="13"/>
      <c r="B70" s="13"/>
      <c r="C70" s="13"/>
      <c r="E70" s="13"/>
      <c r="F70" s="13"/>
      <c r="G70" s="13"/>
      <c r="L70" s="40"/>
      <c r="AD70" s="11" t="s">
        <v>360</v>
      </c>
      <c r="AE70" s="11" t="s">
        <v>95</v>
      </c>
      <c r="AF70" s="60" t="s">
        <v>530</v>
      </c>
      <c r="AG70" s="60" t="s">
        <v>52</v>
      </c>
      <c r="AH70" s="11" t="s">
        <v>52</v>
      </c>
      <c r="AI70" s="11" t="s">
        <v>52</v>
      </c>
      <c r="AJ70" s="11" t="s">
        <v>52</v>
      </c>
      <c r="AK70" s="11">
        <v>66.290000000000006</v>
      </c>
      <c r="AL70" s="11">
        <v>15.49</v>
      </c>
      <c r="AM70" s="11">
        <v>31</v>
      </c>
      <c r="AU70" s="11">
        <v>0</v>
      </c>
    </row>
    <row r="71" spans="1:48" ht="14.5" customHeight="1">
      <c r="A71" s="13"/>
      <c r="B71" s="13"/>
      <c r="C71" s="13"/>
      <c r="E71" s="13"/>
      <c r="F71" s="13"/>
      <c r="G71" s="13"/>
      <c r="J71" s="11">
        <v>3162</v>
      </c>
      <c r="K71" s="11" t="s">
        <v>361</v>
      </c>
      <c r="L71" s="40" t="s">
        <v>354</v>
      </c>
      <c r="M71" s="17">
        <f>(15+17)/2</f>
        <v>16</v>
      </c>
      <c r="N71" s="17">
        <v>0</v>
      </c>
      <c r="O71" s="17">
        <v>0</v>
      </c>
      <c r="P71" s="17">
        <v>0.6</v>
      </c>
      <c r="Q71" s="17">
        <v>0</v>
      </c>
      <c r="R71" s="17">
        <f>1-0.46</f>
        <v>0.54</v>
      </c>
      <c r="S71" s="17">
        <f>1-0.21</f>
        <v>0.79</v>
      </c>
      <c r="T71" s="11" t="s">
        <v>92</v>
      </c>
      <c r="U71" s="12" t="s">
        <v>362</v>
      </c>
      <c r="V71" s="11" t="s">
        <v>71</v>
      </c>
      <c r="W71" s="11" t="s">
        <v>153</v>
      </c>
      <c r="X71" s="11" t="s">
        <v>163</v>
      </c>
      <c r="Y71" s="11" t="s">
        <v>58</v>
      </c>
      <c r="Z71" s="11">
        <f>60*14</f>
        <v>840</v>
      </c>
      <c r="AA71" s="11">
        <v>14</v>
      </c>
      <c r="AB71" s="11">
        <v>60</v>
      </c>
      <c r="AC71" s="11" t="s">
        <v>148</v>
      </c>
      <c r="AD71" s="11" t="s">
        <v>356</v>
      </c>
      <c r="AE71" s="11" t="s">
        <v>61</v>
      </c>
      <c r="AH71" s="11" t="s">
        <v>52</v>
      </c>
      <c r="AI71" s="11" t="s">
        <v>52</v>
      </c>
      <c r="AJ71" s="11" t="s">
        <v>52</v>
      </c>
      <c r="AK71" s="11">
        <v>561.75</v>
      </c>
      <c r="AL71" s="11">
        <v>19.93</v>
      </c>
      <c r="AM71" s="11">
        <v>24</v>
      </c>
      <c r="AU71" s="11">
        <v>0</v>
      </c>
    </row>
    <row r="72" spans="1:48" ht="14.5" customHeight="1">
      <c r="A72" s="13"/>
      <c r="B72" s="13"/>
      <c r="C72" s="13"/>
      <c r="E72" s="13"/>
      <c r="F72" s="13"/>
      <c r="G72" s="13"/>
      <c r="L72" s="40"/>
      <c r="AD72" s="11" t="s">
        <v>357</v>
      </c>
      <c r="AE72" s="11" t="s">
        <v>95</v>
      </c>
      <c r="AH72" s="11" t="s">
        <v>52</v>
      </c>
      <c r="AI72" s="11" t="s">
        <v>52</v>
      </c>
      <c r="AJ72" s="11" t="s">
        <v>52</v>
      </c>
      <c r="AK72" s="11">
        <v>79.47</v>
      </c>
      <c r="AL72" s="11">
        <v>6.85</v>
      </c>
      <c r="AM72" s="11">
        <v>19</v>
      </c>
      <c r="AU72" s="11">
        <v>0</v>
      </c>
    </row>
    <row r="73" spans="1:48" ht="14.5" customHeight="1">
      <c r="A73" s="13"/>
      <c r="B73" s="13"/>
      <c r="C73" s="13"/>
      <c r="E73" s="13"/>
      <c r="F73" s="13"/>
      <c r="G73" s="13"/>
      <c r="L73" s="40"/>
      <c r="AD73" s="11" t="s">
        <v>358</v>
      </c>
      <c r="AE73" s="11" t="s">
        <v>95</v>
      </c>
      <c r="AH73" s="11" t="s">
        <v>52</v>
      </c>
      <c r="AI73" s="11" t="s">
        <v>52</v>
      </c>
      <c r="AJ73" s="11" t="s">
        <v>52</v>
      </c>
      <c r="AK73" s="11">
        <v>82.63</v>
      </c>
      <c r="AL73" s="11">
        <v>12.18</v>
      </c>
      <c r="AM73" s="11">
        <v>19</v>
      </c>
      <c r="AU73" s="11">
        <v>0</v>
      </c>
    </row>
    <row r="74" spans="1:48" ht="14.5" customHeight="1">
      <c r="A74" s="13"/>
      <c r="B74" s="13"/>
      <c r="C74" s="13"/>
      <c r="E74" s="13"/>
      <c r="F74" s="13"/>
      <c r="G74" s="13"/>
      <c r="L74" s="40"/>
      <c r="AD74" s="11" t="s">
        <v>359</v>
      </c>
      <c r="AE74" s="11" t="s">
        <v>95</v>
      </c>
      <c r="AH74" s="11" t="s">
        <v>52</v>
      </c>
      <c r="AI74" s="11" t="s">
        <v>52</v>
      </c>
      <c r="AJ74" s="11" t="s">
        <v>52</v>
      </c>
      <c r="AK74" s="11">
        <v>90.53</v>
      </c>
      <c r="AL74" s="11">
        <v>10.26</v>
      </c>
      <c r="AM74" s="11">
        <v>19</v>
      </c>
      <c r="AU74" s="11">
        <v>0</v>
      </c>
    </row>
    <row r="75" spans="1:48" ht="14.5" customHeight="1">
      <c r="A75" s="13"/>
      <c r="B75" s="13"/>
      <c r="C75" s="13"/>
      <c r="E75" s="13"/>
      <c r="F75" s="13"/>
      <c r="G75" s="13"/>
      <c r="L75" s="40"/>
      <c r="AD75" s="11" t="s">
        <v>360</v>
      </c>
      <c r="AE75" s="11" t="s">
        <v>95</v>
      </c>
      <c r="AH75" s="11" t="s">
        <v>52</v>
      </c>
      <c r="AI75" s="11" t="s">
        <v>52</v>
      </c>
      <c r="AJ75" s="11" t="s">
        <v>52</v>
      </c>
      <c r="AK75" s="11">
        <v>68.42</v>
      </c>
      <c r="AL75" s="11">
        <v>14.63</v>
      </c>
      <c r="AM75" s="11">
        <v>19</v>
      </c>
      <c r="AU75" s="11">
        <v>0</v>
      </c>
    </row>
    <row r="76" spans="1:48" ht="14.5" customHeight="1">
      <c r="A76" s="13"/>
      <c r="B76" s="13"/>
      <c r="C76" s="13"/>
      <c r="E76" s="13"/>
      <c r="F76" s="13"/>
      <c r="G76" s="13"/>
      <c r="J76" s="11">
        <v>3163</v>
      </c>
      <c r="K76" s="11" t="s">
        <v>126</v>
      </c>
      <c r="L76" s="40" t="s">
        <v>354</v>
      </c>
      <c r="M76" s="17">
        <f>(15+17)/2</f>
        <v>16</v>
      </c>
      <c r="N76" s="17">
        <v>0</v>
      </c>
      <c r="O76" s="17">
        <v>0</v>
      </c>
      <c r="P76" s="17">
        <v>0.6</v>
      </c>
      <c r="Q76" s="17">
        <v>0</v>
      </c>
      <c r="R76" s="17">
        <f>1-0.46</f>
        <v>0.54</v>
      </c>
      <c r="S76" s="17">
        <f>1-0.21</f>
        <v>0.79</v>
      </c>
      <c r="T76" s="11" t="s">
        <v>78</v>
      </c>
      <c r="U76" s="12" t="s">
        <v>363</v>
      </c>
      <c r="V76" s="42" t="s">
        <v>71</v>
      </c>
      <c r="W76" s="11" t="s">
        <v>78</v>
      </c>
      <c r="X76" s="11" t="s">
        <v>78</v>
      </c>
      <c r="Y76" s="11" t="s">
        <v>78</v>
      </c>
      <c r="Z76" s="11" t="s">
        <v>78</v>
      </c>
      <c r="AA76" s="11" t="s">
        <v>78</v>
      </c>
      <c r="AB76" s="11" t="s">
        <v>78</v>
      </c>
      <c r="AC76" s="11" t="s">
        <v>78</v>
      </c>
      <c r="AD76" s="11" t="s">
        <v>356</v>
      </c>
      <c r="AE76" s="11" t="s">
        <v>61</v>
      </c>
      <c r="AH76" s="11" t="s">
        <v>52</v>
      </c>
      <c r="AI76" s="11" t="s">
        <v>52</v>
      </c>
      <c r="AJ76" s="11" t="s">
        <v>52</v>
      </c>
      <c r="AK76" s="11">
        <v>549.12</v>
      </c>
      <c r="AL76" s="11">
        <v>22.19</v>
      </c>
      <c r="AM76" s="11">
        <v>43</v>
      </c>
      <c r="AU76" s="11">
        <v>0</v>
      </c>
    </row>
    <row r="77" spans="1:48" ht="14.5" customHeight="1">
      <c r="A77" s="13"/>
      <c r="B77" s="13"/>
      <c r="C77" s="13"/>
      <c r="E77" s="13"/>
      <c r="F77" s="13"/>
      <c r="G77" s="13"/>
      <c r="L77" s="40"/>
      <c r="AD77" s="11" t="s">
        <v>357</v>
      </c>
      <c r="AE77" s="11" t="s">
        <v>95</v>
      </c>
      <c r="AH77" s="11" t="s">
        <v>52</v>
      </c>
      <c r="AI77" s="11" t="s">
        <v>52</v>
      </c>
      <c r="AJ77" s="11" t="s">
        <v>52</v>
      </c>
      <c r="AK77" s="11">
        <v>64.64</v>
      </c>
      <c r="AL77" s="11">
        <v>17.71</v>
      </c>
      <c r="AM77" s="11">
        <v>56</v>
      </c>
      <c r="AU77" s="11">
        <v>0</v>
      </c>
    </row>
    <row r="78" spans="1:48" ht="14.5" customHeight="1">
      <c r="A78" s="13"/>
      <c r="B78" s="13"/>
      <c r="C78" s="13"/>
      <c r="E78" s="13"/>
      <c r="F78" s="13"/>
      <c r="G78" s="13"/>
      <c r="L78" s="40"/>
      <c r="AD78" s="11" t="s">
        <v>358</v>
      </c>
      <c r="AE78" s="11" t="s">
        <v>95</v>
      </c>
      <c r="AH78" s="11" t="s">
        <v>52</v>
      </c>
      <c r="AI78" s="11" t="s">
        <v>52</v>
      </c>
      <c r="AJ78" s="11" t="s">
        <v>52</v>
      </c>
      <c r="AK78" s="11">
        <v>78.13</v>
      </c>
      <c r="AL78" s="11">
        <v>18.43</v>
      </c>
      <c r="AM78" s="11">
        <v>56</v>
      </c>
      <c r="AU78" s="11">
        <v>0</v>
      </c>
    </row>
    <row r="79" spans="1:48" ht="14.5" customHeight="1">
      <c r="A79" s="13"/>
      <c r="B79" s="13"/>
      <c r="C79" s="13"/>
      <c r="E79" s="13"/>
      <c r="F79" s="13"/>
      <c r="G79" s="13"/>
      <c r="L79" s="40"/>
      <c r="AD79" s="11" t="s">
        <v>359</v>
      </c>
      <c r="AE79" s="11" t="s">
        <v>95</v>
      </c>
      <c r="AH79" s="11" t="s">
        <v>52</v>
      </c>
      <c r="AI79" s="11" t="s">
        <v>52</v>
      </c>
      <c r="AJ79" s="11" t="s">
        <v>52</v>
      </c>
      <c r="AK79" s="11">
        <v>75.45</v>
      </c>
      <c r="AL79" s="11">
        <v>21.69</v>
      </c>
      <c r="AM79" s="11">
        <v>56</v>
      </c>
      <c r="AU79" s="11">
        <v>0</v>
      </c>
    </row>
    <row r="80" spans="1:48" s="31" customFormat="1" ht="14.5" customHeight="1">
      <c r="A80" s="30"/>
      <c r="B80" s="30"/>
      <c r="C80" s="30"/>
      <c r="D80" s="89"/>
      <c r="E80" s="30"/>
      <c r="F80" s="30"/>
      <c r="G80" s="30"/>
      <c r="H80" s="276"/>
      <c r="I80" s="276"/>
      <c r="L80" s="41"/>
      <c r="M80" s="32"/>
      <c r="N80" s="32"/>
      <c r="O80" s="32"/>
      <c r="P80" s="32"/>
      <c r="Q80" s="32"/>
      <c r="R80" s="32"/>
      <c r="S80" s="32"/>
      <c r="U80" s="33"/>
      <c r="AD80" s="31" t="s">
        <v>360</v>
      </c>
      <c r="AE80" s="31" t="s">
        <v>95</v>
      </c>
      <c r="AF80" s="63"/>
      <c r="AG80" s="63"/>
      <c r="AH80" s="31" t="s">
        <v>52</v>
      </c>
      <c r="AI80" s="31" t="s">
        <v>52</v>
      </c>
      <c r="AJ80" s="31" t="s">
        <v>52</v>
      </c>
      <c r="AK80" s="31">
        <v>56.88</v>
      </c>
      <c r="AL80" s="31">
        <v>20.170000000000002</v>
      </c>
      <c r="AM80" s="31">
        <v>56</v>
      </c>
      <c r="AU80" s="31">
        <v>0</v>
      </c>
      <c r="AV80" s="34"/>
    </row>
    <row r="81" spans="1:48" ht="14.5" customHeight="1">
      <c r="A81" s="13" t="s">
        <v>364</v>
      </c>
      <c r="B81" s="13">
        <v>317</v>
      </c>
      <c r="C81" s="13" t="s">
        <v>47</v>
      </c>
      <c r="D81" s="88" t="s">
        <v>692</v>
      </c>
      <c r="E81" s="13" t="s">
        <v>66</v>
      </c>
      <c r="F81" s="13" t="s">
        <v>49</v>
      </c>
      <c r="G81" s="13" t="s">
        <v>239</v>
      </c>
      <c r="J81" s="11">
        <v>3171</v>
      </c>
      <c r="K81" s="11" t="s">
        <v>240</v>
      </c>
      <c r="L81" s="40" t="s">
        <v>365</v>
      </c>
      <c r="M81" s="17">
        <v>8.5</v>
      </c>
      <c r="N81" s="17" t="s">
        <v>316</v>
      </c>
      <c r="O81" s="46" t="s">
        <v>52</v>
      </c>
      <c r="P81" s="17">
        <v>0.18</v>
      </c>
      <c r="Q81" s="17" t="s">
        <v>52</v>
      </c>
      <c r="R81" s="17">
        <v>0.48</v>
      </c>
      <c r="S81" s="46">
        <f>1-0.76</f>
        <v>0.24</v>
      </c>
      <c r="T81" s="11" t="s">
        <v>92</v>
      </c>
      <c r="U81" s="12" t="s">
        <v>366</v>
      </c>
      <c r="V81" s="11" t="s">
        <v>71</v>
      </c>
      <c r="W81" s="11" t="s">
        <v>153</v>
      </c>
      <c r="X81" s="11" t="s">
        <v>163</v>
      </c>
      <c r="Y81" s="11" t="s">
        <v>58</v>
      </c>
      <c r="Z81" s="11">
        <f>60*90</f>
        <v>5400</v>
      </c>
      <c r="AA81" s="11">
        <f>5*12</f>
        <v>60</v>
      </c>
      <c r="AB81" s="11">
        <v>90</v>
      </c>
      <c r="AC81" s="11" t="s">
        <v>59</v>
      </c>
      <c r="AD81" s="11" t="s">
        <v>367</v>
      </c>
      <c r="AE81" s="11" t="s">
        <v>95</v>
      </c>
      <c r="AF81" s="60" t="s">
        <v>461</v>
      </c>
      <c r="AG81" s="60" t="s">
        <v>701</v>
      </c>
      <c r="AH81" s="11">
        <v>3.13</v>
      </c>
      <c r="AI81" s="11">
        <v>1.1000000000000001</v>
      </c>
      <c r="AJ81" s="11">
        <v>148</v>
      </c>
      <c r="AK81" s="11">
        <v>3.65</v>
      </c>
      <c r="AL81" s="11">
        <v>1.04</v>
      </c>
      <c r="AM81" s="11">
        <v>148</v>
      </c>
      <c r="AU81" s="11">
        <v>0</v>
      </c>
      <c r="AV81" s="1" t="s">
        <v>86</v>
      </c>
    </row>
    <row r="82" spans="1:48" ht="14.5" customHeight="1">
      <c r="A82" s="13"/>
      <c r="B82" s="13"/>
      <c r="C82" s="13"/>
      <c r="E82" s="13"/>
      <c r="F82" s="13"/>
      <c r="G82" s="13"/>
      <c r="L82" s="40"/>
      <c r="AD82" s="11" t="s">
        <v>368</v>
      </c>
      <c r="AE82" s="11" t="s">
        <v>95</v>
      </c>
      <c r="AF82" s="60" t="s">
        <v>461</v>
      </c>
      <c r="AG82" s="60" t="s">
        <v>702</v>
      </c>
      <c r="AH82" s="11">
        <v>0.31</v>
      </c>
      <c r="AI82" s="11">
        <v>0.18</v>
      </c>
      <c r="AJ82" s="11">
        <v>148</v>
      </c>
      <c r="AK82" s="11">
        <v>0.56000000000000005</v>
      </c>
      <c r="AL82" s="11">
        <v>0.14000000000000001</v>
      </c>
      <c r="AM82" s="11">
        <v>148</v>
      </c>
      <c r="AU82" s="11">
        <v>0</v>
      </c>
    </row>
    <row r="83" spans="1:48" ht="14.5" customHeight="1">
      <c r="A83" s="13"/>
      <c r="B83" s="13"/>
      <c r="C83" s="13"/>
      <c r="E83" s="13"/>
      <c r="F83" s="13"/>
      <c r="G83" s="13"/>
      <c r="J83" s="11">
        <v>3172</v>
      </c>
      <c r="K83" s="11" t="s">
        <v>279</v>
      </c>
      <c r="L83" s="40" t="s">
        <v>365</v>
      </c>
      <c r="M83" s="17">
        <v>8.5</v>
      </c>
      <c r="N83" s="17" t="s">
        <v>316</v>
      </c>
      <c r="O83" s="46" t="s">
        <v>52</v>
      </c>
      <c r="P83" s="17">
        <v>0.22</v>
      </c>
      <c r="Q83" s="17" t="s">
        <v>52</v>
      </c>
      <c r="R83" s="17">
        <v>0.48</v>
      </c>
      <c r="S83" s="46">
        <f>1-0.73</f>
        <v>0.27</v>
      </c>
      <c r="T83" s="11" t="s">
        <v>92</v>
      </c>
      <c r="U83" s="12" t="s">
        <v>369</v>
      </c>
      <c r="V83" s="11" t="s">
        <v>80</v>
      </c>
      <c r="W83" s="11" t="s">
        <v>153</v>
      </c>
      <c r="X83" s="11" t="s">
        <v>163</v>
      </c>
      <c r="Y83" s="11" t="s">
        <v>58</v>
      </c>
      <c r="Z83" s="11">
        <f>60*90</f>
        <v>5400</v>
      </c>
      <c r="AA83" s="11">
        <f>5*12</f>
        <v>60</v>
      </c>
      <c r="AB83" s="11">
        <v>90</v>
      </c>
      <c r="AC83" s="11" t="s">
        <v>59</v>
      </c>
      <c r="AD83" s="11" t="s">
        <v>367</v>
      </c>
      <c r="AE83" s="11" t="s">
        <v>95</v>
      </c>
      <c r="AH83" s="11">
        <v>2.19</v>
      </c>
      <c r="AI83" s="11">
        <v>0.78</v>
      </c>
      <c r="AJ83" s="11">
        <v>213</v>
      </c>
      <c r="AK83" s="11">
        <v>2.87</v>
      </c>
      <c r="AL83" s="11">
        <v>0.51</v>
      </c>
      <c r="AM83" s="11">
        <v>213</v>
      </c>
      <c r="AU83" s="11">
        <v>0</v>
      </c>
      <c r="AV83" s="1" t="s">
        <v>86</v>
      </c>
    </row>
    <row r="84" spans="1:48" s="31" customFormat="1" ht="14.5" customHeight="1">
      <c r="A84" s="30"/>
      <c r="B84" s="30"/>
      <c r="C84" s="30"/>
      <c r="D84" s="89"/>
      <c r="E84" s="30"/>
      <c r="F84" s="30"/>
      <c r="G84" s="30"/>
      <c r="H84" s="276"/>
      <c r="I84" s="276"/>
      <c r="L84" s="41"/>
      <c r="M84" s="32"/>
      <c r="N84" s="32"/>
      <c r="O84" s="32"/>
      <c r="P84" s="32"/>
      <c r="Q84" s="32"/>
      <c r="R84" s="32"/>
      <c r="S84" s="32"/>
      <c r="U84" s="33"/>
      <c r="AD84" s="31" t="s">
        <v>368</v>
      </c>
      <c r="AE84" s="31" t="s">
        <v>95</v>
      </c>
      <c r="AF84" s="60"/>
      <c r="AG84" s="63"/>
      <c r="AH84" s="31">
        <v>0.15</v>
      </c>
      <c r="AI84" s="31">
        <v>0.15</v>
      </c>
      <c r="AJ84" s="31">
        <v>213</v>
      </c>
      <c r="AK84" s="31">
        <v>0.31</v>
      </c>
      <c r="AL84" s="31">
        <v>0.16</v>
      </c>
      <c r="AM84" s="31">
        <v>213</v>
      </c>
      <c r="AU84" s="31">
        <v>0</v>
      </c>
      <c r="AV84" s="34"/>
    </row>
    <row r="85" spans="1:48" ht="14.5" customHeight="1">
      <c r="A85" s="13" t="s">
        <v>370</v>
      </c>
      <c r="B85" s="13">
        <v>318</v>
      </c>
      <c r="C85" s="13" t="s">
        <v>47</v>
      </c>
      <c r="D85" s="88" t="s">
        <v>692</v>
      </c>
      <c r="E85" s="13" t="s">
        <v>66</v>
      </c>
      <c r="F85" s="13" t="s">
        <v>49</v>
      </c>
      <c r="G85" s="13" t="s">
        <v>239</v>
      </c>
      <c r="J85" s="11">
        <v>3181</v>
      </c>
      <c r="K85" s="11" t="s">
        <v>240</v>
      </c>
      <c r="L85" s="40" t="s">
        <v>365</v>
      </c>
      <c r="M85" s="17">
        <v>8.5</v>
      </c>
      <c r="N85" s="17" t="s">
        <v>316</v>
      </c>
      <c r="O85" s="17">
        <v>0.16</v>
      </c>
      <c r="P85" s="17" t="s">
        <v>52</v>
      </c>
      <c r="Q85" s="17">
        <v>0.02</v>
      </c>
      <c r="R85" s="17">
        <v>0.56999999999999995</v>
      </c>
      <c r="S85" s="46">
        <v>0.41</v>
      </c>
      <c r="T85" s="11" t="s">
        <v>92</v>
      </c>
      <c r="U85" s="12" t="s">
        <v>371</v>
      </c>
      <c r="V85" s="11" t="s">
        <v>71</v>
      </c>
      <c r="W85" s="11" t="s">
        <v>153</v>
      </c>
      <c r="X85" s="11" t="s">
        <v>163</v>
      </c>
      <c r="Y85" s="11" t="s">
        <v>58</v>
      </c>
      <c r="Z85" s="11">
        <f>60*90</f>
        <v>5400</v>
      </c>
      <c r="AA85" s="11">
        <f>5*12</f>
        <v>60</v>
      </c>
      <c r="AB85" s="11">
        <v>90</v>
      </c>
      <c r="AC85" s="11" t="s">
        <v>59</v>
      </c>
      <c r="AD85" s="11" t="s">
        <v>368</v>
      </c>
      <c r="AE85" s="11" t="s">
        <v>95</v>
      </c>
      <c r="AF85" s="126" t="s">
        <v>461</v>
      </c>
      <c r="AG85" s="60" t="s">
        <v>702</v>
      </c>
      <c r="AH85" s="11">
        <v>0.33</v>
      </c>
      <c r="AI85" s="11">
        <v>0.11</v>
      </c>
      <c r="AJ85" s="11">
        <v>191</v>
      </c>
      <c r="AK85" s="11">
        <v>0.46</v>
      </c>
      <c r="AL85" s="11">
        <v>9.8000000000000004E-2</v>
      </c>
      <c r="AM85" s="11">
        <v>191</v>
      </c>
      <c r="AU85" s="11">
        <v>0</v>
      </c>
      <c r="AV85" s="1" t="s">
        <v>86</v>
      </c>
    </row>
    <row r="86" spans="1:48" ht="14.5" customHeight="1">
      <c r="A86" s="13"/>
      <c r="B86" s="13"/>
      <c r="C86" s="13"/>
      <c r="E86" s="13"/>
      <c r="F86" s="13"/>
      <c r="G86" s="13"/>
      <c r="L86" s="40"/>
      <c r="AD86" s="11" t="s">
        <v>372</v>
      </c>
      <c r="AE86" s="11" t="s">
        <v>61</v>
      </c>
      <c r="AF86" s="60" t="s">
        <v>538</v>
      </c>
      <c r="AH86" s="11" t="s">
        <v>52</v>
      </c>
      <c r="AI86" s="11" t="s">
        <v>52</v>
      </c>
      <c r="AJ86" s="11" t="s">
        <v>52</v>
      </c>
      <c r="AK86" s="11">
        <v>498.6</v>
      </c>
      <c r="AL86" s="11">
        <v>22.57</v>
      </c>
      <c r="AM86" s="11">
        <v>191</v>
      </c>
      <c r="AU86" s="11">
        <v>0</v>
      </c>
    </row>
    <row r="87" spans="1:48" ht="14.5" customHeight="1">
      <c r="A87" s="13"/>
      <c r="B87" s="13"/>
      <c r="C87" s="13"/>
      <c r="E87" s="13"/>
      <c r="F87" s="13"/>
      <c r="G87" s="13"/>
      <c r="J87" s="11">
        <v>3182</v>
      </c>
      <c r="K87" s="11" t="s">
        <v>279</v>
      </c>
      <c r="L87" s="40" t="s">
        <v>365</v>
      </c>
      <c r="M87" s="17">
        <v>8.5</v>
      </c>
      <c r="N87" s="17" t="s">
        <v>316</v>
      </c>
      <c r="O87" s="17">
        <v>0.11</v>
      </c>
      <c r="P87" s="17" t="s">
        <v>52</v>
      </c>
      <c r="Q87" s="17">
        <v>0.03</v>
      </c>
      <c r="R87" s="17">
        <v>0.5</v>
      </c>
      <c r="S87" s="17">
        <v>0.44</v>
      </c>
      <c r="T87" s="11" t="s">
        <v>92</v>
      </c>
      <c r="U87" s="12" t="s">
        <v>371</v>
      </c>
      <c r="V87" s="11" t="s">
        <v>71</v>
      </c>
      <c r="W87" s="11" t="s">
        <v>153</v>
      </c>
      <c r="X87" s="11" t="s">
        <v>163</v>
      </c>
      <c r="Y87" s="11" t="s">
        <v>58</v>
      </c>
      <c r="Z87" s="11">
        <f>60*90</f>
        <v>5400</v>
      </c>
      <c r="AA87" s="11">
        <f>5*12</f>
        <v>60</v>
      </c>
      <c r="AB87" s="11">
        <v>90</v>
      </c>
      <c r="AC87" s="11" t="s">
        <v>59</v>
      </c>
      <c r="AD87" s="11" t="s">
        <v>368</v>
      </c>
      <c r="AE87" s="11" t="s">
        <v>95</v>
      </c>
      <c r="AH87" s="11">
        <v>0.32</v>
      </c>
      <c r="AI87" s="11">
        <v>7.3999999999999996E-2</v>
      </c>
      <c r="AJ87" s="11">
        <v>257</v>
      </c>
      <c r="AK87" s="11">
        <v>0.38</v>
      </c>
      <c r="AL87" s="11">
        <v>5.3999999999999999E-2</v>
      </c>
      <c r="AM87" s="11">
        <v>257</v>
      </c>
      <c r="AU87" s="11">
        <v>0</v>
      </c>
      <c r="AV87" s="1" t="s">
        <v>86</v>
      </c>
    </row>
    <row r="88" spans="1:48" ht="14.5" customHeight="1">
      <c r="A88" s="13"/>
      <c r="B88" s="13"/>
      <c r="C88" s="13"/>
      <c r="E88" s="13"/>
      <c r="F88" s="13"/>
      <c r="G88" s="13"/>
      <c r="L88" s="40"/>
      <c r="AD88" s="11" t="s">
        <v>372</v>
      </c>
      <c r="AE88" s="11" t="s">
        <v>61</v>
      </c>
      <c r="AH88" s="11" t="s">
        <v>52</v>
      </c>
      <c r="AI88" s="11" t="s">
        <v>52</v>
      </c>
      <c r="AJ88" s="11" t="s">
        <v>52</v>
      </c>
      <c r="AK88" s="11">
        <v>468.57</v>
      </c>
      <c r="AL88" s="11">
        <v>15.85</v>
      </c>
      <c r="AM88" s="11">
        <v>257</v>
      </c>
      <c r="AU88" s="11">
        <v>0</v>
      </c>
      <c r="AV88" s="11"/>
    </row>
    <row r="89" spans="1:48" ht="14.5" customHeight="1">
      <c r="A89" s="13"/>
      <c r="B89" s="13"/>
      <c r="C89" s="13"/>
      <c r="E89" s="13"/>
      <c r="F89" s="13"/>
      <c r="G89" s="13"/>
      <c r="J89" s="11">
        <v>3183</v>
      </c>
      <c r="K89" s="11" t="s">
        <v>281</v>
      </c>
      <c r="L89" s="40" t="s">
        <v>365</v>
      </c>
      <c r="M89" s="17">
        <v>8.5</v>
      </c>
      <c r="N89" s="17" t="s">
        <v>316</v>
      </c>
      <c r="O89" s="17">
        <v>0.2</v>
      </c>
      <c r="P89" s="17" t="s">
        <v>52</v>
      </c>
      <c r="Q89" s="17">
        <v>0</v>
      </c>
      <c r="R89" s="17">
        <v>0.55000000000000004</v>
      </c>
      <c r="S89" s="17">
        <v>0.1</v>
      </c>
      <c r="T89" s="11" t="s">
        <v>78</v>
      </c>
      <c r="U89" s="12" t="s">
        <v>373</v>
      </c>
      <c r="V89" s="11" t="s">
        <v>80</v>
      </c>
      <c r="W89" s="11" t="s">
        <v>153</v>
      </c>
      <c r="X89" s="11" t="s">
        <v>163</v>
      </c>
      <c r="Y89" s="11" t="s">
        <v>58</v>
      </c>
      <c r="Z89" s="11">
        <f>60*90</f>
        <v>5400</v>
      </c>
      <c r="AA89" s="11">
        <f>5*12</f>
        <v>60</v>
      </c>
      <c r="AB89" s="11">
        <v>90</v>
      </c>
      <c r="AC89" s="11" t="s">
        <v>59</v>
      </c>
      <c r="AD89" s="11" t="s">
        <v>368</v>
      </c>
      <c r="AE89" s="11" t="s">
        <v>95</v>
      </c>
      <c r="AH89" s="11">
        <v>0.32</v>
      </c>
      <c r="AI89" s="11">
        <v>4.9000000000000002E-2</v>
      </c>
      <c r="AJ89" s="11">
        <v>76</v>
      </c>
      <c r="AK89" s="11">
        <v>0.35</v>
      </c>
      <c r="AL89" s="11">
        <v>0.04</v>
      </c>
      <c r="AM89" s="11">
        <v>76</v>
      </c>
      <c r="AU89" s="11">
        <v>0</v>
      </c>
      <c r="AV89" s="1" t="s">
        <v>86</v>
      </c>
    </row>
    <row r="90" spans="1:48" s="31" customFormat="1" ht="14.5" customHeight="1">
      <c r="A90" s="30"/>
      <c r="B90" s="30"/>
      <c r="C90" s="30"/>
      <c r="D90" s="89"/>
      <c r="E90" s="30"/>
      <c r="F90" s="30"/>
      <c r="G90" s="30"/>
      <c r="H90" s="276"/>
      <c r="I90" s="276"/>
      <c r="L90" s="41"/>
      <c r="M90" s="32"/>
      <c r="N90" s="32"/>
      <c r="O90" s="32"/>
      <c r="P90" s="32"/>
      <c r="Q90" s="32"/>
      <c r="R90" s="32"/>
      <c r="S90" s="32"/>
      <c r="U90" s="33"/>
      <c r="AD90" s="31" t="s">
        <v>372</v>
      </c>
      <c r="AE90" s="31" t="s">
        <v>61</v>
      </c>
      <c r="AF90" s="63"/>
      <c r="AG90" s="63"/>
      <c r="AH90" s="31" t="s">
        <v>52</v>
      </c>
      <c r="AI90" s="31" t="s">
        <v>52</v>
      </c>
      <c r="AJ90" s="31" t="s">
        <v>52</v>
      </c>
      <c r="AK90" s="31">
        <v>483.33</v>
      </c>
      <c r="AL90" s="31">
        <v>11.93</v>
      </c>
      <c r="AM90" s="31">
        <v>76</v>
      </c>
      <c r="AU90" s="31">
        <v>0</v>
      </c>
      <c r="AV90" s="34"/>
    </row>
    <row r="91" spans="1:48" ht="14.5" customHeight="1">
      <c r="A91" s="13" t="s">
        <v>374</v>
      </c>
      <c r="B91" s="13">
        <v>319</v>
      </c>
      <c r="C91" s="13" t="s">
        <v>331</v>
      </c>
      <c r="D91" s="88" t="s">
        <v>573</v>
      </c>
      <c r="E91" s="13" t="s">
        <v>66</v>
      </c>
      <c r="F91" s="13" t="s">
        <v>49</v>
      </c>
      <c r="G91" s="13" t="s">
        <v>50</v>
      </c>
      <c r="J91" s="11">
        <v>3191</v>
      </c>
      <c r="K91" s="11" t="s">
        <v>332</v>
      </c>
      <c r="L91" s="40" t="s">
        <v>83</v>
      </c>
      <c r="M91" s="17">
        <v>10.02</v>
      </c>
      <c r="N91" s="17">
        <v>1</v>
      </c>
      <c r="O91" s="17" t="s">
        <v>52</v>
      </c>
      <c r="P91" s="17" t="s">
        <v>52</v>
      </c>
      <c r="Q91" s="17" t="s">
        <v>52</v>
      </c>
      <c r="R91" s="17">
        <f>22/50</f>
        <v>0.44</v>
      </c>
      <c r="S91" s="17" t="s">
        <v>52</v>
      </c>
      <c r="T91" s="45" t="s">
        <v>53</v>
      </c>
      <c r="U91" s="12" t="s">
        <v>333</v>
      </c>
      <c r="V91" s="11" t="s">
        <v>71</v>
      </c>
      <c r="W91" s="11" t="s">
        <v>153</v>
      </c>
      <c r="X91" s="11" t="s">
        <v>57</v>
      </c>
      <c r="Y91" s="11" t="s">
        <v>58</v>
      </c>
      <c r="Z91" s="11">
        <f>AB91*AA91</f>
        <v>720</v>
      </c>
      <c r="AA91" s="11">
        <v>8</v>
      </c>
      <c r="AB91" s="11">
        <v>90</v>
      </c>
      <c r="AC91" s="11" t="s">
        <v>59</v>
      </c>
      <c r="AD91" s="11" t="s">
        <v>375</v>
      </c>
      <c r="AE91" s="11" t="s">
        <v>95</v>
      </c>
      <c r="AF91" s="60" t="s">
        <v>461</v>
      </c>
      <c r="AG91" s="60" t="s">
        <v>590</v>
      </c>
      <c r="AH91" s="11">
        <v>0.53</v>
      </c>
      <c r="AI91" s="11">
        <f>0.02*SQRT(50)</f>
        <v>0.1414213562373095</v>
      </c>
      <c r="AJ91" s="11">
        <v>50</v>
      </c>
      <c r="AK91" s="11">
        <v>0.56000000000000005</v>
      </c>
      <c r="AL91" s="11">
        <f>0.02*SQRT(43)</f>
        <v>0.13114877048604001</v>
      </c>
      <c r="AM91" s="11">
        <v>43</v>
      </c>
      <c r="AU91" s="11">
        <v>1</v>
      </c>
      <c r="AV91" s="1" t="s">
        <v>376</v>
      </c>
    </row>
    <row r="92" spans="1:48" ht="14.5" customHeight="1">
      <c r="A92" s="13"/>
      <c r="B92" s="13" t="s">
        <v>377</v>
      </c>
      <c r="C92" s="13"/>
      <c r="E92" s="13"/>
      <c r="F92" s="13"/>
      <c r="G92" s="13"/>
      <c r="J92" s="11">
        <v>3192</v>
      </c>
      <c r="K92" s="11" t="s">
        <v>336</v>
      </c>
      <c r="L92" s="40" t="s">
        <v>83</v>
      </c>
      <c r="M92" s="17">
        <v>9.89</v>
      </c>
      <c r="N92" s="17">
        <v>1</v>
      </c>
      <c r="O92" s="17" t="s">
        <v>52</v>
      </c>
      <c r="P92" s="17" t="s">
        <v>52</v>
      </c>
      <c r="Q92" s="17" t="s">
        <v>52</v>
      </c>
      <c r="R92" s="17">
        <f>18/49</f>
        <v>0.36734693877551022</v>
      </c>
      <c r="S92" s="17" t="s">
        <v>52</v>
      </c>
      <c r="T92" s="45" t="s">
        <v>53</v>
      </c>
      <c r="U92" s="12" t="s">
        <v>333</v>
      </c>
      <c r="V92" s="11" t="s">
        <v>71</v>
      </c>
      <c r="W92" s="11" t="s">
        <v>153</v>
      </c>
      <c r="X92" s="11" t="s">
        <v>57</v>
      </c>
      <c r="Y92" s="11" t="s">
        <v>58</v>
      </c>
      <c r="Z92" s="11">
        <f>AB92*AA92</f>
        <v>720</v>
      </c>
      <c r="AA92" s="11">
        <v>8</v>
      </c>
      <c r="AB92" s="11">
        <v>90</v>
      </c>
      <c r="AC92" s="11" t="s">
        <v>59</v>
      </c>
      <c r="AD92" s="11" t="s">
        <v>375</v>
      </c>
      <c r="AE92" s="11" t="s">
        <v>95</v>
      </c>
      <c r="AH92" s="11">
        <v>0.51</v>
      </c>
      <c r="AI92" s="11">
        <f>0.02*SQRT(48)</f>
        <v>0.13856406460551018</v>
      </c>
      <c r="AJ92" s="11">
        <v>48</v>
      </c>
      <c r="AK92" s="11">
        <v>0.56999999999999995</v>
      </c>
      <c r="AL92" s="11">
        <f>0.02*SQRT(38)</f>
        <v>0.12328828005937953</v>
      </c>
      <c r="AM92" s="11">
        <v>38</v>
      </c>
      <c r="AU92" s="11">
        <v>1</v>
      </c>
      <c r="AV92" s="1" t="s">
        <v>376</v>
      </c>
    </row>
    <row r="93" spans="1:48" s="31" customFormat="1" ht="14.5" customHeight="1">
      <c r="A93" s="30"/>
      <c r="B93" s="30"/>
      <c r="C93" s="30"/>
      <c r="D93" s="89"/>
      <c r="E93" s="30"/>
      <c r="F93" s="30"/>
      <c r="G93" s="30"/>
      <c r="H93" s="276"/>
      <c r="I93" s="276"/>
      <c r="J93" s="31">
        <v>3193</v>
      </c>
      <c r="K93" s="31" t="s">
        <v>126</v>
      </c>
      <c r="L93" s="41" t="s">
        <v>83</v>
      </c>
      <c r="M93" s="32">
        <v>9.98</v>
      </c>
      <c r="N93" s="32">
        <v>1</v>
      </c>
      <c r="O93" s="32" t="s">
        <v>52</v>
      </c>
      <c r="P93" s="32" t="s">
        <v>52</v>
      </c>
      <c r="Q93" s="32" t="s">
        <v>52</v>
      </c>
      <c r="R93" s="32">
        <f>27/59</f>
        <v>0.4576271186440678</v>
      </c>
      <c r="S93" s="32" t="s">
        <v>52</v>
      </c>
      <c r="T93" s="31" t="s">
        <v>78</v>
      </c>
      <c r="U93" s="33" t="s">
        <v>378</v>
      </c>
      <c r="V93" s="31" t="s">
        <v>80</v>
      </c>
      <c r="W93" s="31" t="s">
        <v>78</v>
      </c>
      <c r="X93" s="31" t="s">
        <v>78</v>
      </c>
      <c r="Y93" s="31" t="s">
        <v>78</v>
      </c>
      <c r="Z93" s="31" t="s">
        <v>78</v>
      </c>
      <c r="AA93" s="31" t="s">
        <v>78</v>
      </c>
      <c r="AB93" s="31" t="s">
        <v>78</v>
      </c>
      <c r="AC93" s="31" t="s">
        <v>78</v>
      </c>
      <c r="AD93" s="31" t="s">
        <v>375</v>
      </c>
      <c r="AE93" s="31" t="s">
        <v>95</v>
      </c>
      <c r="AF93" s="60"/>
      <c r="AG93" s="60"/>
      <c r="AH93" s="31">
        <v>0.47</v>
      </c>
      <c r="AI93" s="31">
        <f>0.02*SQRT(57)</f>
        <v>0.15099668870541499</v>
      </c>
      <c r="AJ93" s="31">
        <v>57</v>
      </c>
      <c r="AK93" s="31">
        <v>0.53</v>
      </c>
      <c r="AL93" s="31">
        <f>0.02*SQRT(48)</f>
        <v>0.13856406460551018</v>
      </c>
      <c r="AM93" s="31">
        <v>48</v>
      </c>
      <c r="AU93" s="31">
        <v>1</v>
      </c>
      <c r="AV93" s="34" t="s">
        <v>376</v>
      </c>
    </row>
    <row r="94" spans="1:48" ht="14.5" customHeight="1">
      <c r="A94" s="13" t="s">
        <v>379</v>
      </c>
      <c r="B94" s="13">
        <v>320</v>
      </c>
      <c r="C94" s="13" t="s">
        <v>47</v>
      </c>
      <c r="D94" s="88" t="s">
        <v>692</v>
      </c>
      <c r="E94" s="13" t="s">
        <v>66</v>
      </c>
      <c r="F94" s="13" t="s">
        <v>49</v>
      </c>
      <c r="G94" s="13" t="s">
        <v>50</v>
      </c>
      <c r="J94" s="11">
        <v>3201</v>
      </c>
      <c r="K94" s="11" t="s">
        <v>380</v>
      </c>
      <c r="L94" s="40" t="s">
        <v>381</v>
      </c>
      <c r="M94" s="17">
        <v>6.5</v>
      </c>
      <c r="N94" s="17" t="s">
        <v>52</v>
      </c>
      <c r="O94" s="17">
        <f>(18+14)/(191+18+221+14)</f>
        <v>7.2072072072072071E-2</v>
      </c>
      <c r="P94" s="17" t="s">
        <v>52</v>
      </c>
      <c r="Q94" s="17">
        <f>(35+49)/(174+35+186+49)</f>
        <v>0.1891891891891892</v>
      </c>
      <c r="R94" s="17">
        <f>(110+113)/(99+110+122+113)</f>
        <v>0.50225225225225223</v>
      </c>
      <c r="S94" s="17">
        <f>1-((47+41)/(69+19+65+47+9+78+25+81+41+10))</f>
        <v>0.80180180180180183</v>
      </c>
      <c r="T94" s="11" t="s">
        <v>92</v>
      </c>
      <c r="U94" s="12" t="s">
        <v>382</v>
      </c>
      <c r="V94" s="11" t="s">
        <v>55</v>
      </c>
      <c r="W94" s="11" t="s">
        <v>153</v>
      </c>
      <c r="X94" s="11" t="s">
        <v>163</v>
      </c>
      <c r="Y94" s="11" t="s">
        <v>58</v>
      </c>
      <c r="Z94" s="11">
        <f>600</f>
        <v>600</v>
      </c>
      <c r="AA94" s="11">
        <v>10</v>
      </c>
      <c r="AB94" s="11">
        <v>60</v>
      </c>
      <c r="AC94" s="11" t="s">
        <v>59</v>
      </c>
      <c r="AD94" s="11" t="s">
        <v>383</v>
      </c>
      <c r="AE94" s="45" t="s">
        <v>95</v>
      </c>
      <c r="AF94" s="126" t="s">
        <v>461</v>
      </c>
      <c r="AG94" s="126" t="s">
        <v>703</v>
      </c>
      <c r="AH94" s="11">
        <v>171.92</v>
      </c>
      <c r="AI94" s="11">
        <v>15.81</v>
      </c>
      <c r="AJ94" s="11">
        <v>319</v>
      </c>
      <c r="AK94" s="11">
        <v>176.59</v>
      </c>
      <c r="AL94" s="11">
        <v>15.58</v>
      </c>
      <c r="AM94" s="11">
        <v>403</v>
      </c>
      <c r="AU94" s="11">
        <v>0</v>
      </c>
      <c r="AV94" s="1" t="s">
        <v>86</v>
      </c>
    </row>
    <row r="95" spans="1:48" ht="14.5" customHeight="1">
      <c r="A95" s="13"/>
      <c r="B95" s="13"/>
      <c r="C95" s="13"/>
      <c r="E95" s="13"/>
      <c r="F95" s="13"/>
      <c r="G95" s="13"/>
      <c r="L95" s="40"/>
      <c r="AD95" s="11" t="s">
        <v>384</v>
      </c>
      <c r="AE95" s="11" t="s">
        <v>61</v>
      </c>
      <c r="AF95" s="60" t="s">
        <v>538</v>
      </c>
      <c r="AH95" s="11">
        <v>189.37</v>
      </c>
      <c r="AI95" s="11">
        <v>101.26</v>
      </c>
      <c r="AJ95" s="11">
        <v>425</v>
      </c>
      <c r="AK95" s="11">
        <v>188.05</v>
      </c>
      <c r="AL95" s="11">
        <v>85.78</v>
      </c>
      <c r="AM95" s="11">
        <v>431</v>
      </c>
      <c r="AU95" s="11">
        <v>0</v>
      </c>
    </row>
    <row r="96" spans="1:48" ht="14.5" customHeight="1">
      <c r="A96" s="13"/>
      <c r="B96" s="13"/>
      <c r="C96" s="13"/>
      <c r="E96" s="13"/>
      <c r="F96" s="13"/>
      <c r="G96" s="13"/>
      <c r="J96" s="11">
        <v>3202</v>
      </c>
      <c r="K96" s="11" t="s">
        <v>281</v>
      </c>
      <c r="L96" s="40" t="s">
        <v>381</v>
      </c>
      <c r="M96" s="17">
        <v>6.5</v>
      </c>
      <c r="N96" s="17" t="s">
        <v>52</v>
      </c>
      <c r="O96" s="17">
        <f>13/(13+205)</f>
        <v>5.9633027522935783E-2</v>
      </c>
      <c r="P96" s="17" t="s">
        <v>52</v>
      </c>
      <c r="Q96" s="17">
        <f>52/(52+166)</f>
        <v>0.23853211009174313</v>
      </c>
      <c r="R96" s="17">
        <f>100/(118+100)</f>
        <v>0.45871559633027525</v>
      </c>
      <c r="S96" s="17">
        <f>1-(53/(70+16+75+53+4))</f>
        <v>0.75688073394495414</v>
      </c>
      <c r="T96" s="11" t="s">
        <v>78</v>
      </c>
      <c r="U96" s="12" t="s">
        <v>385</v>
      </c>
      <c r="V96" s="11" t="s">
        <v>55</v>
      </c>
      <c r="W96" s="11" t="s">
        <v>78</v>
      </c>
      <c r="X96" s="11" t="s">
        <v>78</v>
      </c>
      <c r="Y96" s="11" t="s">
        <v>78</v>
      </c>
      <c r="Z96" s="11" t="s">
        <v>78</v>
      </c>
      <c r="AA96" s="11" t="s">
        <v>78</v>
      </c>
      <c r="AB96" s="11" t="s">
        <v>78</v>
      </c>
      <c r="AC96" s="11" t="s">
        <v>78</v>
      </c>
      <c r="AD96" s="11" t="s">
        <v>383</v>
      </c>
      <c r="AE96" s="45" t="s">
        <v>95</v>
      </c>
      <c r="AH96" s="11">
        <v>173.76</v>
      </c>
      <c r="AI96" s="11">
        <v>15.97</v>
      </c>
      <c r="AJ96" s="11">
        <v>165</v>
      </c>
      <c r="AK96" s="11">
        <v>175.88</v>
      </c>
      <c r="AL96" s="11">
        <v>17.13</v>
      </c>
      <c r="AM96" s="11">
        <v>204</v>
      </c>
      <c r="AU96" s="11">
        <v>0</v>
      </c>
      <c r="AV96" s="1" t="s">
        <v>86</v>
      </c>
    </row>
    <row r="97" spans="1:48" s="31" customFormat="1" ht="14.5" customHeight="1">
      <c r="A97" s="30"/>
      <c r="B97" s="30"/>
      <c r="C97" s="30"/>
      <c r="D97" s="89"/>
      <c r="E97" s="30"/>
      <c r="F97" s="30"/>
      <c r="G97" s="30"/>
      <c r="H97" s="276"/>
      <c r="I97" s="276"/>
      <c r="L97" s="41"/>
      <c r="M97" s="32"/>
      <c r="N97" s="32"/>
      <c r="O97" s="32"/>
      <c r="P97" s="32"/>
      <c r="Q97" s="32"/>
      <c r="R97" s="32"/>
      <c r="S97" s="32"/>
      <c r="U97" s="33"/>
      <c r="AD97" s="31" t="s">
        <v>384</v>
      </c>
      <c r="AE97" s="31" t="s">
        <v>61</v>
      </c>
      <c r="AF97" s="63"/>
      <c r="AG97" s="63"/>
      <c r="AH97" s="31">
        <v>191.19</v>
      </c>
      <c r="AI97" s="50">
        <v>122.27</v>
      </c>
      <c r="AJ97" s="31">
        <v>212</v>
      </c>
      <c r="AK97" s="31">
        <v>186.26</v>
      </c>
      <c r="AL97" s="31">
        <v>93.54</v>
      </c>
      <c r="AM97" s="31">
        <v>214</v>
      </c>
      <c r="AU97" s="31">
        <v>0</v>
      </c>
      <c r="AV97" s="34"/>
    </row>
    <row r="98" spans="1:48" ht="14.5" customHeight="1">
      <c r="A98" s="13" t="s">
        <v>386</v>
      </c>
      <c r="B98" s="13">
        <v>321</v>
      </c>
      <c r="C98" s="13" t="s">
        <v>387</v>
      </c>
      <c r="D98" s="88" t="s">
        <v>574</v>
      </c>
      <c r="E98" s="13" t="s">
        <v>66</v>
      </c>
      <c r="F98" s="13" t="s">
        <v>49</v>
      </c>
      <c r="G98" s="13" t="s">
        <v>239</v>
      </c>
      <c r="J98" s="11">
        <v>3211</v>
      </c>
      <c r="K98" s="11" t="s">
        <v>388</v>
      </c>
      <c r="L98" s="40" t="s">
        <v>146</v>
      </c>
      <c r="M98" s="46">
        <v>10.73</v>
      </c>
      <c r="N98" s="17" t="s">
        <v>316</v>
      </c>
      <c r="O98" s="17" t="s">
        <v>52</v>
      </c>
      <c r="P98" s="17">
        <v>0.75</v>
      </c>
      <c r="Q98" s="17">
        <v>0</v>
      </c>
      <c r="R98" s="17">
        <f>44/(44+50)</f>
        <v>0.46808510638297873</v>
      </c>
      <c r="S98" s="17">
        <v>0</v>
      </c>
      <c r="T98" s="11" t="s">
        <v>92</v>
      </c>
      <c r="U98" s="12" t="s">
        <v>389</v>
      </c>
      <c r="V98" s="11" t="s">
        <v>71</v>
      </c>
      <c r="W98" s="11" t="s">
        <v>153</v>
      </c>
      <c r="X98" s="11" t="s">
        <v>57</v>
      </c>
      <c r="Y98" s="11" t="s">
        <v>58</v>
      </c>
      <c r="Z98" s="11">
        <f>300</f>
        <v>300</v>
      </c>
      <c r="AA98" s="11">
        <v>5</v>
      </c>
      <c r="AB98" s="11">
        <v>60</v>
      </c>
      <c r="AC98" s="11" t="s">
        <v>148</v>
      </c>
      <c r="AD98" s="11" t="s">
        <v>390</v>
      </c>
      <c r="AE98" s="11" t="s">
        <v>95</v>
      </c>
      <c r="AF98" s="60" t="s">
        <v>530</v>
      </c>
      <c r="AG98" s="60" t="s">
        <v>704</v>
      </c>
      <c r="AH98" s="11" t="s">
        <v>52</v>
      </c>
      <c r="AI98" s="11" t="s">
        <v>52</v>
      </c>
      <c r="AJ98" s="11" t="s">
        <v>52</v>
      </c>
      <c r="AK98" s="11">
        <v>20.43</v>
      </c>
      <c r="AL98" s="11">
        <v>3.04</v>
      </c>
      <c r="AM98" s="11">
        <v>94</v>
      </c>
      <c r="AU98" s="11">
        <v>0</v>
      </c>
      <c r="AV98" s="1" t="s">
        <v>97</v>
      </c>
    </row>
    <row r="99" spans="1:48" ht="14.5" customHeight="1">
      <c r="A99" s="13"/>
      <c r="B99" s="13"/>
      <c r="C99" s="13"/>
      <c r="E99" s="13"/>
      <c r="F99" s="13"/>
      <c r="G99" s="13"/>
      <c r="J99" s="11">
        <v>3212</v>
      </c>
      <c r="K99" s="11" t="s">
        <v>391</v>
      </c>
      <c r="L99" s="40" t="s">
        <v>146</v>
      </c>
      <c r="M99" s="17">
        <v>10.69</v>
      </c>
      <c r="N99" s="17" t="s">
        <v>316</v>
      </c>
      <c r="O99" s="17" t="s">
        <v>52</v>
      </c>
      <c r="P99" s="17">
        <v>0.75</v>
      </c>
      <c r="Q99" s="17">
        <v>0</v>
      </c>
      <c r="R99" s="17">
        <f>54/(54+45)</f>
        <v>0.54545454545454541</v>
      </c>
      <c r="S99" s="17">
        <v>0</v>
      </c>
      <c r="T99" s="11" t="s">
        <v>92</v>
      </c>
      <c r="U99" s="12" t="s">
        <v>392</v>
      </c>
      <c r="V99" s="11" t="s">
        <v>71</v>
      </c>
      <c r="W99" s="11" t="s">
        <v>153</v>
      </c>
      <c r="X99" s="11" t="s">
        <v>57</v>
      </c>
      <c r="Y99" s="11" t="s">
        <v>58</v>
      </c>
      <c r="Z99" s="11">
        <v>300</v>
      </c>
      <c r="AA99" s="11">
        <v>5</v>
      </c>
      <c r="AB99" s="11">
        <v>60</v>
      </c>
      <c r="AC99" s="11" t="s">
        <v>148</v>
      </c>
      <c r="AD99" s="11" t="s">
        <v>390</v>
      </c>
      <c r="AE99" s="11" t="s">
        <v>95</v>
      </c>
      <c r="AH99" s="11" t="s">
        <v>52</v>
      </c>
      <c r="AI99" s="11" t="s">
        <v>52</v>
      </c>
      <c r="AJ99" s="11" t="s">
        <v>52</v>
      </c>
      <c r="AK99" s="11">
        <v>19.38</v>
      </c>
      <c r="AL99" s="11">
        <v>2.8</v>
      </c>
      <c r="AM99" s="11">
        <v>99</v>
      </c>
      <c r="AU99" s="11">
        <v>0</v>
      </c>
      <c r="AV99" s="1" t="s">
        <v>97</v>
      </c>
    </row>
    <row r="100" spans="1:48" s="31" customFormat="1" ht="14.5" customHeight="1">
      <c r="A100" s="30"/>
      <c r="B100" s="30"/>
      <c r="C100" s="30"/>
      <c r="D100" s="88"/>
      <c r="E100" s="30"/>
      <c r="F100" s="30"/>
      <c r="G100" s="30"/>
      <c r="H100" s="276"/>
      <c r="I100" s="276"/>
      <c r="J100" s="31">
        <v>3213</v>
      </c>
      <c r="K100" s="31" t="s">
        <v>63</v>
      </c>
      <c r="L100" s="41" t="s">
        <v>146</v>
      </c>
      <c r="M100" s="32">
        <v>10.69</v>
      </c>
      <c r="N100" s="32" t="s">
        <v>316</v>
      </c>
      <c r="O100" s="32" t="s">
        <v>52</v>
      </c>
      <c r="P100" s="32">
        <v>0.75</v>
      </c>
      <c r="Q100" s="32">
        <v>0</v>
      </c>
      <c r="R100" s="32">
        <f>43/(43+43)</f>
        <v>0.5</v>
      </c>
      <c r="S100" s="32">
        <v>0</v>
      </c>
      <c r="T100" s="31" t="s">
        <v>78</v>
      </c>
      <c r="U100" s="33" t="s">
        <v>393</v>
      </c>
      <c r="V100" s="31" t="s">
        <v>351</v>
      </c>
      <c r="W100" s="31" t="s">
        <v>78</v>
      </c>
      <c r="X100" s="31" t="s">
        <v>78</v>
      </c>
      <c r="Y100" s="31" t="s">
        <v>78</v>
      </c>
      <c r="Z100" s="31" t="s">
        <v>78</v>
      </c>
      <c r="AA100" s="31" t="s">
        <v>78</v>
      </c>
      <c r="AB100" s="31" t="s">
        <v>78</v>
      </c>
      <c r="AC100" s="31" t="s">
        <v>78</v>
      </c>
      <c r="AD100" s="31" t="s">
        <v>390</v>
      </c>
      <c r="AE100" s="31" t="s">
        <v>95</v>
      </c>
      <c r="AF100" s="60"/>
      <c r="AG100" s="60"/>
      <c r="AH100" s="31" t="s">
        <v>52</v>
      </c>
      <c r="AI100" s="31" t="s">
        <v>52</v>
      </c>
      <c r="AJ100" s="31" t="s">
        <v>52</v>
      </c>
      <c r="AK100" s="31">
        <v>18.940000000000001</v>
      </c>
      <c r="AL100" s="31">
        <v>3.62</v>
      </c>
      <c r="AM100" s="31">
        <v>86</v>
      </c>
      <c r="AU100" s="31">
        <v>0</v>
      </c>
      <c r="AV100" s="34" t="s">
        <v>97</v>
      </c>
    </row>
    <row r="101" spans="1:48" ht="14.5" customHeight="1">
      <c r="A101" s="13" t="s">
        <v>394</v>
      </c>
      <c r="B101" s="13">
        <v>322</v>
      </c>
      <c r="C101" s="13" t="s">
        <v>395</v>
      </c>
      <c r="D101" s="144" t="s">
        <v>575</v>
      </c>
      <c r="E101" s="13" t="s">
        <v>66</v>
      </c>
      <c r="F101" s="13" t="s">
        <v>49</v>
      </c>
      <c r="G101" s="13" t="s">
        <v>50</v>
      </c>
      <c r="J101" s="11">
        <v>3221</v>
      </c>
      <c r="K101" s="11" t="s">
        <v>396</v>
      </c>
      <c r="L101" s="40" t="s">
        <v>365</v>
      </c>
      <c r="M101" s="17">
        <v>9.1999999999999993</v>
      </c>
      <c r="N101" s="17" t="s">
        <v>52</v>
      </c>
      <c r="O101" s="17" t="s">
        <v>52</v>
      </c>
      <c r="P101" s="17" t="s">
        <v>52</v>
      </c>
      <c r="Q101" s="17">
        <v>0</v>
      </c>
      <c r="R101" s="17">
        <v>0.45</v>
      </c>
      <c r="S101" s="17">
        <v>0</v>
      </c>
      <c r="T101" s="11" t="s">
        <v>53</v>
      </c>
      <c r="U101" s="12" t="s">
        <v>397</v>
      </c>
      <c r="V101" s="43" t="s">
        <v>55</v>
      </c>
      <c r="W101" s="11" t="s">
        <v>153</v>
      </c>
      <c r="X101" s="11" t="s">
        <v>398</v>
      </c>
      <c r="Y101" s="11" t="s">
        <v>58</v>
      </c>
      <c r="Z101" s="11">
        <v>640</v>
      </c>
      <c r="AA101" s="11">
        <v>32</v>
      </c>
      <c r="AB101" s="11">
        <v>20</v>
      </c>
      <c r="AC101" s="11" t="s">
        <v>59</v>
      </c>
      <c r="AD101" s="11" t="s">
        <v>399</v>
      </c>
      <c r="AE101" s="11" t="s">
        <v>61</v>
      </c>
      <c r="AF101" s="126" t="s">
        <v>538</v>
      </c>
      <c r="AG101" s="126" t="s">
        <v>594</v>
      </c>
      <c r="AH101" s="11">
        <v>64.22</v>
      </c>
      <c r="AI101" s="11">
        <v>15.87</v>
      </c>
      <c r="AJ101" s="11">
        <v>53</v>
      </c>
      <c r="AK101" s="11">
        <v>71.209999999999994</v>
      </c>
      <c r="AL101" s="11">
        <v>15.24</v>
      </c>
      <c r="AM101" s="11">
        <v>53</v>
      </c>
      <c r="AU101" s="11">
        <v>0</v>
      </c>
    </row>
    <row r="102" spans="1:48" s="31" customFormat="1" ht="14.5" customHeight="1">
      <c r="A102" s="30"/>
      <c r="B102" s="30"/>
      <c r="C102" s="30"/>
      <c r="D102" s="89"/>
      <c r="E102" s="30"/>
      <c r="F102" s="30"/>
      <c r="G102" s="30"/>
      <c r="H102" s="276"/>
      <c r="I102" s="276"/>
      <c r="J102" s="31">
        <v>3222</v>
      </c>
      <c r="K102" s="31" t="s">
        <v>400</v>
      </c>
      <c r="L102" s="41" t="s">
        <v>365</v>
      </c>
      <c r="M102" s="32">
        <v>9.1999999999999993</v>
      </c>
      <c r="N102" s="32" t="s">
        <v>52</v>
      </c>
      <c r="O102" s="32" t="s">
        <v>52</v>
      </c>
      <c r="P102" s="32" t="s">
        <v>52</v>
      </c>
      <c r="Q102" s="32">
        <v>0</v>
      </c>
      <c r="R102" s="32">
        <v>0.45</v>
      </c>
      <c r="S102" s="32">
        <v>0</v>
      </c>
      <c r="T102" s="31" t="s">
        <v>78</v>
      </c>
      <c r="U102" s="33" t="s">
        <v>401</v>
      </c>
      <c r="V102" s="49" t="s">
        <v>55</v>
      </c>
      <c r="W102" s="31" t="s">
        <v>78</v>
      </c>
      <c r="X102" s="31" t="s">
        <v>78</v>
      </c>
      <c r="Y102" s="31" t="s">
        <v>78</v>
      </c>
      <c r="Z102" s="31" t="s">
        <v>78</v>
      </c>
      <c r="AA102" s="31" t="s">
        <v>78</v>
      </c>
      <c r="AB102" s="31" t="s">
        <v>78</v>
      </c>
      <c r="AC102" s="31" t="s">
        <v>78</v>
      </c>
      <c r="AD102" s="31" t="s">
        <v>399</v>
      </c>
      <c r="AE102" s="31" t="s">
        <v>61</v>
      </c>
      <c r="AF102" s="63"/>
      <c r="AG102" s="63"/>
      <c r="AH102" s="31">
        <v>64.989999999999995</v>
      </c>
      <c r="AI102" s="31">
        <v>20.05</v>
      </c>
      <c r="AJ102" s="31">
        <v>52</v>
      </c>
      <c r="AK102" s="50">
        <v>64.11</v>
      </c>
      <c r="AL102" s="31">
        <v>17.98</v>
      </c>
      <c r="AM102" s="31">
        <v>52</v>
      </c>
      <c r="AU102" s="31">
        <v>0</v>
      </c>
      <c r="AV102" s="34"/>
    </row>
    <row r="103" spans="1:48" ht="14.5" customHeight="1">
      <c r="A103" s="13" t="s">
        <v>402</v>
      </c>
      <c r="B103" s="13">
        <v>323</v>
      </c>
      <c r="C103" s="13" t="s">
        <v>47</v>
      </c>
      <c r="D103" s="88" t="s">
        <v>454</v>
      </c>
      <c r="E103" s="13" t="s">
        <v>66</v>
      </c>
      <c r="F103" s="13" t="s">
        <v>49</v>
      </c>
      <c r="G103" s="13" t="s">
        <v>239</v>
      </c>
      <c r="J103" s="11">
        <v>3231</v>
      </c>
      <c r="K103" s="11" t="s">
        <v>403</v>
      </c>
      <c r="L103" s="40" t="s">
        <v>404</v>
      </c>
      <c r="M103" s="17">
        <f t="shared" ref="M103:M108" si="7">(11+12)/2</f>
        <v>11.5</v>
      </c>
      <c r="N103" s="17" t="s">
        <v>52</v>
      </c>
      <c r="O103" s="17" t="s">
        <v>52</v>
      </c>
      <c r="P103" s="17" t="s">
        <v>52</v>
      </c>
      <c r="Q103" s="17">
        <f>76/203</f>
        <v>0.37438423645320196</v>
      </c>
      <c r="R103" s="17">
        <v>0.6</v>
      </c>
      <c r="S103" s="17">
        <f t="shared" ref="S103:S108" si="8">1-0.25</f>
        <v>0.75</v>
      </c>
      <c r="T103" s="11" t="s">
        <v>92</v>
      </c>
      <c r="U103" s="12" t="s">
        <v>405</v>
      </c>
      <c r="V103" s="11" t="s">
        <v>71</v>
      </c>
      <c r="W103" s="11" t="s">
        <v>153</v>
      </c>
      <c r="X103" s="60" t="s">
        <v>163</v>
      </c>
      <c r="Y103" s="11" t="s">
        <v>58</v>
      </c>
      <c r="Z103" s="11">
        <f>AA103*AB103</f>
        <v>1187.5</v>
      </c>
      <c r="AA103" s="11">
        <v>25</v>
      </c>
      <c r="AB103" s="11">
        <f>(45+50)/2</f>
        <v>47.5</v>
      </c>
      <c r="AC103" s="11" t="s">
        <v>59</v>
      </c>
      <c r="AD103" s="11" t="s">
        <v>406</v>
      </c>
      <c r="AE103" s="11" t="s">
        <v>95</v>
      </c>
      <c r="AF103" s="60" t="s">
        <v>515</v>
      </c>
      <c r="AG103" s="60" t="s">
        <v>595</v>
      </c>
      <c r="AH103" s="11">
        <v>12.48</v>
      </c>
      <c r="AI103" s="11">
        <v>6.1</v>
      </c>
      <c r="AJ103" s="11">
        <v>103</v>
      </c>
      <c r="AK103" s="11">
        <v>15.63</v>
      </c>
      <c r="AL103" s="11">
        <v>5.35</v>
      </c>
      <c r="AM103" s="11">
        <v>103</v>
      </c>
      <c r="AU103" s="11">
        <v>0</v>
      </c>
      <c r="AV103" s="1" t="s">
        <v>407</v>
      </c>
    </row>
    <row r="104" spans="1:48" ht="14.5" customHeight="1">
      <c r="A104" s="87"/>
      <c r="B104" s="13"/>
      <c r="C104" s="13"/>
      <c r="E104" s="13"/>
      <c r="F104" s="13"/>
      <c r="G104" s="13"/>
      <c r="J104" s="11">
        <v>3232</v>
      </c>
      <c r="K104" s="11" t="s">
        <v>408</v>
      </c>
      <c r="L104" s="40" t="s">
        <v>404</v>
      </c>
      <c r="M104" s="17">
        <f t="shared" si="7"/>
        <v>11.5</v>
      </c>
      <c r="N104" s="17" t="s">
        <v>52</v>
      </c>
      <c r="O104" s="17" t="s">
        <v>52</v>
      </c>
      <c r="P104" s="17" t="s">
        <v>52</v>
      </c>
      <c r="Q104" s="17">
        <f>76/203</f>
        <v>0.37438423645320196</v>
      </c>
      <c r="R104" s="17">
        <v>0.6</v>
      </c>
      <c r="S104" s="17">
        <f t="shared" si="8"/>
        <v>0.75</v>
      </c>
      <c r="T104" s="11" t="s">
        <v>78</v>
      </c>
      <c r="U104" s="12" t="s">
        <v>409</v>
      </c>
      <c r="V104" s="11" t="s">
        <v>80</v>
      </c>
      <c r="W104" s="11" t="s">
        <v>78</v>
      </c>
      <c r="X104" s="11" t="s">
        <v>78</v>
      </c>
      <c r="Y104" s="11" t="s">
        <v>78</v>
      </c>
      <c r="Z104" s="11" t="s">
        <v>78</v>
      </c>
      <c r="AA104" s="11" t="s">
        <v>78</v>
      </c>
      <c r="AB104" s="11" t="s">
        <v>78</v>
      </c>
      <c r="AC104" s="11" t="s">
        <v>78</v>
      </c>
      <c r="AD104" s="11" t="s">
        <v>406</v>
      </c>
      <c r="AE104" s="11" t="s">
        <v>95</v>
      </c>
      <c r="AH104" s="11">
        <v>12.14</v>
      </c>
      <c r="AI104" s="11">
        <v>6.1</v>
      </c>
      <c r="AJ104" s="11">
        <v>100</v>
      </c>
      <c r="AK104" s="11">
        <v>14.27</v>
      </c>
      <c r="AL104" s="11">
        <v>5.58</v>
      </c>
      <c r="AM104" s="11">
        <v>100</v>
      </c>
      <c r="AU104" s="11">
        <v>0</v>
      </c>
      <c r="AV104" s="1" t="s">
        <v>407</v>
      </c>
    </row>
    <row r="105" spans="1:48" ht="14.5" customHeight="1">
      <c r="A105" s="13"/>
      <c r="B105" s="13"/>
      <c r="C105" s="13"/>
      <c r="E105" s="13"/>
      <c r="F105" s="13"/>
      <c r="G105" s="13"/>
      <c r="J105" s="11" t="s">
        <v>410</v>
      </c>
      <c r="K105" s="11" t="s">
        <v>411</v>
      </c>
      <c r="L105" s="40" t="s">
        <v>404</v>
      </c>
      <c r="M105" s="17">
        <f t="shared" si="7"/>
        <v>11.5</v>
      </c>
      <c r="N105" s="17" t="s">
        <v>52</v>
      </c>
      <c r="O105" s="17" t="s">
        <v>52</v>
      </c>
      <c r="P105" s="17" t="s">
        <v>52</v>
      </c>
      <c r="Q105" s="17">
        <v>1</v>
      </c>
      <c r="R105" s="17">
        <v>0.6</v>
      </c>
      <c r="S105" s="17">
        <f t="shared" si="8"/>
        <v>0.75</v>
      </c>
      <c r="T105" s="11" t="s">
        <v>92</v>
      </c>
      <c r="U105" s="12" t="s">
        <v>405</v>
      </c>
      <c r="V105" s="11" t="s">
        <v>71</v>
      </c>
      <c r="W105" s="11" t="s">
        <v>153</v>
      </c>
      <c r="X105" s="60" t="s">
        <v>163</v>
      </c>
      <c r="Y105" s="11" t="s">
        <v>58</v>
      </c>
      <c r="Z105" s="11">
        <f>AA105*AB105</f>
        <v>1187.5</v>
      </c>
      <c r="AA105" s="11">
        <v>25</v>
      </c>
      <c r="AB105" s="11">
        <f>(45+50)/2</f>
        <v>47.5</v>
      </c>
      <c r="AC105" s="11" t="s">
        <v>59</v>
      </c>
      <c r="AD105" s="11" t="s">
        <v>406</v>
      </c>
      <c r="AE105" s="11" t="s">
        <v>95</v>
      </c>
      <c r="AH105" s="11">
        <v>10.9</v>
      </c>
      <c r="AI105" s="11">
        <v>5.61</v>
      </c>
      <c r="AJ105" s="103">
        <f>76/2</f>
        <v>38</v>
      </c>
      <c r="AK105" s="11">
        <v>15.04</v>
      </c>
      <c r="AL105" s="11">
        <v>5.36</v>
      </c>
      <c r="AM105" s="103">
        <f>76/2</f>
        <v>38</v>
      </c>
      <c r="AN105" s="103"/>
      <c r="AO105" s="103"/>
      <c r="AP105" s="103"/>
      <c r="AQ105" s="103"/>
      <c r="AR105" s="103"/>
      <c r="AS105" s="103"/>
      <c r="AT105" s="58"/>
      <c r="AU105" s="11">
        <v>0</v>
      </c>
      <c r="AV105" s="1" t="s">
        <v>407</v>
      </c>
    </row>
    <row r="106" spans="1:48" ht="14.5" customHeight="1">
      <c r="A106" s="13"/>
      <c r="B106" s="13"/>
      <c r="C106" s="13"/>
      <c r="E106" s="13"/>
      <c r="F106" s="13"/>
      <c r="G106" s="13"/>
      <c r="J106" s="11" t="s">
        <v>412</v>
      </c>
      <c r="K106" s="11" t="s">
        <v>413</v>
      </c>
      <c r="L106" s="40" t="s">
        <v>404</v>
      </c>
      <c r="M106" s="17">
        <f t="shared" si="7"/>
        <v>11.5</v>
      </c>
      <c r="N106" s="17" t="s">
        <v>52</v>
      </c>
      <c r="O106" s="17" t="s">
        <v>52</v>
      </c>
      <c r="P106" s="17" t="s">
        <v>52</v>
      </c>
      <c r="Q106" s="17">
        <v>1</v>
      </c>
      <c r="R106" s="17">
        <v>0.6</v>
      </c>
      <c r="S106" s="17">
        <f t="shared" si="8"/>
        <v>0.75</v>
      </c>
      <c r="T106" s="11" t="s">
        <v>78</v>
      </c>
      <c r="U106" s="12" t="s">
        <v>409</v>
      </c>
      <c r="V106" s="11" t="s">
        <v>80</v>
      </c>
      <c r="W106" s="11" t="s">
        <v>78</v>
      </c>
      <c r="X106" s="11" t="s">
        <v>78</v>
      </c>
      <c r="Y106" s="11" t="s">
        <v>78</v>
      </c>
      <c r="Z106" s="11" t="s">
        <v>78</v>
      </c>
      <c r="AA106" s="11" t="s">
        <v>78</v>
      </c>
      <c r="AB106" s="11" t="s">
        <v>78</v>
      </c>
      <c r="AC106" s="11" t="s">
        <v>78</v>
      </c>
      <c r="AD106" s="11" t="s">
        <v>406</v>
      </c>
      <c r="AE106" s="11" t="s">
        <v>95</v>
      </c>
      <c r="AH106" s="11">
        <v>11.11</v>
      </c>
      <c r="AI106" s="11">
        <v>5.71</v>
      </c>
      <c r="AJ106" s="103">
        <f>76/2</f>
        <v>38</v>
      </c>
      <c r="AK106" s="11">
        <v>13.52</v>
      </c>
      <c r="AL106" s="45">
        <v>14.61</v>
      </c>
      <c r="AM106" s="103">
        <f>76/2</f>
        <v>38</v>
      </c>
      <c r="AN106" s="103"/>
      <c r="AO106" s="103"/>
      <c r="AP106" s="103"/>
      <c r="AQ106" s="103"/>
      <c r="AR106" s="103"/>
      <c r="AS106" s="103"/>
      <c r="AT106" s="58"/>
      <c r="AU106" s="11">
        <v>0</v>
      </c>
      <c r="AV106" s="1" t="s">
        <v>407</v>
      </c>
    </row>
    <row r="107" spans="1:48" ht="14.5" customHeight="1">
      <c r="A107" s="13"/>
      <c r="B107" s="13"/>
      <c r="C107" s="13"/>
      <c r="E107" s="13"/>
      <c r="F107" s="13"/>
      <c r="G107" s="13"/>
      <c r="J107" s="11" t="s">
        <v>414</v>
      </c>
      <c r="K107" s="11" t="s">
        <v>415</v>
      </c>
      <c r="L107" s="40" t="s">
        <v>404</v>
      </c>
      <c r="M107" s="17">
        <f t="shared" si="7"/>
        <v>11.5</v>
      </c>
      <c r="N107" s="17" t="s">
        <v>52</v>
      </c>
      <c r="O107" s="17" t="s">
        <v>52</v>
      </c>
      <c r="P107" s="17" t="s">
        <v>52</v>
      </c>
      <c r="Q107" s="17">
        <v>0</v>
      </c>
      <c r="R107" s="17">
        <v>0.6</v>
      </c>
      <c r="S107" s="17">
        <f t="shared" si="8"/>
        <v>0.75</v>
      </c>
      <c r="T107" s="11" t="s">
        <v>92</v>
      </c>
      <c r="U107" s="12" t="s">
        <v>405</v>
      </c>
      <c r="V107" s="11" t="s">
        <v>71</v>
      </c>
      <c r="W107" s="11" t="s">
        <v>153</v>
      </c>
      <c r="X107" s="60" t="s">
        <v>163</v>
      </c>
      <c r="Y107" s="11" t="s">
        <v>58</v>
      </c>
      <c r="Z107" s="11">
        <f>AA107*AB107</f>
        <v>1187.5</v>
      </c>
      <c r="AA107" s="11">
        <v>25</v>
      </c>
      <c r="AB107" s="11">
        <f>(45+50)/2</f>
        <v>47.5</v>
      </c>
      <c r="AC107" s="11" t="s">
        <v>59</v>
      </c>
      <c r="AD107" s="11" t="s">
        <v>406</v>
      </c>
      <c r="AE107" s="11" t="s">
        <v>95</v>
      </c>
      <c r="AH107" s="11">
        <v>13.51</v>
      </c>
      <c r="AI107" s="11">
        <v>6.32</v>
      </c>
      <c r="AJ107" s="103">
        <f>125/2</f>
        <v>62.5</v>
      </c>
      <c r="AK107" s="11">
        <v>16.41</v>
      </c>
      <c r="AL107" s="11">
        <v>5.17</v>
      </c>
      <c r="AM107" s="103">
        <f>125/2</f>
        <v>62.5</v>
      </c>
      <c r="AN107" s="103"/>
      <c r="AO107" s="103"/>
      <c r="AP107" s="103"/>
      <c r="AQ107" s="103"/>
      <c r="AR107" s="103"/>
      <c r="AS107" s="103"/>
      <c r="AT107" s="58"/>
      <c r="AU107" s="11">
        <v>0</v>
      </c>
      <c r="AV107" s="1" t="s">
        <v>407</v>
      </c>
    </row>
    <row r="108" spans="1:48" s="31" customFormat="1" ht="14.5" customHeight="1">
      <c r="A108" s="30"/>
      <c r="B108" s="30"/>
      <c r="C108" s="30"/>
      <c r="D108" s="89"/>
      <c r="E108" s="30"/>
      <c r="F108" s="30"/>
      <c r="G108" s="30"/>
      <c r="H108" s="276"/>
      <c r="I108" s="276"/>
      <c r="J108" s="31" t="s">
        <v>416</v>
      </c>
      <c r="K108" s="31" t="s">
        <v>417</v>
      </c>
      <c r="L108" s="41" t="s">
        <v>404</v>
      </c>
      <c r="M108" s="32">
        <f t="shared" si="7"/>
        <v>11.5</v>
      </c>
      <c r="N108" s="32" t="s">
        <v>52</v>
      </c>
      <c r="O108" s="32" t="s">
        <v>52</v>
      </c>
      <c r="P108" s="32" t="s">
        <v>52</v>
      </c>
      <c r="Q108" s="32">
        <v>0</v>
      </c>
      <c r="R108" s="32">
        <v>0.6</v>
      </c>
      <c r="S108" s="32">
        <f t="shared" si="8"/>
        <v>0.75</v>
      </c>
      <c r="T108" s="31" t="s">
        <v>78</v>
      </c>
      <c r="U108" s="33" t="s">
        <v>409</v>
      </c>
      <c r="V108" s="31" t="s">
        <v>80</v>
      </c>
      <c r="W108" s="31" t="s">
        <v>78</v>
      </c>
      <c r="X108" s="31" t="s">
        <v>78</v>
      </c>
      <c r="Y108" s="31" t="s">
        <v>78</v>
      </c>
      <c r="Z108" s="31" t="s">
        <v>78</v>
      </c>
      <c r="AA108" s="31" t="s">
        <v>78</v>
      </c>
      <c r="AB108" s="31" t="s">
        <v>78</v>
      </c>
      <c r="AC108" s="31" t="s">
        <v>78</v>
      </c>
      <c r="AD108" s="31" t="s">
        <v>406</v>
      </c>
      <c r="AE108" s="31" t="s">
        <v>95</v>
      </c>
      <c r="AF108" s="63"/>
      <c r="AG108" s="63"/>
      <c r="AH108" s="31">
        <v>12.53</v>
      </c>
      <c r="AI108" s="31">
        <v>6.02</v>
      </c>
      <c r="AJ108" s="160">
        <f>125/2</f>
        <v>62.5</v>
      </c>
      <c r="AK108" s="31">
        <v>14.61</v>
      </c>
      <c r="AL108" s="31">
        <v>5.6</v>
      </c>
      <c r="AM108" s="160">
        <f>125/2</f>
        <v>62.5</v>
      </c>
      <c r="AN108" s="160"/>
      <c r="AO108" s="160"/>
      <c r="AP108" s="160"/>
      <c r="AQ108" s="160"/>
      <c r="AR108" s="160"/>
      <c r="AS108" s="160"/>
      <c r="AT108" s="74"/>
      <c r="AU108" s="31">
        <v>0</v>
      </c>
      <c r="AV108" s="34" t="s">
        <v>407</v>
      </c>
    </row>
    <row r="109" spans="1:48" s="134" customFormat="1">
      <c r="A109" s="133" t="s">
        <v>597</v>
      </c>
      <c r="B109" s="23">
        <v>324</v>
      </c>
      <c r="C109" s="133" t="s">
        <v>418</v>
      </c>
      <c r="D109" s="133" t="s">
        <v>418</v>
      </c>
      <c r="E109" s="116" t="s">
        <v>66</v>
      </c>
      <c r="F109" s="116" t="s">
        <v>49</v>
      </c>
      <c r="G109" s="116" t="s">
        <v>50</v>
      </c>
      <c r="H109" s="278"/>
      <c r="I109" s="278"/>
      <c r="J109" s="112">
        <v>3241</v>
      </c>
      <c r="K109" s="134" t="s">
        <v>198</v>
      </c>
      <c r="L109" s="134" t="s">
        <v>435</v>
      </c>
      <c r="M109" s="135">
        <f>AVERAGE(13, 15)</f>
        <v>14</v>
      </c>
      <c r="N109" s="135">
        <v>1</v>
      </c>
      <c r="O109" s="163" t="s">
        <v>52</v>
      </c>
      <c r="P109" s="135" t="s">
        <v>52</v>
      </c>
      <c r="Q109" s="135" t="s">
        <v>52</v>
      </c>
      <c r="R109" s="163">
        <f>88/168</f>
        <v>0.52380952380952384</v>
      </c>
      <c r="S109" s="135" t="s">
        <v>52</v>
      </c>
      <c r="T109" s="134" t="s">
        <v>92</v>
      </c>
      <c r="U109" s="136" t="s">
        <v>598</v>
      </c>
      <c r="V109" s="134" t="s">
        <v>458</v>
      </c>
      <c r="W109" s="134" t="s">
        <v>153</v>
      </c>
      <c r="X109" s="60" t="s">
        <v>459</v>
      </c>
      <c r="Y109" s="134" t="s">
        <v>58</v>
      </c>
      <c r="Z109" s="134">
        <f>40*16</f>
        <v>640</v>
      </c>
      <c r="AA109" s="134">
        <v>16</v>
      </c>
      <c r="AB109" s="134">
        <v>40</v>
      </c>
      <c r="AC109" s="134" t="s">
        <v>59</v>
      </c>
      <c r="AD109" s="134" t="s">
        <v>210</v>
      </c>
      <c r="AE109" s="134" t="s">
        <v>61</v>
      </c>
      <c r="AF109" s="134" t="s">
        <v>538</v>
      </c>
      <c r="AG109" s="134" t="s">
        <v>599</v>
      </c>
      <c r="AH109" s="134">
        <v>50.3</v>
      </c>
      <c r="AI109" s="134">
        <v>9.89</v>
      </c>
      <c r="AJ109" s="134">
        <v>168</v>
      </c>
      <c r="AK109" s="134">
        <v>55.62</v>
      </c>
      <c r="AL109" s="134">
        <v>8.2200000000000006</v>
      </c>
      <c r="AM109" s="134">
        <v>168</v>
      </c>
    </row>
    <row r="110" spans="1:48" s="138" customFormat="1">
      <c r="A110" s="137"/>
      <c r="B110" s="26"/>
      <c r="C110" s="137"/>
      <c r="D110" s="137"/>
      <c r="E110" s="122"/>
      <c r="F110" s="122"/>
      <c r="G110" s="122"/>
      <c r="H110" s="279"/>
      <c r="I110" s="279"/>
      <c r="J110" s="113">
        <v>3242</v>
      </c>
      <c r="K110" s="138" t="s">
        <v>126</v>
      </c>
      <c r="L110" s="138" t="s">
        <v>435</v>
      </c>
      <c r="M110" s="139">
        <f>AVERAGE(13, 15)</f>
        <v>14</v>
      </c>
      <c r="N110" s="139">
        <v>1</v>
      </c>
      <c r="O110" s="164" t="s">
        <v>52</v>
      </c>
      <c r="P110" s="139" t="s">
        <v>52</v>
      </c>
      <c r="Q110" s="139" t="s">
        <v>52</v>
      </c>
      <c r="R110" s="164">
        <f>102/174</f>
        <v>0.58620689655172409</v>
      </c>
      <c r="S110" s="139" t="s">
        <v>52</v>
      </c>
      <c r="T110" s="138" t="s">
        <v>78</v>
      </c>
      <c r="U110" s="140" t="s">
        <v>600</v>
      </c>
      <c r="V110" s="138" t="s">
        <v>80</v>
      </c>
      <c r="W110" s="138" t="s">
        <v>78</v>
      </c>
      <c r="X110" s="63" t="s">
        <v>78</v>
      </c>
      <c r="Y110" s="138" t="s">
        <v>78</v>
      </c>
      <c r="Z110" s="138" t="s">
        <v>78</v>
      </c>
      <c r="AA110" s="138" t="s">
        <v>78</v>
      </c>
      <c r="AB110" s="138" t="s">
        <v>78</v>
      </c>
      <c r="AC110" s="138" t="s">
        <v>78</v>
      </c>
      <c r="AD110" s="138" t="s">
        <v>210</v>
      </c>
      <c r="AE110" s="138" t="s">
        <v>61</v>
      </c>
      <c r="AF110" s="138" t="s">
        <v>538</v>
      </c>
      <c r="AG110" s="138" t="s">
        <v>599</v>
      </c>
      <c r="AH110" s="138">
        <v>49.71</v>
      </c>
      <c r="AI110" s="138">
        <v>10.119999999999999</v>
      </c>
      <c r="AJ110" s="138">
        <v>174</v>
      </c>
      <c r="AK110" s="138">
        <v>44.57</v>
      </c>
      <c r="AL110" s="138">
        <v>8.4499999999999993</v>
      </c>
      <c r="AM110" s="138">
        <v>174</v>
      </c>
    </row>
    <row r="111" spans="1:48" s="134" customFormat="1">
      <c r="A111" s="133" t="s">
        <v>601</v>
      </c>
      <c r="B111" s="117">
        <v>325</v>
      </c>
      <c r="C111" s="133" t="s">
        <v>47</v>
      </c>
      <c r="D111" s="133" t="s">
        <v>47</v>
      </c>
      <c r="E111" s="116" t="s">
        <v>66</v>
      </c>
      <c r="F111" s="116" t="s">
        <v>49</v>
      </c>
      <c r="G111" s="116" t="s">
        <v>239</v>
      </c>
      <c r="H111" s="278"/>
      <c r="I111" s="278"/>
      <c r="J111" s="112" t="s">
        <v>658</v>
      </c>
      <c r="K111" s="134" t="s">
        <v>602</v>
      </c>
      <c r="L111" s="134">
        <v>3</v>
      </c>
      <c r="M111" s="135">
        <v>8.5</v>
      </c>
      <c r="N111" s="171" t="s">
        <v>456</v>
      </c>
      <c r="O111" s="171" t="s">
        <v>456</v>
      </c>
      <c r="P111" s="135" t="s">
        <v>52</v>
      </c>
      <c r="Q111" s="135" t="s">
        <v>52</v>
      </c>
      <c r="R111" s="135">
        <f>36/67</f>
        <v>0.53731343283582089</v>
      </c>
      <c r="S111" s="135" t="s">
        <v>52</v>
      </c>
      <c r="T111" s="134" t="s">
        <v>92</v>
      </c>
      <c r="U111" s="136" t="s">
        <v>603</v>
      </c>
      <c r="V111" s="134" t="s">
        <v>458</v>
      </c>
      <c r="W111" s="134" t="s">
        <v>153</v>
      </c>
      <c r="X111" s="60" t="s">
        <v>459</v>
      </c>
      <c r="Y111" s="134" t="s">
        <v>58</v>
      </c>
      <c r="Z111" s="165" t="s">
        <v>52</v>
      </c>
      <c r="AA111" s="165" t="s">
        <v>708</v>
      </c>
      <c r="AB111" s="165" t="s">
        <v>52</v>
      </c>
      <c r="AC111" s="134" t="s">
        <v>59</v>
      </c>
      <c r="AD111" s="134" t="s">
        <v>604</v>
      </c>
      <c r="AE111" s="134" t="s">
        <v>95</v>
      </c>
      <c r="AF111" s="134" t="s">
        <v>461</v>
      </c>
      <c r="AG111" s="134" t="s">
        <v>605</v>
      </c>
      <c r="AH111" s="134" t="s">
        <v>52</v>
      </c>
      <c r="AI111" s="134" t="s">
        <v>52</v>
      </c>
      <c r="AJ111" s="134" t="s">
        <v>52</v>
      </c>
      <c r="AK111" s="134">
        <v>6.28</v>
      </c>
      <c r="AL111" s="134">
        <v>1.33</v>
      </c>
      <c r="AM111" s="134">
        <v>32</v>
      </c>
    </row>
    <row r="112" spans="1:48" s="134" customFormat="1">
      <c r="A112" s="133"/>
      <c r="B112" s="117"/>
      <c r="C112" s="133"/>
      <c r="D112" s="133"/>
      <c r="E112" s="116"/>
      <c r="F112" s="116"/>
      <c r="G112" s="116"/>
      <c r="H112" s="278"/>
      <c r="I112" s="278"/>
      <c r="J112" s="112"/>
      <c r="M112" s="135"/>
      <c r="N112" s="171"/>
      <c r="O112" s="171"/>
      <c r="P112" s="135"/>
      <c r="Q112" s="135"/>
      <c r="R112" s="135"/>
      <c r="S112" s="135"/>
      <c r="U112" s="136"/>
      <c r="X112" s="60"/>
      <c r="Z112" s="118"/>
      <c r="AA112" s="118"/>
      <c r="AB112" s="118"/>
      <c r="AD112" s="134" t="s">
        <v>606</v>
      </c>
      <c r="AE112" s="134" t="s">
        <v>95</v>
      </c>
      <c r="AF112" s="134" t="s">
        <v>461</v>
      </c>
      <c r="AG112" s="134" t="s">
        <v>605</v>
      </c>
      <c r="AH112" s="134" t="s">
        <v>52</v>
      </c>
      <c r="AI112" s="134" t="s">
        <v>52</v>
      </c>
      <c r="AJ112" s="134" t="s">
        <v>52</v>
      </c>
      <c r="AK112" s="134">
        <v>6.03</v>
      </c>
      <c r="AL112" s="134">
        <v>1.73</v>
      </c>
      <c r="AM112" s="134">
        <v>32</v>
      </c>
    </row>
    <row r="113" spans="1:39" s="134" customFormat="1">
      <c r="A113" s="133"/>
      <c r="B113" s="117"/>
      <c r="C113" s="133"/>
      <c r="D113" s="133"/>
      <c r="E113" s="116"/>
      <c r="F113" s="116"/>
      <c r="G113" s="116"/>
      <c r="H113" s="278"/>
      <c r="I113" s="278"/>
      <c r="J113" s="112"/>
      <c r="M113" s="135"/>
      <c r="N113" s="171"/>
      <c r="O113" s="171"/>
      <c r="P113" s="135"/>
      <c r="Q113" s="135"/>
      <c r="R113" s="135"/>
      <c r="S113" s="135"/>
      <c r="U113" s="136"/>
      <c r="X113" s="60"/>
      <c r="Z113" s="118"/>
      <c r="AA113" s="118"/>
      <c r="AB113" s="118"/>
      <c r="AD113" s="134" t="s">
        <v>607</v>
      </c>
      <c r="AE113" s="134" t="s">
        <v>61</v>
      </c>
      <c r="AF113" s="134" t="s">
        <v>538</v>
      </c>
      <c r="AG113" s="134" t="s">
        <v>605</v>
      </c>
      <c r="AH113" s="134">
        <v>47.79</v>
      </c>
      <c r="AI113" s="134">
        <v>25.35</v>
      </c>
      <c r="AJ113" s="134">
        <v>32</v>
      </c>
      <c r="AK113" s="134" t="s">
        <v>52</v>
      </c>
      <c r="AL113" s="134" t="s">
        <v>52</v>
      </c>
      <c r="AM113" s="134" t="s">
        <v>52</v>
      </c>
    </row>
    <row r="114" spans="1:39" s="134" customFormat="1">
      <c r="A114" s="133"/>
      <c r="B114" s="117"/>
      <c r="C114" s="133"/>
      <c r="D114" s="133"/>
      <c r="E114" s="116"/>
      <c r="F114" s="116"/>
      <c r="G114" s="116"/>
      <c r="H114" s="278"/>
      <c r="I114" s="278"/>
      <c r="J114" s="112" t="s">
        <v>659</v>
      </c>
      <c r="K114" s="134" t="s">
        <v>608</v>
      </c>
      <c r="L114" s="134">
        <v>3</v>
      </c>
      <c r="M114" s="135">
        <v>8.5</v>
      </c>
      <c r="N114" s="171" t="s">
        <v>456</v>
      </c>
      <c r="O114" s="171" t="s">
        <v>456</v>
      </c>
      <c r="P114" s="135" t="s">
        <v>52</v>
      </c>
      <c r="Q114" s="135" t="s">
        <v>52</v>
      </c>
      <c r="R114" s="135">
        <f>38/66</f>
        <v>0.5757575757575758</v>
      </c>
      <c r="S114" s="135" t="s">
        <v>52</v>
      </c>
      <c r="T114" s="134" t="s">
        <v>92</v>
      </c>
      <c r="U114" s="136" t="s">
        <v>609</v>
      </c>
      <c r="V114" s="134" t="s">
        <v>466</v>
      </c>
      <c r="W114" s="134" t="s">
        <v>153</v>
      </c>
      <c r="X114" s="60" t="s">
        <v>459</v>
      </c>
      <c r="Y114" s="134" t="s">
        <v>58</v>
      </c>
      <c r="Z114" s="134" t="s">
        <v>78</v>
      </c>
      <c r="AA114" s="134" t="s">
        <v>78</v>
      </c>
      <c r="AB114" s="134" t="s">
        <v>78</v>
      </c>
      <c r="AC114" s="134" t="s">
        <v>78</v>
      </c>
      <c r="AD114" s="134" t="s">
        <v>604</v>
      </c>
      <c r="AE114" s="134" t="s">
        <v>95</v>
      </c>
      <c r="AF114" s="134" t="s">
        <v>461</v>
      </c>
      <c r="AG114" s="134" t="s">
        <v>605</v>
      </c>
      <c r="AH114" s="134" t="s">
        <v>52</v>
      </c>
      <c r="AI114" s="134" t="s">
        <v>52</v>
      </c>
      <c r="AJ114" s="134" t="s">
        <v>52</v>
      </c>
      <c r="AK114" s="134">
        <v>5.57</v>
      </c>
      <c r="AL114" s="134">
        <v>1.64</v>
      </c>
      <c r="AM114" s="134">
        <v>28</v>
      </c>
    </row>
    <row r="115" spans="1:39" s="134" customFormat="1">
      <c r="A115" s="133"/>
      <c r="B115" s="117"/>
      <c r="C115" s="133"/>
      <c r="D115" s="133"/>
      <c r="E115" s="116"/>
      <c r="F115" s="116"/>
      <c r="G115" s="116"/>
      <c r="H115" s="278"/>
      <c r="I115" s="278"/>
      <c r="J115" s="112"/>
      <c r="M115" s="135"/>
      <c r="N115" s="171"/>
      <c r="O115" s="171"/>
      <c r="P115" s="135"/>
      <c r="Q115" s="135"/>
      <c r="R115" s="135"/>
      <c r="S115" s="135"/>
      <c r="U115" s="136"/>
      <c r="X115" s="60"/>
      <c r="AD115" s="134" t="s">
        <v>606</v>
      </c>
      <c r="AE115" s="134" t="s">
        <v>95</v>
      </c>
      <c r="AF115" s="134" t="s">
        <v>461</v>
      </c>
      <c r="AG115" s="134" t="s">
        <v>605</v>
      </c>
      <c r="AH115" s="134" t="s">
        <v>52</v>
      </c>
      <c r="AI115" s="134" t="s">
        <v>52</v>
      </c>
      <c r="AJ115" s="134" t="s">
        <v>52</v>
      </c>
      <c r="AK115" s="134">
        <v>5.59</v>
      </c>
      <c r="AL115" s="134">
        <v>1.64</v>
      </c>
      <c r="AM115" s="134">
        <v>28</v>
      </c>
    </row>
    <row r="116" spans="1:39" s="134" customFormat="1">
      <c r="A116" s="133"/>
      <c r="B116" s="117"/>
      <c r="C116" s="133"/>
      <c r="D116" s="133"/>
      <c r="E116" s="116"/>
      <c r="F116" s="116"/>
      <c r="G116" s="116"/>
      <c r="H116" s="278"/>
      <c r="I116" s="278"/>
      <c r="J116" s="112"/>
      <c r="M116" s="135"/>
      <c r="N116" s="171"/>
      <c r="O116" s="171"/>
      <c r="P116" s="135"/>
      <c r="Q116" s="135"/>
      <c r="R116" s="135"/>
      <c r="S116" s="135"/>
      <c r="U116" s="136"/>
      <c r="X116" s="60"/>
      <c r="AD116" s="134" t="s">
        <v>607</v>
      </c>
      <c r="AE116" s="134" t="s">
        <v>61</v>
      </c>
      <c r="AF116" s="134" t="s">
        <v>538</v>
      </c>
      <c r="AG116" s="134" t="s">
        <v>605</v>
      </c>
      <c r="AH116" s="134">
        <v>43.32</v>
      </c>
      <c r="AI116" s="134">
        <v>34.25</v>
      </c>
      <c r="AJ116" s="134">
        <v>28</v>
      </c>
      <c r="AK116" s="134" t="s">
        <v>52</v>
      </c>
      <c r="AL116" s="134" t="s">
        <v>52</v>
      </c>
      <c r="AM116" s="134" t="s">
        <v>52</v>
      </c>
    </row>
    <row r="117" spans="1:39" s="134" customFormat="1">
      <c r="A117" s="133"/>
      <c r="B117" s="117"/>
      <c r="C117" s="133"/>
      <c r="D117" s="133"/>
      <c r="E117" s="116"/>
      <c r="F117" s="116"/>
      <c r="G117" s="116"/>
      <c r="H117" s="278"/>
      <c r="I117" s="278"/>
      <c r="J117" s="112" t="s">
        <v>660</v>
      </c>
      <c r="K117" s="134" t="s">
        <v>610</v>
      </c>
      <c r="L117" s="134">
        <v>3</v>
      </c>
      <c r="M117" s="135">
        <v>8.5</v>
      </c>
      <c r="N117" s="171" t="s">
        <v>456</v>
      </c>
      <c r="O117" s="171" t="s">
        <v>456</v>
      </c>
      <c r="P117" s="135" t="s">
        <v>52</v>
      </c>
      <c r="Q117" s="135" t="s">
        <v>52</v>
      </c>
      <c r="R117" s="135">
        <f>36/67</f>
        <v>0.53731343283582089</v>
      </c>
      <c r="S117" s="135" t="s">
        <v>52</v>
      </c>
      <c r="T117" s="134" t="s">
        <v>92</v>
      </c>
      <c r="U117" s="136" t="s">
        <v>603</v>
      </c>
      <c r="V117" s="134" t="s">
        <v>458</v>
      </c>
      <c r="W117" s="134" t="s">
        <v>153</v>
      </c>
      <c r="X117" s="60" t="s">
        <v>459</v>
      </c>
      <c r="Y117" s="134" t="s">
        <v>58</v>
      </c>
      <c r="Z117" s="165" t="s">
        <v>52</v>
      </c>
      <c r="AA117" s="165" t="s">
        <v>708</v>
      </c>
      <c r="AB117" s="165" t="s">
        <v>52</v>
      </c>
      <c r="AC117" s="134" t="s">
        <v>59</v>
      </c>
      <c r="AD117" s="134" t="s">
        <v>604</v>
      </c>
      <c r="AE117" s="134" t="s">
        <v>95</v>
      </c>
      <c r="AF117" s="134" t="s">
        <v>461</v>
      </c>
      <c r="AG117" s="134" t="s">
        <v>605</v>
      </c>
      <c r="AH117" s="134" t="s">
        <v>52</v>
      </c>
      <c r="AI117" s="134" t="s">
        <v>52</v>
      </c>
      <c r="AJ117" s="134" t="s">
        <v>52</v>
      </c>
      <c r="AK117" s="134">
        <v>8.09</v>
      </c>
      <c r="AL117" s="134">
        <v>1.59</v>
      </c>
      <c r="AM117" s="134">
        <v>33</v>
      </c>
    </row>
    <row r="118" spans="1:39" s="134" customFormat="1">
      <c r="A118" s="133"/>
      <c r="B118" s="117"/>
      <c r="C118" s="133"/>
      <c r="D118" s="133"/>
      <c r="E118" s="116"/>
      <c r="F118" s="116"/>
      <c r="G118" s="116"/>
      <c r="H118" s="278"/>
      <c r="I118" s="278"/>
      <c r="J118" s="112"/>
      <c r="M118" s="135"/>
      <c r="N118" s="171"/>
      <c r="O118" s="171"/>
      <c r="P118" s="135"/>
      <c r="Q118" s="135"/>
      <c r="R118" s="135"/>
      <c r="S118" s="135"/>
      <c r="U118" s="136"/>
      <c r="X118" s="60"/>
      <c r="Z118" s="118"/>
      <c r="AA118" s="118"/>
      <c r="AB118" s="118"/>
      <c r="AD118" s="134" t="s">
        <v>606</v>
      </c>
      <c r="AE118" s="134" t="s">
        <v>95</v>
      </c>
      <c r="AF118" s="134" t="s">
        <v>461</v>
      </c>
      <c r="AG118" s="134" t="s">
        <v>605</v>
      </c>
      <c r="AH118" s="134" t="s">
        <v>52</v>
      </c>
      <c r="AI118" s="134" t="s">
        <v>52</v>
      </c>
      <c r="AJ118" s="134" t="s">
        <v>52</v>
      </c>
      <c r="AK118" s="134">
        <v>4.76</v>
      </c>
      <c r="AL118" s="134">
        <v>1.2</v>
      </c>
      <c r="AM118" s="134">
        <v>33</v>
      </c>
    </row>
    <row r="119" spans="1:39" s="134" customFormat="1">
      <c r="A119" s="133"/>
      <c r="B119" s="117"/>
      <c r="C119" s="133"/>
      <c r="D119" s="133"/>
      <c r="E119" s="116"/>
      <c r="F119" s="116"/>
      <c r="G119" s="116"/>
      <c r="H119" s="278"/>
      <c r="I119" s="278"/>
      <c r="J119" s="112"/>
      <c r="M119" s="135"/>
      <c r="N119" s="171"/>
      <c r="O119" s="171"/>
      <c r="P119" s="135"/>
      <c r="Q119" s="135"/>
      <c r="R119" s="135"/>
      <c r="S119" s="135"/>
      <c r="U119" s="136"/>
      <c r="X119" s="60"/>
      <c r="Z119" s="118"/>
      <c r="AA119" s="118"/>
      <c r="AB119" s="118"/>
      <c r="AD119" s="134" t="s">
        <v>607</v>
      </c>
      <c r="AE119" s="134" t="s">
        <v>61</v>
      </c>
      <c r="AF119" s="134" t="s">
        <v>538</v>
      </c>
      <c r="AG119" s="134" t="s">
        <v>605</v>
      </c>
      <c r="AH119" s="134">
        <v>53.35</v>
      </c>
      <c r="AI119" s="134">
        <v>30.29</v>
      </c>
      <c r="AJ119" s="134">
        <v>33</v>
      </c>
      <c r="AK119" s="134" t="s">
        <v>52</v>
      </c>
      <c r="AL119" s="134" t="s">
        <v>52</v>
      </c>
      <c r="AM119" s="134" t="s">
        <v>52</v>
      </c>
    </row>
    <row r="120" spans="1:39" s="134" customFormat="1">
      <c r="A120" s="133"/>
      <c r="B120" s="117"/>
      <c r="C120" s="133"/>
      <c r="D120" s="133"/>
      <c r="E120" s="116"/>
      <c r="F120" s="116"/>
      <c r="G120" s="116"/>
      <c r="H120" s="278"/>
      <c r="I120" s="278"/>
      <c r="J120" s="112" t="s">
        <v>661</v>
      </c>
      <c r="K120" s="134" t="s">
        <v>611</v>
      </c>
      <c r="L120" s="134">
        <v>3</v>
      </c>
      <c r="M120" s="135">
        <v>8.5</v>
      </c>
      <c r="N120" s="171" t="s">
        <v>456</v>
      </c>
      <c r="O120" s="171" t="s">
        <v>456</v>
      </c>
      <c r="P120" s="135" t="s">
        <v>52</v>
      </c>
      <c r="Q120" s="135" t="s">
        <v>52</v>
      </c>
      <c r="R120" s="135">
        <f>38/66</f>
        <v>0.5757575757575758</v>
      </c>
      <c r="S120" s="135" t="s">
        <v>52</v>
      </c>
      <c r="T120" s="134" t="s">
        <v>92</v>
      </c>
      <c r="U120" s="136" t="s">
        <v>609</v>
      </c>
      <c r="V120" s="134" t="s">
        <v>466</v>
      </c>
      <c r="W120" s="134" t="s">
        <v>153</v>
      </c>
      <c r="X120" s="60" t="s">
        <v>459</v>
      </c>
      <c r="Y120" s="134" t="s">
        <v>58</v>
      </c>
      <c r="Z120" s="134" t="s">
        <v>78</v>
      </c>
      <c r="AA120" s="134" t="s">
        <v>78</v>
      </c>
      <c r="AB120" s="134" t="s">
        <v>78</v>
      </c>
      <c r="AC120" s="134" t="s">
        <v>78</v>
      </c>
      <c r="AD120" s="134" t="s">
        <v>604</v>
      </c>
      <c r="AE120" s="134" t="s">
        <v>95</v>
      </c>
      <c r="AF120" s="134" t="s">
        <v>461</v>
      </c>
      <c r="AG120" s="134" t="s">
        <v>605</v>
      </c>
      <c r="AH120" s="134" t="s">
        <v>52</v>
      </c>
      <c r="AI120" s="134" t="s">
        <v>52</v>
      </c>
      <c r="AJ120" s="134" t="s">
        <v>52</v>
      </c>
      <c r="AK120" s="134">
        <v>7.88</v>
      </c>
      <c r="AL120" s="134">
        <v>1.72</v>
      </c>
      <c r="AM120" s="134">
        <v>27</v>
      </c>
    </row>
    <row r="121" spans="1:39" s="134" customFormat="1">
      <c r="A121" s="133"/>
      <c r="B121" s="117"/>
      <c r="C121" s="133"/>
      <c r="D121" s="133"/>
      <c r="E121" s="116"/>
      <c r="F121" s="116"/>
      <c r="G121" s="116"/>
      <c r="H121" s="278"/>
      <c r="I121" s="278"/>
      <c r="J121" s="112"/>
      <c r="M121" s="135"/>
      <c r="N121" s="171"/>
      <c r="O121" s="171"/>
      <c r="P121" s="135"/>
      <c r="Q121" s="135"/>
      <c r="R121" s="135"/>
      <c r="S121" s="135"/>
      <c r="U121" s="136"/>
      <c r="X121" s="60"/>
      <c r="AD121" s="134" t="s">
        <v>606</v>
      </c>
      <c r="AE121" s="134" t="s">
        <v>95</v>
      </c>
      <c r="AF121" s="134" t="s">
        <v>461</v>
      </c>
      <c r="AG121" s="134" t="s">
        <v>605</v>
      </c>
      <c r="AH121" s="134" t="s">
        <v>52</v>
      </c>
      <c r="AI121" s="134" t="s">
        <v>52</v>
      </c>
      <c r="AJ121" s="134" t="s">
        <v>52</v>
      </c>
      <c r="AK121" s="134">
        <v>4</v>
      </c>
      <c r="AL121" s="134">
        <v>0.87</v>
      </c>
      <c r="AM121" s="134">
        <v>27</v>
      </c>
    </row>
    <row r="122" spans="1:39" s="134" customFormat="1">
      <c r="A122" s="133"/>
      <c r="B122" s="117"/>
      <c r="C122" s="133"/>
      <c r="D122" s="133"/>
      <c r="E122" s="116"/>
      <c r="F122" s="116"/>
      <c r="G122" s="116"/>
      <c r="H122" s="278"/>
      <c r="I122" s="278"/>
      <c r="J122" s="112"/>
      <c r="M122" s="135"/>
      <c r="N122" s="171"/>
      <c r="O122" s="171"/>
      <c r="P122" s="135"/>
      <c r="Q122" s="135"/>
      <c r="R122" s="135"/>
      <c r="S122" s="135"/>
      <c r="U122" s="136"/>
      <c r="X122" s="60"/>
      <c r="AD122" s="134" t="s">
        <v>607</v>
      </c>
      <c r="AE122" s="134" t="s">
        <v>61</v>
      </c>
      <c r="AF122" s="134" t="s">
        <v>538</v>
      </c>
      <c r="AG122" s="134" t="s">
        <v>605</v>
      </c>
      <c r="AH122" s="134">
        <v>38.31</v>
      </c>
      <c r="AI122" s="134">
        <v>35.56</v>
      </c>
      <c r="AJ122" s="134">
        <v>27</v>
      </c>
      <c r="AK122" s="134" t="s">
        <v>52</v>
      </c>
      <c r="AL122" s="134" t="s">
        <v>52</v>
      </c>
      <c r="AM122" s="134" t="s">
        <v>52</v>
      </c>
    </row>
    <row r="123" spans="1:39" s="134" customFormat="1">
      <c r="A123" s="133"/>
      <c r="B123" s="117"/>
      <c r="C123" s="133"/>
      <c r="D123" s="133"/>
      <c r="E123" s="116"/>
      <c r="F123" s="116"/>
      <c r="G123" s="116"/>
      <c r="H123" s="278"/>
      <c r="I123" s="278"/>
      <c r="J123" s="112" t="s">
        <v>662</v>
      </c>
      <c r="K123" s="134" t="s">
        <v>612</v>
      </c>
      <c r="L123" s="134">
        <v>5</v>
      </c>
      <c r="M123" s="135">
        <v>10.5</v>
      </c>
      <c r="N123" s="171" t="s">
        <v>456</v>
      </c>
      <c r="O123" s="171" t="s">
        <v>456</v>
      </c>
      <c r="P123" s="135" t="s">
        <v>52</v>
      </c>
      <c r="Q123" s="135" t="s">
        <v>52</v>
      </c>
      <c r="R123" s="135">
        <f>31/53</f>
        <v>0.58490566037735847</v>
      </c>
      <c r="S123" s="135" t="s">
        <v>52</v>
      </c>
      <c r="T123" s="134" t="s">
        <v>92</v>
      </c>
      <c r="U123" s="136" t="s">
        <v>603</v>
      </c>
      <c r="V123" s="134" t="s">
        <v>458</v>
      </c>
      <c r="W123" s="134" t="s">
        <v>153</v>
      </c>
      <c r="X123" s="60" t="s">
        <v>459</v>
      </c>
      <c r="Y123" s="134" t="s">
        <v>58</v>
      </c>
      <c r="Z123" s="165" t="s">
        <v>52</v>
      </c>
      <c r="AA123" s="165" t="s">
        <v>708</v>
      </c>
      <c r="AB123" s="165" t="s">
        <v>52</v>
      </c>
      <c r="AC123" s="134" t="s">
        <v>59</v>
      </c>
      <c r="AD123" s="134" t="s">
        <v>604</v>
      </c>
      <c r="AE123" s="134" t="s">
        <v>95</v>
      </c>
      <c r="AF123" s="134" t="s">
        <v>461</v>
      </c>
      <c r="AG123" s="134" t="s">
        <v>605</v>
      </c>
      <c r="AH123" s="134" t="s">
        <v>52</v>
      </c>
      <c r="AI123" s="134" t="s">
        <v>52</v>
      </c>
      <c r="AJ123" s="134" t="s">
        <v>52</v>
      </c>
      <c r="AK123" s="134">
        <v>7.92</v>
      </c>
      <c r="AL123" s="134">
        <v>1.54</v>
      </c>
      <c r="AM123" s="134">
        <v>23</v>
      </c>
    </row>
    <row r="124" spans="1:39" s="134" customFormat="1">
      <c r="A124" s="133"/>
      <c r="B124" s="117"/>
      <c r="C124" s="133"/>
      <c r="D124" s="133"/>
      <c r="E124" s="116"/>
      <c r="F124" s="116"/>
      <c r="G124" s="116"/>
      <c r="H124" s="278"/>
      <c r="I124" s="278"/>
      <c r="J124" s="112"/>
      <c r="M124" s="135"/>
      <c r="N124" s="171"/>
      <c r="O124" s="171"/>
      <c r="P124" s="135"/>
      <c r="Q124" s="135"/>
      <c r="R124" s="135"/>
      <c r="S124" s="135"/>
      <c r="U124" s="136"/>
      <c r="X124" s="60"/>
      <c r="Z124" s="118"/>
      <c r="AA124" s="118"/>
      <c r="AB124" s="118"/>
      <c r="AD124" s="134" t="s">
        <v>606</v>
      </c>
      <c r="AE124" s="134" t="s">
        <v>95</v>
      </c>
      <c r="AF124" s="134" t="s">
        <v>461</v>
      </c>
      <c r="AG124" s="134" t="s">
        <v>605</v>
      </c>
      <c r="AH124" s="134" t="s">
        <v>52</v>
      </c>
      <c r="AI124" s="134" t="s">
        <v>52</v>
      </c>
      <c r="AJ124" s="134" t="s">
        <v>52</v>
      </c>
      <c r="AK124" s="134">
        <v>5.4</v>
      </c>
      <c r="AL124" s="134">
        <v>1.34</v>
      </c>
      <c r="AM124" s="134">
        <v>23</v>
      </c>
    </row>
    <row r="125" spans="1:39" s="134" customFormat="1">
      <c r="A125" s="133"/>
      <c r="B125" s="117"/>
      <c r="C125" s="133"/>
      <c r="D125" s="133"/>
      <c r="E125" s="116"/>
      <c r="F125" s="116"/>
      <c r="G125" s="116"/>
      <c r="H125" s="278"/>
      <c r="I125" s="278"/>
      <c r="J125" s="112"/>
      <c r="M125" s="135"/>
      <c r="N125" s="171"/>
      <c r="O125" s="171"/>
      <c r="P125" s="135"/>
      <c r="Q125" s="135"/>
      <c r="R125" s="135"/>
      <c r="S125" s="135"/>
      <c r="U125" s="136"/>
      <c r="X125" s="60"/>
      <c r="Z125" s="118"/>
      <c r="AA125" s="118"/>
      <c r="AB125" s="118"/>
      <c r="AD125" s="134" t="s">
        <v>607</v>
      </c>
      <c r="AE125" s="134" t="s">
        <v>61</v>
      </c>
      <c r="AF125" s="134" t="s">
        <v>538</v>
      </c>
      <c r="AG125" s="134" t="s">
        <v>605</v>
      </c>
      <c r="AH125" s="173">
        <v>43.29</v>
      </c>
      <c r="AI125" s="134">
        <v>11.77</v>
      </c>
      <c r="AJ125" s="134">
        <v>23</v>
      </c>
      <c r="AK125" s="134" t="s">
        <v>52</v>
      </c>
      <c r="AL125" s="134" t="s">
        <v>52</v>
      </c>
      <c r="AM125" s="134" t="s">
        <v>52</v>
      </c>
    </row>
    <row r="126" spans="1:39" s="134" customFormat="1">
      <c r="A126" s="133"/>
      <c r="B126" s="117"/>
      <c r="C126" s="133"/>
      <c r="D126" s="133"/>
      <c r="E126" s="116"/>
      <c r="F126" s="116"/>
      <c r="G126" s="116"/>
      <c r="H126" s="278"/>
      <c r="I126" s="278"/>
      <c r="J126" s="112" t="s">
        <v>663</v>
      </c>
      <c r="K126" s="134" t="s">
        <v>613</v>
      </c>
      <c r="L126" s="134">
        <v>5</v>
      </c>
      <c r="M126" s="135">
        <v>10.5</v>
      </c>
      <c r="N126" s="171" t="s">
        <v>456</v>
      </c>
      <c r="O126" s="171" t="s">
        <v>456</v>
      </c>
      <c r="P126" s="135" t="s">
        <v>52</v>
      </c>
      <c r="Q126" s="135" t="s">
        <v>52</v>
      </c>
      <c r="R126" s="135">
        <f>25/53</f>
        <v>0.47169811320754718</v>
      </c>
      <c r="S126" s="135" t="s">
        <v>52</v>
      </c>
      <c r="T126" s="134" t="s">
        <v>92</v>
      </c>
      <c r="U126" s="136" t="s">
        <v>609</v>
      </c>
      <c r="V126" s="134" t="s">
        <v>466</v>
      </c>
      <c r="W126" s="134" t="s">
        <v>153</v>
      </c>
      <c r="X126" s="60" t="s">
        <v>459</v>
      </c>
      <c r="Y126" s="134" t="s">
        <v>58</v>
      </c>
      <c r="Z126" s="134" t="s">
        <v>78</v>
      </c>
      <c r="AA126" s="134" t="s">
        <v>78</v>
      </c>
      <c r="AB126" s="134" t="s">
        <v>78</v>
      </c>
      <c r="AC126" s="134" t="s">
        <v>78</v>
      </c>
      <c r="AD126" s="134" t="s">
        <v>604</v>
      </c>
      <c r="AE126" s="134" t="s">
        <v>95</v>
      </c>
      <c r="AF126" s="134" t="s">
        <v>461</v>
      </c>
      <c r="AG126" s="134" t="s">
        <v>605</v>
      </c>
      <c r="AH126" s="134" t="s">
        <v>52</v>
      </c>
      <c r="AI126" s="134" t="s">
        <v>52</v>
      </c>
      <c r="AJ126" s="134" t="s">
        <v>52</v>
      </c>
      <c r="AK126" s="134">
        <v>7.35</v>
      </c>
      <c r="AL126" s="134">
        <v>1.54</v>
      </c>
      <c r="AM126" s="134">
        <v>24</v>
      </c>
    </row>
    <row r="127" spans="1:39" s="134" customFormat="1">
      <c r="A127" s="133"/>
      <c r="B127" s="117"/>
      <c r="C127" s="133"/>
      <c r="D127" s="133"/>
      <c r="E127" s="116"/>
      <c r="F127" s="116"/>
      <c r="G127" s="116"/>
      <c r="H127" s="278"/>
      <c r="I127" s="278"/>
      <c r="J127" s="112"/>
      <c r="M127" s="135"/>
      <c r="N127" s="171"/>
      <c r="O127" s="171"/>
      <c r="P127" s="135"/>
      <c r="Q127" s="135"/>
      <c r="R127" s="135"/>
      <c r="S127" s="135"/>
      <c r="U127" s="136"/>
      <c r="X127" s="60"/>
      <c r="AD127" s="134" t="s">
        <v>606</v>
      </c>
      <c r="AE127" s="134" t="s">
        <v>95</v>
      </c>
      <c r="AF127" s="134" t="s">
        <v>461</v>
      </c>
      <c r="AG127" s="134" t="s">
        <v>605</v>
      </c>
      <c r="AH127" s="134" t="s">
        <v>52</v>
      </c>
      <c r="AI127" s="134" t="s">
        <v>52</v>
      </c>
      <c r="AJ127" s="134" t="s">
        <v>52</v>
      </c>
      <c r="AK127" s="134">
        <v>4.4400000000000004</v>
      </c>
      <c r="AL127" s="134">
        <v>1.34</v>
      </c>
      <c r="AM127" s="134">
        <v>24</v>
      </c>
    </row>
    <row r="128" spans="1:39" s="134" customFormat="1">
      <c r="A128" s="133"/>
      <c r="B128" s="117"/>
      <c r="C128" s="133"/>
      <c r="D128" s="133"/>
      <c r="E128" s="116"/>
      <c r="F128" s="116"/>
      <c r="G128" s="116"/>
      <c r="H128" s="278"/>
      <c r="I128" s="278"/>
      <c r="J128" s="112"/>
      <c r="M128" s="135"/>
      <c r="N128" s="171"/>
      <c r="O128" s="171"/>
      <c r="P128" s="135"/>
      <c r="Q128" s="135"/>
      <c r="R128" s="135"/>
      <c r="S128" s="135"/>
      <c r="U128" s="136"/>
      <c r="X128" s="60"/>
      <c r="AD128" s="134" t="s">
        <v>607</v>
      </c>
      <c r="AE128" s="134" t="s">
        <v>61</v>
      </c>
      <c r="AF128" s="134" t="s">
        <v>538</v>
      </c>
      <c r="AG128" s="134" t="s">
        <v>605</v>
      </c>
      <c r="AH128" s="173">
        <v>37.46</v>
      </c>
      <c r="AI128" s="134">
        <v>12.6</v>
      </c>
      <c r="AJ128" s="134">
        <v>24</v>
      </c>
      <c r="AK128" s="134" t="s">
        <v>52</v>
      </c>
      <c r="AL128" s="134" t="s">
        <v>52</v>
      </c>
      <c r="AM128" s="134" t="s">
        <v>52</v>
      </c>
    </row>
    <row r="129" spans="1:39" s="134" customFormat="1">
      <c r="A129" s="133"/>
      <c r="B129" s="117"/>
      <c r="C129" s="133"/>
      <c r="D129" s="133"/>
      <c r="E129" s="116"/>
      <c r="F129" s="116"/>
      <c r="G129" s="116"/>
      <c r="H129" s="278"/>
      <c r="I129" s="278"/>
      <c r="J129" s="112" t="s">
        <v>664</v>
      </c>
      <c r="K129" s="134" t="s">
        <v>614</v>
      </c>
      <c r="L129" s="134">
        <v>5</v>
      </c>
      <c r="M129" s="135">
        <v>10.5</v>
      </c>
      <c r="N129" s="171" t="s">
        <v>456</v>
      </c>
      <c r="O129" s="171" t="s">
        <v>456</v>
      </c>
      <c r="P129" s="135" t="s">
        <v>52</v>
      </c>
      <c r="Q129" s="135" t="s">
        <v>52</v>
      </c>
      <c r="R129" s="135">
        <f>31/53</f>
        <v>0.58490566037735847</v>
      </c>
      <c r="S129" s="135" t="s">
        <v>52</v>
      </c>
      <c r="T129" s="134" t="s">
        <v>92</v>
      </c>
      <c r="U129" s="136" t="s">
        <v>603</v>
      </c>
      <c r="V129" s="134" t="s">
        <v>458</v>
      </c>
      <c r="W129" s="134" t="s">
        <v>153</v>
      </c>
      <c r="X129" s="60" t="s">
        <v>459</v>
      </c>
      <c r="Y129" s="134" t="s">
        <v>58</v>
      </c>
      <c r="Z129" s="165" t="s">
        <v>52</v>
      </c>
      <c r="AA129" s="165" t="s">
        <v>708</v>
      </c>
      <c r="AB129" s="165" t="s">
        <v>52</v>
      </c>
      <c r="AC129" s="134" t="s">
        <v>59</v>
      </c>
      <c r="AD129" s="134" t="s">
        <v>604</v>
      </c>
      <c r="AE129" s="134" t="s">
        <v>95</v>
      </c>
      <c r="AF129" s="134" t="s">
        <v>461</v>
      </c>
      <c r="AG129" s="134" t="s">
        <v>605</v>
      </c>
      <c r="AH129" s="134" t="s">
        <v>52</v>
      </c>
      <c r="AI129" s="134" t="s">
        <v>52</v>
      </c>
      <c r="AJ129" s="134" t="s">
        <v>52</v>
      </c>
      <c r="AK129" s="134">
        <v>6.74</v>
      </c>
      <c r="AL129" s="134">
        <v>1.9</v>
      </c>
      <c r="AM129" s="134">
        <v>26</v>
      </c>
    </row>
    <row r="130" spans="1:39" s="134" customFormat="1">
      <c r="A130" s="133"/>
      <c r="B130" s="117"/>
      <c r="C130" s="133"/>
      <c r="D130" s="133"/>
      <c r="E130" s="116"/>
      <c r="F130" s="116"/>
      <c r="G130" s="116"/>
      <c r="H130" s="278"/>
      <c r="I130" s="278"/>
      <c r="J130" s="112"/>
      <c r="M130" s="135"/>
      <c r="N130" s="171"/>
      <c r="O130" s="171"/>
      <c r="P130" s="135"/>
      <c r="Q130" s="135"/>
      <c r="R130" s="135"/>
      <c r="S130" s="135"/>
      <c r="U130" s="136"/>
      <c r="X130" s="60"/>
      <c r="Z130" s="118"/>
      <c r="AA130" s="118"/>
      <c r="AB130" s="118"/>
      <c r="AD130" s="134" t="s">
        <v>606</v>
      </c>
      <c r="AE130" s="134" t="s">
        <v>95</v>
      </c>
      <c r="AF130" s="134" t="s">
        <v>461</v>
      </c>
      <c r="AG130" s="134" t="s">
        <v>605</v>
      </c>
      <c r="AH130" s="134" t="s">
        <v>52</v>
      </c>
      <c r="AI130" s="134" t="s">
        <v>52</v>
      </c>
      <c r="AJ130" s="134" t="s">
        <v>52</v>
      </c>
      <c r="AK130" s="134">
        <v>4.96</v>
      </c>
      <c r="AL130" s="134">
        <v>1.25</v>
      </c>
      <c r="AM130" s="134">
        <v>26</v>
      </c>
    </row>
    <row r="131" spans="1:39" s="134" customFormat="1">
      <c r="A131" s="133"/>
      <c r="B131" s="117"/>
      <c r="C131" s="133"/>
      <c r="D131" s="133"/>
      <c r="E131" s="116"/>
      <c r="F131" s="116"/>
      <c r="G131" s="116"/>
      <c r="H131" s="278"/>
      <c r="I131" s="278"/>
      <c r="J131" s="112"/>
      <c r="M131" s="135"/>
      <c r="N131" s="171"/>
      <c r="O131" s="171"/>
      <c r="P131" s="135"/>
      <c r="Q131" s="135"/>
      <c r="R131" s="135"/>
      <c r="S131" s="135"/>
      <c r="U131" s="136"/>
      <c r="X131" s="60"/>
      <c r="Z131" s="118"/>
      <c r="AA131" s="118"/>
      <c r="AB131" s="118"/>
      <c r="AD131" s="134" t="s">
        <v>607</v>
      </c>
      <c r="AE131" s="134" t="s">
        <v>61</v>
      </c>
      <c r="AF131" s="134" t="s">
        <v>538</v>
      </c>
      <c r="AG131" s="134" t="s">
        <v>605</v>
      </c>
      <c r="AH131" s="134">
        <v>42.23</v>
      </c>
      <c r="AI131" s="134">
        <v>8.99</v>
      </c>
      <c r="AJ131" s="134">
        <v>26</v>
      </c>
      <c r="AK131" s="134" t="s">
        <v>52</v>
      </c>
      <c r="AL131" s="134" t="s">
        <v>52</v>
      </c>
      <c r="AM131" s="134" t="s">
        <v>52</v>
      </c>
    </row>
    <row r="132" spans="1:39" s="134" customFormat="1">
      <c r="A132" s="133"/>
      <c r="B132" s="117"/>
      <c r="C132" s="133"/>
      <c r="D132" s="133"/>
      <c r="E132" s="116"/>
      <c r="F132" s="116"/>
      <c r="G132" s="116"/>
      <c r="H132" s="278"/>
      <c r="I132" s="278"/>
      <c r="J132" s="112" t="s">
        <v>665</v>
      </c>
      <c r="K132" s="134" t="s">
        <v>615</v>
      </c>
      <c r="L132" s="134">
        <v>5</v>
      </c>
      <c r="M132" s="135">
        <v>10.5</v>
      </c>
      <c r="N132" s="171" t="s">
        <v>456</v>
      </c>
      <c r="O132" s="171" t="s">
        <v>456</v>
      </c>
      <c r="P132" s="135" t="s">
        <v>52</v>
      </c>
      <c r="Q132" s="135" t="s">
        <v>52</v>
      </c>
      <c r="R132" s="135">
        <f>25/53</f>
        <v>0.47169811320754718</v>
      </c>
      <c r="S132" s="135" t="s">
        <v>52</v>
      </c>
      <c r="T132" s="134" t="s">
        <v>92</v>
      </c>
      <c r="U132" s="136" t="s">
        <v>609</v>
      </c>
      <c r="V132" s="134" t="s">
        <v>466</v>
      </c>
      <c r="W132" s="134" t="s">
        <v>153</v>
      </c>
      <c r="X132" s="60" t="s">
        <v>459</v>
      </c>
      <c r="Y132" s="134" t="s">
        <v>58</v>
      </c>
      <c r="Z132" s="134" t="s">
        <v>78</v>
      </c>
      <c r="AA132" s="134" t="s">
        <v>78</v>
      </c>
      <c r="AB132" s="134" t="s">
        <v>78</v>
      </c>
      <c r="AC132" s="134" t="s">
        <v>78</v>
      </c>
      <c r="AD132" s="134" t="s">
        <v>604</v>
      </c>
      <c r="AE132" s="134" t="s">
        <v>95</v>
      </c>
      <c r="AF132" s="134" t="s">
        <v>461</v>
      </c>
      <c r="AG132" s="134" t="s">
        <v>605</v>
      </c>
      <c r="AH132" s="134" t="s">
        <v>52</v>
      </c>
      <c r="AI132" s="134" t="s">
        <v>52</v>
      </c>
      <c r="AJ132" s="134" t="s">
        <v>52</v>
      </c>
      <c r="AK132" s="134">
        <v>6.37</v>
      </c>
      <c r="AL132" s="134">
        <v>1.59</v>
      </c>
      <c r="AM132" s="134">
        <v>28</v>
      </c>
    </row>
    <row r="133" spans="1:39" s="134" customFormat="1">
      <c r="A133" s="133"/>
      <c r="B133" s="117"/>
      <c r="C133" s="133"/>
      <c r="D133" s="133"/>
      <c r="E133" s="116"/>
      <c r="F133" s="116"/>
      <c r="G133" s="116"/>
      <c r="H133" s="278"/>
      <c r="I133" s="278"/>
      <c r="J133" s="112"/>
      <c r="M133" s="135"/>
      <c r="N133" s="135"/>
      <c r="O133" s="135"/>
      <c r="P133" s="135"/>
      <c r="Q133" s="135"/>
      <c r="R133" s="135"/>
      <c r="S133" s="135"/>
      <c r="U133" s="136"/>
      <c r="X133" s="60"/>
      <c r="AD133" s="134" t="s">
        <v>606</v>
      </c>
      <c r="AE133" s="134" t="s">
        <v>95</v>
      </c>
      <c r="AF133" s="134" t="s">
        <v>461</v>
      </c>
      <c r="AG133" s="134" t="s">
        <v>605</v>
      </c>
      <c r="AH133" s="134" t="s">
        <v>52</v>
      </c>
      <c r="AI133" s="134" t="s">
        <v>52</v>
      </c>
      <c r="AJ133" s="134" t="s">
        <v>52</v>
      </c>
      <c r="AK133" s="134">
        <v>5.13</v>
      </c>
      <c r="AL133" s="134">
        <v>1.51</v>
      </c>
      <c r="AM133" s="134">
        <v>28</v>
      </c>
    </row>
    <row r="134" spans="1:39" s="138" customFormat="1">
      <c r="A134" s="137"/>
      <c r="B134" s="123"/>
      <c r="C134" s="137"/>
      <c r="D134" s="137"/>
      <c r="E134" s="122"/>
      <c r="F134" s="122"/>
      <c r="G134" s="122"/>
      <c r="H134" s="279"/>
      <c r="I134" s="279"/>
      <c r="J134" s="113"/>
      <c r="M134" s="139"/>
      <c r="N134" s="139"/>
      <c r="O134" s="139"/>
      <c r="P134" s="139"/>
      <c r="Q134" s="139"/>
      <c r="R134" s="139"/>
      <c r="S134" s="139"/>
      <c r="U134" s="140"/>
      <c r="X134" s="63"/>
      <c r="AD134" s="138" t="s">
        <v>607</v>
      </c>
      <c r="AE134" s="138" t="s">
        <v>61</v>
      </c>
      <c r="AF134" s="138" t="s">
        <v>538</v>
      </c>
      <c r="AG134" s="138" t="s">
        <v>605</v>
      </c>
      <c r="AH134" s="138">
        <v>37.54</v>
      </c>
      <c r="AI134" s="138">
        <v>10.3</v>
      </c>
      <c r="AJ134" s="138">
        <v>28</v>
      </c>
      <c r="AK134" s="138" t="s">
        <v>52</v>
      </c>
      <c r="AL134" s="138" t="s">
        <v>52</v>
      </c>
      <c r="AM134" s="138" t="s">
        <v>52</v>
      </c>
    </row>
    <row r="135" spans="1:39" s="134" customFormat="1">
      <c r="A135" s="133" t="s">
        <v>616</v>
      </c>
      <c r="B135" s="117">
        <v>326</v>
      </c>
      <c r="C135" s="133" t="s">
        <v>47</v>
      </c>
      <c r="D135" s="133" t="s">
        <v>47</v>
      </c>
      <c r="E135" s="116" t="s">
        <v>66</v>
      </c>
      <c r="F135" s="116" t="s">
        <v>49</v>
      </c>
      <c r="G135" s="116" t="s">
        <v>239</v>
      </c>
      <c r="H135" s="278"/>
      <c r="I135" s="278"/>
      <c r="J135" s="112" t="s">
        <v>666</v>
      </c>
      <c r="K135" s="134" t="s">
        <v>475</v>
      </c>
      <c r="L135" s="134">
        <v>5</v>
      </c>
      <c r="M135" s="135">
        <v>10.5</v>
      </c>
      <c r="N135" s="135" t="s">
        <v>52</v>
      </c>
      <c r="O135" s="135">
        <v>0.02</v>
      </c>
      <c r="P135" s="135" t="s">
        <v>52</v>
      </c>
      <c r="Q135" s="135">
        <v>0</v>
      </c>
      <c r="R135" s="135">
        <v>0.48799999999999999</v>
      </c>
      <c r="S135" s="135">
        <f>1-0.42</f>
        <v>0.58000000000000007</v>
      </c>
      <c r="T135" s="134" t="s">
        <v>53</v>
      </c>
      <c r="U135" s="136" t="s">
        <v>617</v>
      </c>
      <c r="V135" s="134" t="s">
        <v>458</v>
      </c>
      <c r="W135" s="134" t="s">
        <v>153</v>
      </c>
      <c r="X135" s="60" t="s">
        <v>459</v>
      </c>
      <c r="Y135" s="134" t="s">
        <v>58</v>
      </c>
      <c r="Z135" s="134">
        <f>60*90</f>
        <v>5400</v>
      </c>
      <c r="AA135" s="134">
        <f>5*12</f>
        <v>60</v>
      </c>
      <c r="AB135" s="134">
        <v>90</v>
      </c>
      <c r="AC135" s="134" t="s">
        <v>59</v>
      </c>
      <c r="AD135" s="134" t="s">
        <v>618</v>
      </c>
      <c r="AE135" s="134" t="s">
        <v>61</v>
      </c>
      <c r="AF135" s="134" t="s">
        <v>538</v>
      </c>
      <c r="AG135" s="134" t="s">
        <v>619</v>
      </c>
      <c r="AH135" s="134">
        <v>455.54</v>
      </c>
      <c r="AI135" s="134">
        <v>9.7100000000000009</v>
      </c>
      <c r="AJ135" s="134">
        <v>41</v>
      </c>
      <c r="AK135" s="134">
        <v>476.72</v>
      </c>
      <c r="AL135" s="134">
        <v>11.1</v>
      </c>
      <c r="AM135" s="134">
        <v>41</v>
      </c>
    </row>
    <row r="136" spans="1:39" s="134" customFormat="1">
      <c r="A136" s="133"/>
      <c r="B136" s="117"/>
      <c r="C136" s="133"/>
      <c r="D136" s="133"/>
      <c r="E136" s="116"/>
      <c r="F136" s="116"/>
      <c r="G136" s="116"/>
      <c r="H136" s="278"/>
      <c r="I136" s="278"/>
      <c r="J136" s="112"/>
      <c r="M136" s="135"/>
      <c r="N136" s="135"/>
      <c r="O136" s="135"/>
      <c r="P136" s="135"/>
      <c r="Q136" s="135"/>
      <c r="R136" s="135"/>
      <c r="S136" s="135"/>
      <c r="U136" s="136"/>
      <c r="X136" s="60"/>
      <c r="AD136" s="134" t="s">
        <v>620</v>
      </c>
      <c r="AE136" s="173" t="s">
        <v>95</v>
      </c>
      <c r="AF136" s="134" t="s">
        <v>515</v>
      </c>
      <c r="AG136" s="134" t="s">
        <v>621</v>
      </c>
      <c r="AH136" s="134">
        <v>8</v>
      </c>
      <c r="AI136" s="134">
        <v>0.46</v>
      </c>
      <c r="AJ136" s="134">
        <v>41</v>
      </c>
      <c r="AK136" s="134">
        <v>8.8800000000000008</v>
      </c>
      <c r="AL136" s="134">
        <v>0.68</v>
      </c>
      <c r="AM136" s="134">
        <v>41</v>
      </c>
    </row>
    <row r="137" spans="1:39" s="134" customFormat="1">
      <c r="A137" s="133"/>
      <c r="B137" s="117"/>
      <c r="C137" s="133"/>
      <c r="D137" s="133"/>
      <c r="E137" s="116"/>
      <c r="F137" s="116"/>
      <c r="G137" s="116"/>
      <c r="H137" s="278"/>
      <c r="I137" s="278"/>
      <c r="J137" s="112" t="s">
        <v>667</v>
      </c>
      <c r="K137" s="134" t="s">
        <v>481</v>
      </c>
      <c r="L137" s="134">
        <v>5</v>
      </c>
      <c r="M137" s="135">
        <v>10.5</v>
      </c>
      <c r="N137" s="135" t="s">
        <v>52</v>
      </c>
      <c r="O137" s="135">
        <v>0</v>
      </c>
      <c r="P137" s="135" t="s">
        <v>52</v>
      </c>
      <c r="Q137" s="135">
        <v>0.02</v>
      </c>
      <c r="R137" s="135">
        <v>0.63600000000000001</v>
      </c>
      <c r="S137" s="135">
        <f>1-0.63</f>
        <v>0.37</v>
      </c>
      <c r="T137" s="134" t="s">
        <v>53</v>
      </c>
      <c r="U137" s="136" t="s">
        <v>622</v>
      </c>
      <c r="V137" s="134" t="s">
        <v>80</v>
      </c>
      <c r="W137" s="134" t="s">
        <v>153</v>
      </c>
      <c r="X137" s="60" t="s">
        <v>459</v>
      </c>
      <c r="Y137" s="134" t="s">
        <v>58</v>
      </c>
      <c r="Z137" s="134">
        <f>60*90</f>
        <v>5400</v>
      </c>
      <c r="AA137" s="134">
        <f>5*12</f>
        <v>60</v>
      </c>
      <c r="AB137" s="134">
        <v>90</v>
      </c>
      <c r="AC137" s="134" t="s">
        <v>78</v>
      </c>
      <c r="AD137" s="134" t="s">
        <v>618</v>
      </c>
      <c r="AE137" s="134" t="s">
        <v>61</v>
      </c>
      <c r="AF137" s="134" t="s">
        <v>538</v>
      </c>
      <c r="AG137" s="134" t="s">
        <v>619</v>
      </c>
      <c r="AH137" s="134">
        <v>450.7</v>
      </c>
      <c r="AI137" s="134">
        <v>3.69</v>
      </c>
      <c r="AJ137" s="134">
        <v>22</v>
      </c>
      <c r="AK137" s="134">
        <v>459.03</v>
      </c>
      <c r="AL137" s="134">
        <v>15.72</v>
      </c>
      <c r="AM137" s="134">
        <v>22</v>
      </c>
    </row>
    <row r="138" spans="1:39" s="134" customFormat="1">
      <c r="A138" s="133"/>
      <c r="B138" s="117"/>
      <c r="C138" s="133"/>
      <c r="D138" s="133"/>
      <c r="E138" s="116"/>
      <c r="F138" s="116"/>
      <c r="G138" s="116"/>
      <c r="H138" s="278"/>
      <c r="I138" s="278"/>
      <c r="J138" s="112"/>
      <c r="M138" s="135"/>
      <c r="N138" s="135"/>
      <c r="O138" s="135"/>
      <c r="P138" s="135"/>
      <c r="Q138" s="135"/>
      <c r="R138" s="135"/>
      <c r="S138" s="135"/>
      <c r="U138" s="136"/>
      <c r="X138" s="60"/>
      <c r="AD138" s="134" t="s">
        <v>620</v>
      </c>
      <c r="AE138" s="134" t="str">
        <f>AE$136</f>
        <v>0 = NO - Not standardized</v>
      </c>
      <c r="AF138" s="134" t="s">
        <v>515</v>
      </c>
      <c r="AG138" s="134" t="s">
        <v>621</v>
      </c>
      <c r="AH138" s="173">
        <v>7.97</v>
      </c>
      <c r="AI138" s="173">
        <v>0.57999999999999996</v>
      </c>
      <c r="AJ138" s="134">
        <v>22</v>
      </c>
      <c r="AK138" s="134">
        <v>7.73</v>
      </c>
      <c r="AL138" s="134">
        <v>1.3</v>
      </c>
      <c r="AM138" s="134">
        <v>22</v>
      </c>
    </row>
    <row r="139" spans="1:39" s="134" customFormat="1">
      <c r="A139" s="133"/>
      <c r="B139" s="117"/>
      <c r="C139" s="133"/>
      <c r="D139" s="133"/>
      <c r="E139" s="116"/>
      <c r="F139" s="116"/>
      <c r="G139" s="116"/>
      <c r="H139" s="278"/>
      <c r="I139" s="278"/>
      <c r="J139" s="112" t="s">
        <v>668</v>
      </c>
      <c r="K139" s="134" t="s">
        <v>483</v>
      </c>
      <c r="L139" s="134">
        <v>5</v>
      </c>
      <c r="M139" s="135">
        <v>10.5</v>
      </c>
      <c r="N139" s="135" t="s">
        <v>52</v>
      </c>
      <c r="O139" s="135">
        <v>0.08</v>
      </c>
      <c r="P139" s="135" t="s">
        <v>52</v>
      </c>
      <c r="Q139" s="135">
        <v>0.12</v>
      </c>
      <c r="R139" s="135">
        <v>0.39600000000000002</v>
      </c>
      <c r="S139" s="135">
        <f>1-0.56</f>
        <v>0.43999999999999995</v>
      </c>
      <c r="T139" s="134" t="s">
        <v>53</v>
      </c>
      <c r="U139" s="136" t="s">
        <v>623</v>
      </c>
      <c r="V139" s="134" t="s">
        <v>458</v>
      </c>
      <c r="W139" s="134" t="s">
        <v>153</v>
      </c>
      <c r="X139" s="60" t="s">
        <v>459</v>
      </c>
      <c r="Y139" s="134" t="s">
        <v>58</v>
      </c>
      <c r="Z139" s="134">
        <f>60*90</f>
        <v>5400</v>
      </c>
      <c r="AA139" s="134">
        <f>5*12</f>
        <v>60</v>
      </c>
      <c r="AB139" s="134">
        <v>90</v>
      </c>
      <c r="AC139" s="134" t="s">
        <v>59</v>
      </c>
      <c r="AD139" s="134" t="s">
        <v>618</v>
      </c>
      <c r="AE139" s="134" t="s">
        <v>61</v>
      </c>
      <c r="AF139" s="134" t="s">
        <v>538</v>
      </c>
      <c r="AG139" s="134" t="s">
        <v>619</v>
      </c>
      <c r="AH139" s="134">
        <v>515.33000000000004</v>
      </c>
      <c r="AI139" s="134">
        <v>15.58</v>
      </c>
      <c r="AJ139" s="134">
        <v>53</v>
      </c>
      <c r="AK139" s="134">
        <v>528.57000000000005</v>
      </c>
      <c r="AL139" s="134">
        <v>16.5</v>
      </c>
      <c r="AM139" s="134">
        <v>53</v>
      </c>
    </row>
    <row r="140" spans="1:39" s="134" customFormat="1">
      <c r="A140" s="133"/>
      <c r="B140" s="117"/>
      <c r="C140" s="133"/>
      <c r="D140" s="133"/>
      <c r="E140" s="116"/>
      <c r="F140" s="116"/>
      <c r="G140" s="116"/>
      <c r="H140" s="278"/>
      <c r="I140" s="278"/>
      <c r="J140" s="112"/>
      <c r="M140" s="135"/>
      <c r="N140" s="135"/>
      <c r="O140" s="135"/>
      <c r="P140" s="135"/>
      <c r="Q140" s="135"/>
      <c r="R140" s="135"/>
      <c r="S140" s="135"/>
      <c r="U140" s="136"/>
      <c r="X140" s="60"/>
      <c r="AD140" s="134" t="s">
        <v>620</v>
      </c>
      <c r="AE140" s="134" t="str">
        <f>AE$136</f>
        <v>0 = NO - Not standardized</v>
      </c>
      <c r="AF140" s="134" t="s">
        <v>515</v>
      </c>
      <c r="AG140" s="134" t="s">
        <v>621</v>
      </c>
      <c r="AH140" s="173">
        <v>8.77</v>
      </c>
      <c r="AI140" s="173">
        <v>1.53</v>
      </c>
      <c r="AJ140" s="134">
        <v>53</v>
      </c>
      <c r="AK140" s="134">
        <v>9.58</v>
      </c>
      <c r="AL140" s="134">
        <v>0.82</v>
      </c>
      <c r="AM140" s="134">
        <v>53</v>
      </c>
    </row>
    <row r="141" spans="1:39" s="134" customFormat="1">
      <c r="A141" s="133"/>
      <c r="B141" s="117"/>
      <c r="C141" s="133"/>
      <c r="D141" s="133"/>
      <c r="E141" s="116"/>
      <c r="F141" s="116"/>
      <c r="G141" s="116"/>
      <c r="H141" s="278"/>
      <c r="I141" s="278"/>
      <c r="J141" s="112" t="s">
        <v>669</v>
      </c>
      <c r="K141" s="134" t="s">
        <v>484</v>
      </c>
      <c r="L141" s="134">
        <v>5</v>
      </c>
      <c r="M141" s="135">
        <v>10.5</v>
      </c>
      <c r="N141" s="135" t="s">
        <v>52</v>
      </c>
      <c r="O141" s="135">
        <v>0.23</v>
      </c>
      <c r="P141" s="135" t="s">
        <v>52</v>
      </c>
      <c r="Q141" s="135">
        <v>0.14000000000000001</v>
      </c>
      <c r="R141" s="135">
        <v>0.65</v>
      </c>
      <c r="S141" s="135">
        <f>1-0.77</f>
        <v>0.22999999999999998</v>
      </c>
      <c r="T141" s="134" t="s">
        <v>53</v>
      </c>
      <c r="U141" s="136" t="s">
        <v>622</v>
      </c>
      <c r="V141" s="134" t="s">
        <v>80</v>
      </c>
      <c r="W141" s="134" t="s">
        <v>153</v>
      </c>
      <c r="X141" s="60" t="s">
        <v>459</v>
      </c>
      <c r="Y141" s="134" t="s">
        <v>58</v>
      </c>
      <c r="Z141" s="134">
        <f>60*90</f>
        <v>5400</v>
      </c>
      <c r="AA141" s="134">
        <f>5*12</f>
        <v>60</v>
      </c>
      <c r="AB141" s="134">
        <v>90</v>
      </c>
      <c r="AC141" s="134" t="s">
        <v>78</v>
      </c>
      <c r="AD141" s="134" t="s">
        <v>618</v>
      </c>
      <c r="AE141" s="134" t="s">
        <v>61</v>
      </c>
      <c r="AF141" s="134" t="s">
        <v>538</v>
      </c>
      <c r="AG141" s="134" t="s">
        <v>619</v>
      </c>
      <c r="AH141" s="134">
        <v>509.13</v>
      </c>
      <c r="AI141" s="134">
        <v>1.36</v>
      </c>
      <c r="AJ141" s="134">
        <v>40</v>
      </c>
      <c r="AK141" s="134">
        <v>514.23</v>
      </c>
      <c r="AL141" s="134">
        <v>8.75</v>
      </c>
      <c r="AM141" s="134">
        <v>40</v>
      </c>
    </row>
    <row r="142" spans="1:39" s="138" customFormat="1">
      <c r="A142" s="137"/>
      <c r="B142" s="123"/>
      <c r="C142" s="137"/>
      <c r="D142" s="137"/>
      <c r="E142" s="122"/>
      <c r="F142" s="122"/>
      <c r="G142" s="122"/>
      <c r="H142" s="279"/>
      <c r="I142" s="279"/>
      <c r="J142" s="113"/>
      <c r="M142" s="139"/>
      <c r="N142" s="139"/>
      <c r="O142" s="139"/>
      <c r="P142" s="139"/>
      <c r="Q142" s="139"/>
      <c r="R142" s="139"/>
      <c r="S142" s="139"/>
      <c r="U142" s="140"/>
      <c r="X142" s="63"/>
      <c r="AD142" s="138" t="s">
        <v>620</v>
      </c>
      <c r="AE142" s="138" t="str">
        <f>AE$136</f>
        <v>0 = NO - Not standardized</v>
      </c>
      <c r="AF142" s="138" t="s">
        <v>515</v>
      </c>
      <c r="AG142" s="138" t="s">
        <v>621</v>
      </c>
      <c r="AH142" s="138">
        <v>9.0299999999999994</v>
      </c>
      <c r="AI142" s="138">
        <v>0.55000000000000004</v>
      </c>
      <c r="AJ142" s="138">
        <v>40</v>
      </c>
      <c r="AK142" s="138">
        <v>9.67</v>
      </c>
      <c r="AL142" s="138">
        <v>0.32</v>
      </c>
      <c r="AM142" s="138">
        <v>40</v>
      </c>
    </row>
    <row r="143" spans="1:39" s="134" customFormat="1">
      <c r="A143" s="133" t="s">
        <v>624</v>
      </c>
      <c r="B143" s="117">
        <v>327</v>
      </c>
      <c r="C143" s="133" t="s">
        <v>47</v>
      </c>
      <c r="D143" s="133" t="s">
        <v>47</v>
      </c>
      <c r="E143" s="116" t="s">
        <v>66</v>
      </c>
      <c r="F143" s="116" t="s">
        <v>49</v>
      </c>
      <c r="G143" s="116" t="s">
        <v>50</v>
      </c>
      <c r="H143" s="278"/>
      <c r="I143" s="278"/>
      <c r="J143" s="112" t="s">
        <v>670</v>
      </c>
      <c r="K143" s="134" t="s">
        <v>625</v>
      </c>
      <c r="L143" s="134">
        <v>7</v>
      </c>
      <c r="M143" s="135">
        <v>12.5</v>
      </c>
      <c r="N143" s="171" t="s">
        <v>456</v>
      </c>
      <c r="O143" s="90" t="s">
        <v>52</v>
      </c>
      <c r="P143" s="135">
        <v>0.47699999999999998</v>
      </c>
      <c r="Q143" s="135" t="s">
        <v>52</v>
      </c>
      <c r="R143" s="135" t="s">
        <v>52</v>
      </c>
      <c r="S143" s="135">
        <f>0.351+0.332</f>
        <v>0.68300000000000005</v>
      </c>
      <c r="T143" s="134" t="s">
        <v>92</v>
      </c>
      <c r="U143" s="136" t="s">
        <v>626</v>
      </c>
      <c r="V143" s="134" t="s">
        <v>458</v>
      </c>
      <c r="W143" s="134" t="s">
        <v>153</v>
      </c>
      <c r="X143" s="60" t="s">
        <v>459</v>
      </c>
      <c r="Y143" s="134" t="s">
        <v>58</v>
      </c>
      <c r="Z143" s="173">
        <f>42.5*160</f>
        <v>6800</v>
      </c>
      <c r="AA143" s="173">
        <f>8*4*5</f>
        <v>160</v>
      </c>
      <c r="AB143" s="173">
        <f>AVERAGE(40, 45)</f>
        <v>42.5</v>
      </c>
      <c r="AC143" s="134" t="s">
        <v>59</v>
      </c>
      <c r="AD143" s="134" t="s">
        <v>627</v>
      </c>
      <c r="AE143" s="134" t="s">
        <v>61</v>
      </c>
      <c r="AF143" s="134" t="s">
        <v>538</v>
      </c>
      <c r="AG143" s="134" t="s">
        <v>52</v>
      </c>
      <c r="AH143" s="134">
        <v>514.79</v>
      </c>
      <c r="AI143" s="134">
        <v>25.49</v>
      </c>
      <c r="AJ143" s="134">
        <v>154</v>
      </c>
      <c r="AK143" s="134">
        <v>515.58000000000004</v>
      </c>
      <c r="AL143" s="134">
        <v>28.22</v>
      </c>
      <c r="AM143" s="134">
        <v>154</v>
      </c>
    </row>
    <row r="144" spans="1:39" s="134" customFormat="1">
      <c r="A144" s="133"/>
      <c r="B144" s="117"/>
      <c r="C144" s="133"/>
      <c r="D144" s="133"/>
      <c r="E144" s="116"/>
      <c r="F144" s="116"/>
      <c r="G144" s="116"/>
      <c r="H144" s="278"/>
      <c r="I144" s="278"/>
      <c r="J144" s="112" t="s">
        <v>671</v>
      </c>
      <c r="K144" s="134" t="s">
        <v>628</v>
      </c>
      <c r="L144" s="134">
        <v>7</v>
      </c>
      <c r="M144" s="135">
        <v>12.5</v>
      </c>
      <c r="N144" s="171" t="s">
        <v>456</v>
      </c>
      <c r="O144" s="90" t="s">
        <v>52</v>
      </c>
      <c r="P144" s="135">
        <v>0.47699999999999998</v>
      </c>
      <c r="Q144" s="135" t="s">
        <v>52</v>
      </c>
      <c r="R144" s="135" t="s">
        <v>52</v>
      </c>
      <c r="S144" s="135">
        <f>0.351+0.332</f>
        <v>0.68300000000000005</v>
      </c>
      <c r="T144" s="134" t="s">
        <v>92</v>
      </c>
      <c r="U144" s="136" t="s">
        <v>629</v>
      </c>
      <c r="V144" s="134" t="s">
        <v>80</v>
      </c>
      <c r="W144" s="134" t="s">
        <v>78</v>
      </c>
      <c r="X144" s="60" t="s">
        <v>78</v>
      </c>
      <c r="Y144" s="134" t="s">
        <v>78</v>
      </c>
      <c r="Z144" s="134" t="s">
        <v>78</v>
      </c>
      <c r="AA144" s="134" t="s">
        <v>78</v>
      </c>
      <c r="AB144" s="134" t="s">
        <v>78</v>
      </c>
      <c r="AC144" s="134" t="s">
        <v>78</v>
      </c>
      <c r="AD144" s="134" t="s">
        <v>627</v>
      </c>
      <c r="AE144" s="134" t="s">
        <v>61</v>
      </c>
      <c r="AF144" s="134" t="s">
        <v>538</v>
      </c>
      <c r="AG144" s="134" t="s">
        <v>52</v>
      </c>
      <c r="AH144" s="134">
        <v>519.67999999999995</v>
      </c>
      <c r="AI144" s="134">
        <v>28.78</v>
      </c>
      <c r="AJ144" s="134">
        <v>143</v>
      </c>
      <c r="AK144" s="134">
        <v>518.19000000000005</v>
      </c>
      <c r="AL144" s="134">
        <v>30.19</v>
      </c>
      <c r="AM144" s="134">
        <v>143</v>
      </c>
    </row>
    <row r="145" spans="1:39" s="134" customFormat="1">
      <c r="A145" s="133"/>
      <c r="B145" s="117"/>
      <c r="C145" s="133"/>
      <c r="D145" s="133"/>
      <c r="E145" s="116"/>
      <c r="F145" s="116"/>
      <c r="G145" s="116"/>
      <c r="H145" s="278"/>
      <c r="I145" s="278"/>
      <c r="J145" s="112" t="s">
        <v>672</v>
      </c>
      <c r="K145" s="134" t="s">
        <v>630</v>
      </c>
      <c r="L145" s="134">
        <v>8</v>
      </c>
      <c r="M145" s="135">
        <v>13.5</v>
      </c>
      <c r="N145" s="171" t="s">
        <v>456</v>
      </c>
      <c r="O145" s="90" t="s">
        <v>52</v>
      </c>
      <c r="P145" s="135">
        <v>0.47699999999999998</v>
      </c>
      <c r="Q145" s="135" t="s">
        <v>52</v>
      </c>
      <c r="R145" s="135" t="s">
        <v>52</v>
      </c>
      <c r="S145" s="135">
        <f>0.351+0.332</f>
        <v>0.68300000000000005</v>
      </c>
      <c r="T145" s="134" t="s">
        <v>92</v>
      </c>
      <c r="U145" s="136" t="s">
        <v>626</v>
      </c>
      <c r="V145" s="134" t="s">
        <v>458</v>
      </c>
      <c r="W145" s="134" t="s">
        <v>153</v>
      </c>
      <c r="X145" s="60" t="s">
        <v>459</v>
      </c>
      <c r="Y145" s="134" t="s">
        <v>58</v>
      </c>
      <c r="Z145" s="134">
        <f>Z$143</f>
        <v>6800</v>
      </c>
      <c r="AA145" s="134">
        <f t="shared" ref="AA145:AB161" si="9">AA$143</f>
        <v>160</v>
      </c>
      <c r="AB145" s="134">
        <f t="shared" si="9"/>
        <v>42.5</v>
      </c>
      <c r="AC145" s="134" t="s">
        <v>59</v>
      </c>
      <c r="AD145" s="134" t="s">
        <v>627</v>
      </c>
      <c r="AE145" s="134" t="s">
        <v>61</v>
      </c>
      <c r="AF145" s="134" t="s">
        <v>538</v>
      </c>
      <c r="AG145" s="134" t="s">
        <v>52</v>
      </c>
      <c r="AH145" s="134">
        <v>521.98</v>
      </c>
      <c r="AI145" s="134">
        <v>27.12</v>
      </c>
      <c r="AJ145" s="134">
        <v>117</v>
      </c>
      <c r="AK145" s="134">
        <v>522.23</v>
      </c>
      <c r="AL145" s="134">
        <v>27.7</v>
      </c>
      <c r="AM145" s="134">
        <v>117</v>
      </c>
    </row>
    <row r="146" spans="1:39" s="134" customFormat="1">
      <c r="A146" s="133"/>
      <c r="B146" s="117"/>
      <c r="C146" s="133"/>
      <c r="D146" s="133"/>
      <c r="E146" s="116"/>
      <c r="F146" s="116"/>
      <c r="G146" s="116"/>
      <c r="H146" s="278"/>
      <c r="I146" s="278"/>
      <c r="J146" s="112" t="s">
        <v>673</v>
      </c>
      <c r="K146" s="134" t="s">
        <v>631</v>
      </c>
      <c r="L146" s="134">
        <v>8</v>
      </c>
      <c r="M146" s="135">
        <v>13.5</v>
      </c>
      <c r="N146" s="171" t="s">
        <v>456</v>
      </c>
      <c r="O146" s="90" t="s">
        <v>52</v>
      </c>
      <c r="P146" s="135">
        <v>0.47699999999999998</v>
      </c>
      <c r="Q146" s="135" t="s">
        <v>52</v>
      </c>
      <c r="R146" s="135" t="s">
        <v>52</v>
      </c>
      <c r="S146" s="135">
        <f>0.351+0.332</f>
        <v>0.68300000000000005</v>
      </c>
      <c r="T146" s="134" t="s">
        <v>92</v>
      </c>
      <c r="U146" s="136" t="s">
        <v>629</v>
      </c>
      <c r="V146" s="134" t="s">
        <v>80</v>
      </c>
      <c r="W146" s="134" t="s">
        <v>78</v>
      </c>
      <c r="X146" s="60" t="s">
        <v>78</v>
      </c>
      <c r="Y146" s="134" t="s">
        <v>78</v>
      </c>
      <c r="Z146" s="134" t="s">
        <v>78</v>
      </c>
      <c r="AA146" s="134" t="s">
        <v>78</v>
      </c>
      <c r="AB146" s="134" t="s">
        <v>78</v>
      </c>
      <c r="AC146" s="134" t="s">
        <v>78</v>
      </c>
      <c r="AD146" s="134" t="s">
        <v>627</v>
      </c>
      <c r="AE146" s="134" t="s">
        <v>61</v>
      </c>
      <c r="AF146" s="134" t="s">
        <v>538</v>
      </c>
      <c r="AG146" s="134" t="s">
        <v>52</v>
      </c>
      <c r="AH146" s="134">
        <v>522.34</v>
      </c>
      <c r="AI146" s="134">
        <v>33.229999999999997</v>
      </c>
      <c r="AJ146" s="134">
        <v>134</v>
      </c>
      <c r="AK146" s="134">
        <v>522.42999999999995</v>
      </c>
      <c r="AL146" s="134">
        <v>31.16</v>
      </c>
      <c r="AM146" s="134">
        <v>134</v>
      </c>
    </row>
    <row r="147" spans="1:39" s="134" customFormat="1">
      <c r="A147" s="133"/>
      <c r="B147" s="117"/>
      <c r="C147" s="133"/>
      <c r="D147" s="133"/>
      <c r="E147" s="116"/>
      <c r="F147" s="116"/>
      <c r="G147" s="116"/>
      <c r="H147" s="278"/>
      <c r="I147" s="278"/>
      <c r="J147" s="112" t="s">
        <v>674</v>
      </c>
      <c r="K147" s="134" t="s">
        <v>632</v>
      </c>
      <c r="L147" s="134">
        <v>6</v>
      </c>
      <c r="M147" s="135">
        <v>11.5</v>
      </c>
      <c r="N147" s="171" t="s">
        <v>456</v>
      </c>
      <c r="O147" s="90" t="s">
        <v>52</v>
      </c>
      <c r="P147" s="135">
        <v>0.79</v>
      </c>
      <c r="Q147" s="135" t="s">
        <v>52</v>
      </c>
      <c r="R147" s="135" t="s">
        <v>52</v>
      </c>
      <c r="S147" s="135">
        <f t="shared" ref="S147:S152" si="10">0.228+0.464</f>
        <v>0.69200000000000006</v>
      </c>
      <c r="T147" s="134" t="s">
        <v>92</v>
      </c>
      <c r="U147" s="136" t="s">
        <v>626</v>
      </c>
      <c r="V147" s="134" t="s">
        <v>458</v>
      </c>
      <c r="W147" s="134" t="s">
        <v>153</v>
      </c>
      <c r="X147" s="60" t="s">
        <v>459</v>
      </c>
      <c r="Y147" s="134" t="s">
        <v>58</v>
      </c>
      <c r="Z147" s="134">
        <f>Z$143</f>
        <v>6800</v>
      </c>
      <c r="AA147" s="134">
        <f t="shared" si="9"/>
        <v>160</v>
      </c>
      <c r="AB147" s="134">
        <f t="shared" si="9"/>
        <v>42.5</v>
      </c>
      <c r="AC147" s="134" t="s">
        <v>59</v>
      </c>
      <c r="AD147" s="134" t="s">
        <v>627</v>
      </c>
      <c r="AE147" s="134" t="s">
        <v>61</v>
      </c>
      <c r="AF147" s="134" t="s">
        <v>538</v>
      </c>
      <c r="AG147" s="134" t="s">
        <v>52</v>
      </c>
      <c r="AH147" s="134">
        <v>498.84</v>
      </c>
      <c r="AI147" s="134">
        <v>35.159999999999997</v>
      </c>
      <c r="AJ147" s="134">
        <v>176</v>
      </c>
      <c r="AK147" s="134">
        <v>501.99</v>
      </c>
      <c r="AL147" s="134">
        <v>31.33</v>
      </c>
      <c r="AM147" s="134">
        <v>176</v>
      </c>
    </row>
    <row r="148" spans="1:39" s="134" customFormat="1">
      <c r="A148" s="133"/>
      <c r="B148" s="117"/>
      <c r="C148" s="133"/>
      <c r="D148" s="133"/>
      <c r="E148" s="116"/>
      <c r="F148" s="116"/>
      <c r="G148" s="116"/>
      <c r="H148" s="278"/>
      <c r="I148" s="278"/>
      <c r="J148" s="112" t="s">
        <v>675</v>
      </c>
      <c r="K148" s="134" t="s">
        <v>633</v>
      </c>
      <c r="L148" s="134">
        <v>6</v>
      </c>
      <c r="M148" s="135">
        <v>11.5</v>
      </c>
      <c r="N148" s="171" t="s">
        <v>456</v>
      </c>
      <c r="O148" s="90" t="s">
        <v>52</v>
      </c>
      <c r="P148" s="135">
        <v>0.79</v>
      </c>
      <c r="Q148" s="135" t="s">
        <v>52</v>
      </c>
      <c r="R148" s="135" t="s">
        <v>52</v>
      </c>
      <c r="S148" s="135">
        <f t="shared" si="10"/>
        <v>0.69200000000000006</v>
      </c>
      <c r="T148" s="134" t="s">
        <v>92</v>
      </c>
      <c r="U148" s="136" t="s">
        <v>629</v>
      </c>
      <c r="V148" s="134" t="s">
        <v>80</v>
      </c>
      <c r="W148" s="134" t="s">
        <v>78</v>
      </c>
      <c r="X148" s="60" t="s">
        <v>78</v>
      </c>
      <c r="Y148" s="134" t="s">
        <v>78</v>
      </c>
      <c r="Z148" s="134" t="s">
        <v>78</v>
      </c>
      <c r="AA148" s="134" t="s">
        <v>78</v>
      </c>
      <c r="AB148" s="134" t="s">
        <v>78</v>
      </c>
      <c r="AC148" s="134" t="s">
        <v>78</v>
      </c>
      <c r="AD148" s="134" t="s">
        <v>627</v>
      </c>
      <c r="AE148" s="134" t="s">
        <v>61</v>
      </c>
      <c r="AF148" s="134" t="s">
        <v>538</v>
      </c>
      <c r="AG148" s="134" t="s">
        <v>52</v>
      </c>
      <c r="AH148" s="134">
        <v>505.65</v>
      </c>
      <c r="AI148" s="134">
        <v>31.49</v>
      </c>
      <c r="AJ148" s="134">
        <v>84</v>
      </c>
      <c r="AK148" s="134">
        <v>510.28</v>
      </c>
      <c r="AL148" s="134">
        <v>32.590000000000003</v>
      </c>
      <c r="AM148" s="134">
        <v>84</v>
      </c>
    </row>
    <row r="149" spans="1:39" s="134" customFormat="1">
      <c r="A149" s="133"/>
      <c r="B149" s="117"/>
      <c r="C149" s="133"/>
      <c r="D149" s="133"/>
      <c r="E149" s="116"/>
      <c r="F149" s="116"/>
      <c r="G149" s="116"/>
      <c r="H149" s="278"/>
      <c r="I149" s="278"/>
      <c r="J149" s="112" t="s">
        <v>676</v>
      </c>
      <c r="K149" s="134" t="s">
        <v>634</v>
      </c>
      <c r="L149" s="134">
        <v>7</v>
      </c>
      <c r="M149" s="135">
        <v>12.5</v>
      </c>
      <c r="N149" s="171" t="s">
        <v>456</v>
      </c>
      <c r="O149" s="90" t="s">
        <v>52</v>
      </c>
      <c r="P149" s="135">
        <v>0.79</v>
      </c>
      <c r="Q149" s="135" t="s">
        <v>52</v>
      </c>
      <c r="R149" s="135" t="s">
        <v>52</v>
      </c>
      <c r="S149" s="135">
        <f t="shared" si="10"/>
        <v>0.69200000000000006</v>
      </c>
      <c r="T149" s="134" t="s">
        <v>92</v>
      </c>
      <c r="U149" s="136" t="s">
        <v>626</v>
      </c>
      <c r="V149" s="134" t="s">
        <v>458</v>
      </c>
      <c r="W149" s="134" t="s">
        <v>153</v>
      </c>
      <c r="X149" s="60" t="s">
        <v>459</v>
      </c>
      <c r="Y149" s="134" t="s">
        <v>58</v>
      </c>
      <c r="Z149" s="134">
        <f>Z$143</f>
        <v>6800</v>
      </c>
      <c r="AA149" s="134">
        <f t="shared" si="9"/>
        <v>160</v>
      </c>
      <c r="AB149" s="134">
        <f t="shared" si="9"/>
        <v>42.5</v>
      </c>
      <c r="AC149" s="134" t="s">
        <v>59</v>
      </c>
      <c r="AD149" s="134" t="s">
        <v>627</v>
      </c>
      <c r="AE149" s="134" t="s">
        <v>61</v>
      </c>
      <c r="AF149" s="134" t="s">
        <v>538</v>
      </c>
      <c r="AG149" s="134" t="s">
        <v>52</v>
      </c>
      <c r="AH149" s="134">
        <v>523.13</v>
      </c>
      <c r="AI149" s="134">
        <v>26.26</v>
      </c>
      <c r="AJ149" s="134">
        <v>196</v>
      </c>
      <c r="AK149" s="134">
        <v>526.38</v>
      </c>
      <c r="AL149" s="134">
        <v>28.99</v>
      </c>
      <c r="AM149" s="134">
        <v>196</v>
      </c>
    </row>
    <row r="150" spans="1:39" s="134" customFormat="1">
      <c r="A150" s="133"/>
      <c r="B150" s="117"/>
      <c r="C150" s="133"/>
      <c r="D150" s="133"/>
      <c r="E150" s="116"/>
      <c r="F150" s="116"/>
      <c r="G150" s="116"/>
      <c r="H150" s="278"/>
      <c r="I150" s="278"/>
      <c r="J150" s="112" t="s">
        <v>677</v>
      </c>
      <c r="K150" s="134" t="s">
        <v>635</v>
      </c>
      <c r="L150" s="134">
        <v>7</v>
      </c>
      <c r="M150" s="135">
        <v>12.5</v>
      </c>
      <c r="N150" s="171" t="s">
        <v>456</v>
      </c>
      <c r="O150" s="90" t="s">
        <v>52</v>
      </c>
      <c r="P150" s="135">
        <v>0.79</v>
      </c>
      <c r="Q150" s="135" t="s">
        <v>52</v>
      </c>
      <c r="R150" s="135" t="s">
        <v>52</v>
      </c>
      <c r="S150" s="135">
        <f t="shared" si="10"/>
        <v>0.69200000000000006</v>
      </c>
      <c r="T150" s="134" t="s">
        <v>92</v>
      </c>
      <c r="U150" s="136" t="s">
        <v>629</v>
      </c>
      <c r="V150" s="134" t="s">
        <v>80</v>
      </c>
      <c r="W150" s="134" t="s">
        <v>78</v>
      </c>
      <c r="X150" s="60" t="s">
        <v>78</v>
      </c>
      <c r="Y150" s="134" t="s">
        <v>78</v>
      </c>
      <c r="Z150" s="134" t="s">
        <v>78</v>
      </c>
      <c r="AA150" s="134" t="s">
        <v>78</v>
      </c>
      <c r="AB150" s="134" t="s">
        <v>78</v>
      </c>
      <c r="AC150" s="134" t="s">
        <v>78</v>
      </c>
      <c r="AD150" s="134" t="s">
        <v>627</v>
      </c>
      <c r="AE150" s="134" t="s">
        <v>61</v>
      </c>
      <c r="AF150" s="134" t="s">
        <v>538</v>
      </c>
      <c r="AG150" s="134" t="s">
        <v>52</v>
      </c>
      <c r="AH150" s="134">
        <v>517.99</v>
      </c>
      <c r="AI150" s="134">
        <v>28.76</v>
      </c>
      <c r="AJ150" s="134">
        <v>78</v>
      </c>
      <c r="AK150" s="134">
        <v>521.44000000000005</v>
      </c>
      <c r="AL150" s="134">
        <v>30.89</v>
      </c>
      <c r="AM150" s="134">
        <v>78</v>
      </c>
    </row>
    <row r="151" spans="1:39" s="134" customFormat="1">
      <c r="A151" s="133"/>
      <c r="B151" s="117"/>
      <c r="C151" s="133"/>
      <c r="D151" s="133"/>
      <c r="E151" s="116"/>
      <c r="F151" s="116"/>
      <c r="G151" s="116"/>
      <c r="H151" s="278"/>
      <c r="I151" s="278"/>
      <c r="J151" s="112" t="s">
        <v>678</v>
      </c>
      <c r="K151" s="134" t="s">
        <v>636</v>
      </c>
      <c r="L151" s="134">
        <v>8</v>
      </c>
      <c r="M151" s="135">
        <v>13.5</v>
      </c>
      <c r="N151" s="171" t="s">
        <v>456</v>
      </c>
      <c r="O151" s="90" t="s">
        <v>52</v>
      </c>
      <c r="P151" s="135">
        <v>0.79</v>
      </c>
      <c r="Q151" s="135" t="s">
        <v>52</v>
      </c>
      <c r="R151" s="135" t="s">
        <v>52</v>
      </c>
      <c r="S151" s="135">
        <f t="shared" si="10"/>
        <v>0.69200000000000006</v>
      </c>
      <c r="T151" s="134" t="s">
        <v>92</v>
      </c>
      <c r="U151" s="136" t="s">
        <v>626</v>
      </c>
      <c r="V151" s="134" t="s">
        <v>458</v>
      </c>
      <c r="W151" s="134" t="s">
        <v>153</v>
      </c>
      <c r="X151" s="60" t="s">
        <v>459</v>
      </c>
      <c r="Y151" s="134" t="s">
        <v>58</v>
      </c>
      <c r="Z151" s="134">
        <f>Z$143</f>
        <v>6800</v>
      </c>
      <c r="AA151" s="134">
        <f t="shared" si="9"/>
        <v>160</v>
      </c>
      <c r="AB151" s="134">
        <f t="shared" si="9"/>
        <v>42.5</v>
      </c>
      <c r="AC151" s="134" t="s">
        <v>59</v>
      </c>
      <c r="AD151" s="134" t="s">
        <v>627</v>
      </c>
      <c r="AE151" s="134" t="s">
        <v>61</v>
      </c>
      <c r="AF151" s="134" t="s">
        <v>538</v>
      </c>
      <c r="AG151" s="134" t="s">
        <v>52</v>
      </c>
      <c r="AH151" s="134">
        <v>535.05999999999995</v>
      </c>
      <c r="AI151" s="134">
        <v>30.68</v>
      </c>
      <c r="AJ151" s="134">
        <v>200</v>
      </c>
      <c r="AK151" s="134">
        <v>535.59</v>
      </c>
      <c r="AL151" s="134">
        <v>31.14</v>
      </c>
      <c r="AM151" s="134">
        <v>200</v>
      </c>
    </row>
    <row r="152" spans="1:39" s="134" customFormat="1">
      <c r="A152" s="133"/>
      <c r="B152" s="117"/>
      <c r="C152" s="133"/>
      <c r="D152" s="133"/>
      <c r="E152" s="116"/>
      <c r="F152" s="116"/>
      <c r="G152" s="116"/>
      <c r="H152" s="278"/>
      <c r="I152" s="278"/>
      <c r="J152" s="112" t="s">
        <v>679</v>
      </c>
      <c r="K152" s="134" t="s">
        <v>637</v>
      </c>
      <c r="L152" s="134">
        <v>8</v>
      </c>
      <c r="M152" s="135">
        <v>13.5</v>
      </c>
      <c r="N152" s="171" t="s">
        <v>456</v>
      </c>
      <c r="O152" s="90" t="s">
        <v>52</v>
      </c>
      <c r="P152" s="135">
        <v>0.79</v>
      </c>
      <c r="Q152" s="135" t="s">
        <v>52</v>
      </c>
      <c r="R152" s="135" t="s">
        <v>52</v>
      </c>
      <c r="S152" s="135">
        <f t="shared" si="10"/>
        <v>0.69200000000000006</v>
      </c>
      <c r="T152" s="134" t="s">
        <v>92</v>
      </c>
      <c r="U152" s="136" t="s">
        <v>629</v>
      </c>
      <c r="V152" s="134" t="s">
        <v>80</v>
      </c>
      <c r="W152" s="134" t="s">
        <v>78</v>
      </c>
      <c r="X152" s="60" t="s">
        <v>78</v>
      </c>
      <c r="Y152" s="134" t="s">
        <v>78</v>
      </c>
      <c r="Z152" s="134" t="s">
        <v>78</v>
      </c>
      <c r="AA152" s="134" t="s">
        <v>78</v>
      </c>
      <c r="AB152" s="134" t="s">
        <v>78</v>
      </c>
      <c r="AC152" s="134" t="s">
        <v>78</v>
      </c>
      <c r="AD152" s="134" t="s">
        <v>627</v>
      </c>
      <c r="AE152" s="134" t="s">
        <v>61</v>
      </c>
      <c r="AF152" s="134" t="s">
        <v>538</v>
      </c>
      <c r="AG152" s="134" t="s">
        <v>52</v>
      </c>
      <c r="AH152" s="134">
        <v>530.72</v>
      </c>
      <c r="AI152" s="134">
        <v>27.92</v>
      </c>
      <c r="AJ152" s="134">
        <v>106</v>
      </c>
      <c r="AK152" s="134">
        <v>519.05999999999995</v>
      </c>
      <c r="AL152" s="134">
        <v>36.21</v>
      </c>
      <c r="AM152" s="134">
        <v>106</v>
      </c>
    </row>
    <row r="153" spans="1:39" s="134" customFormat="1">
      <c r="A153" s="133"/>
      <c r="B153" s="117"/>
      <c r="C153" s="133"/>
      <c r="D153" s="133"/>
      <c r="E153" s="116"/>
      <c r="F153" s="116"/>
      <c r="G153" s="116"/>
      <c r="H153" s="278"/>
      <c r="I153" s="278"/>
      <c r="J153" s="112" t="s">
        <v>680</v>
      </c>
      <c r="K153" s="134" t="s">
        <v>638</v>
      </c>
      <c r="L153" s="134">
        <v>6</v>
      </c>
      <c r="M153" s="135">
        <v>11.5</v>
      </c>
      <c r="N153" s="171" t="s">
        <v>456</v>
      </c>
      <c r="O153" s="90" t="s">
        <v>52</v>
      </c>
      <c r="P153" s="135">
        <v>0.76900000000000002</v>
      </c>
      <c r="Q153" s="135" t="s">
        <v>52</v>
      </c>
      <c r="R153" s="135" t="s">
        <v>52</v>
      </c>
      <c r="S153" s="135">
        <v>0.66700000000000004</v>
      </c>
      <c r="T153" s="134" t="s">
        <v>92</v>
      </c>
      <c r="U153" s="136" t="s">
        <v>626</v>
      </c>
      <c r="V153" s="134" t="s">
        <v>458</v>
      </c>
      <c r="W153" s="134" t="s">
        <v>153</v>
      </c>
      <c r="X153" s="60" t="s">
        <v>459</v>
      </c>
      <c r="Y153" s="134" t="s">
        <v>58</v>
      </c>
      <c r="Z153" s="134">
        <f>Z$143</f>
        <v>6800</v>
      </c>
      <c r="AA153" s="134">
        <f t="shared" si="9"/>
        <v>160</v>
      </c>
      <c r="AB153" s="134">
        <f t="shared" si="9"/>
        <v>42.5</v>
      </c>
      <c r="AC153" s="134" t="s">
        <v>59</v>
      </c>
      <c r="AD153" s="134" t="s">
        <v>627</v>
      </c>
      <c r="AE153" s="134" t="s">
        <v>61</v>
      </c>
      <c r="AF153" s="134" t="s">
        <v>538</v>
      </c>
      <c r="AG153" s="134" t="s">
        <v>52</v>
      </c>
      <c r="AH153" s="134">
        <v>509.06</v>
      </c>
      <c r="AI153" s="134">
        <v>28.54</v>
      </c>
      <c r="AJ153" s="134">
        <v>49</v>
      </c>
      <c r="AK153" s="134">
        <v>511.67</v>
      </c>
      <c r="AL153" s="134">
        <v>26.68</v>
      </c>
      <c r="AM153" s="134">
        <v>49</v>
      </c>
    </row>
    <row r="154" spans="1:39" s="134" customFormat="1">
      <c r="A154" s="133"/>
      <c r="B154" s="117"/>
      <c r="C154" s="133"/>
      <c r="D154" s="133"/>
      <c r="E154" s="116"/>
      <c r="F154" s="116"/>
      <c r="G154" s="116"/>
      <c r="H154" s="278"/>
      <c r="I154" s="278"/>
      <c r="J154" s="112" t="s">
        <v>681</v>
      </c>
      <c r="K154" s="134" t="s">
        <v>639</v>
      </c>
      <c r="L154" s="134">
        <v>6</v>
      </c>
      <c r="M154" s="135">
        <v>11.5</v>
      </c>
      <c r="N154" s="171" t="s">
        <v>456</v>
      </c>
      <c r="O154" s="90" t="s">
        <v>52</v>
      </c>
      <c r="P154" s="135">
        <v>0.76900000000000002</v>
      </c>
      <c r="Q154" s="135" t="s">
        <v>52</v>
      </c>
      <c r="R154" s="135" t="s">
        <v>52</v>
      </c>
      <c r="S154" s="135">
        <v>0.66700000000000004</v>
      </c>
      <c r="T154" s="134" t="s">
        <v>92</v>
      </c>
      <c r="U154" s="136" t="s">
        <v>629</v>
      </c>
      <c r="V154" s="134" t="s">
        <v>80</v>
      </c>
      <c r="W154" s="134" t="s">
        <v>78</v>
      </c>
      <c r="X154" s="60" t="s">
        <v>78</v>
      </c>
      <c r="Y154" s="134" t="s">
        <v>78</v>
      </c>
      <c r="Z154" s="134" t="s">
        <v>78</v>
      </c>
      <c r="AA154" s="134" t="s">
        <v>78</v>
      </c>
      <c r="AB154" s="134" t="s">
        <v>78</v>
      </c>
      <c r="AC154" s="134" t="s">
        <v>78</v>
      </c>
      <c r="AD154" s="134" t="s">
        <v>627</v>
      </c>
      <c r="AE154" s="134" t="s">
        <v>61</v>
      </c>
      <c r="AF154" s="134" t="s">
        <v>538</v>
      </c>
      <c r="AG154" s="134" t="s">
        <v>52</v>
      </c>
      <c r="AH154" s="134">
        <v>498.09</v>
      </c>
      <c r="AI154" s="134">
        <v>29.08</v>
      </c>
      <c r="AJ154" s="134">
        <v>47</v>
      </c>
      <c r="AK154" s="134">
        <v>494.35</v>
      </c>
      <c r="AL154" s="134">
        <v>30.34</v>
      </c>
      <c r="AM154" s="134">
        <v>47</v>
      </c>
    </row>
    <row r="155" spans="1:39" s="134" customFormat="1">
      <c r="A155" s="133"/>
      <c r="B155" s="117"/>
      <c r="C155" s="133"/>
      <c r="D155" s="133"/>
      <c r="E155" s="116"/>
      <c r="F155" s="116"/>
      <c r="G155" s="116"/>
      <c r="H155" s="278"/>
      <c r="I155" s="278"/>
      <c r="J155" s="112" t="s">
        <v>682</v>
      </c>
      <c r="K155" s="134" t="s">
        <v>640</v>
      </c>
      <c r="L155" s="134">
        <v>7</v>
      </c>
      <c r="M155" s="135">
        <v>12.5</v>
      </c>
      <c r="N155" s="171" t="s">
        <v>456</v>
      </c>
      <c r="O155" s="90" t="s">
        <v>52</v>
      </c>
      <c r="P155" s="135">
        <v>0.76900000000000002</v>
      </c>
      <c r="Q155" s="135" t="s">
        <v>52</v>
      </c>
      <c r="R155" s="135" t="s">
        <v>52</v>
      </c>
      <c r="S155" s="135">
        <v>0.66700000000000004</v>
      </c>
      <c r="T155" s="134" t="s">
        <v>92</v>
      </c>
      <c r="U155" s="136" t="s">
        <v>626</v>
      </c>
      <c r="V155" s="134" t="s">
        <v>458</v>
      </c>
      <c r="W155" s="134" t="s">
        <v>153</v>
      </c>
      <c r="X155" s="60" t="s">
        <v>459</v>
      </c>
      <c r="Y155" s="134" t="s">
        <v>58</v>
      </c>
      <c r="Z155" s="134">
        <f>Z$143</f>
        <v>6800</v>
      </c>
      <c r="AA155" s="134">
        <f t="shared" si="9"/>
        <v>160</v>
      </c>
      <c r="AB155" s="134">
        <f t="shared" si="9"/>
        <v>42.5</v>
      </c>
      <c r="AC155" s="134" t="s">
        <v>59</v>
      </c>
      <c r="AD155" s="134" t="s">
        <v>627</v>
      </c>
      <c r="AE155" s="134" t="s">
        <v>61</v>
      </c>
      <c r="AF155" s="134" t="s">
        <v>538</v>
      </c>
      <c r="AG155" s="134" t="s">
        <v>52</v>
      </c>
      <c r="AH155" s="134">
        <v>534.12</v>
      </c>
      <c r="AI155" s="134">
        <v>27.62</v>
      </c>
      <c r="AJ155" s="134">
        <v>40</v>
      </c>
      <c r="AK155" s="134">
        <v>546.67999999999995</v>
      </c>
      <c r="AL155" s="134">
        <v>30.07</v>
      </c>
      <c r="AM155" s="134">
        <v>40</v>
      </c>
    </row>
    <row r="156" spans="1:39" s="134" customFormat="1">
      <c r="A156" s="133"/>
      <c r="B156" s="117"/>
      <c r="C156" s="133"/>
      <c r="D156" s="133"/>
      <c r="E156" s="116"/>
      <c r="F156" s="116"/>
      <c r="G156" s="116"/>
      <c r="H156" s="278"/>
      <c r="I156" s="278"/>
      <c r="J156" s="112" t="s">
        <v>683</v>
      </c>
      <c r="K156" s="134" t="s">
        <v>641</v>
      </c>
      <c r="L156" s="134">
        <v>7</v>
      </c>
      <c r="M156" s="135">
        <v>12.5</v>
      </c>
      <c r="N156" s="171" t="s">
        <v>456</v>
      </c>
      <c r="O156" s="90" t="s">
        <v>52</v>
      </c>
      <c r="P156" s="135">
        <v>0.76900000000000002</v>
      </c>
      <c r="Q156" s="135" t="s">
        <v>52</v>
      </c>
      <c r="R156" s="135" t="s">
        <v>52</v>
      </c>
      <c r="S156" s="135">
        <v>0.66700000000000004</v>
      </c>
      <c r="T156" s="134" t="s">
        <v>92</v>
      </c>
      <c r="U156" s="136" t="s">
        <v>629</v>
      </c>
      <c r="V156" s="134" t="s">
        <v>80</v>
      </c>
      <c r="W156" s="134" t="s">
        <v>78</v>
      </c>
      <c r="X156" s="60" t="s">
        <v>78</v>
      </c>
      <c r="Y156" s="134" t="s">
        <v>78</v>
      </c>
      <c r="Z156" s="134" t="s">
        <v>78</v>
      </c>
      <c r="AA156" s="134" t="s">
        <v>78</v>
      </c>
      <c r="AB156" s="134" t="s">
        <v>78</v>
      </c>
      <c r="AC156" s="134" t="s">
        <v>78</v>
      </c>
      <c r="AD156" s="134" t="s">
        <v>627</v>
      </c>
      <c r="AE156" s="134" t="s">
        <v>61</v>
      </c>
      <c r="AF156" s="134" t="s">
        <v>538</v>
      </c>
      <c r="AG156" s="134" t="s">
        <v>52</v>
      </c>
      <c r="AH156" s="134">
        <v>516.22</v>
      </c>
      <c r="AI156" s="134">
        <v>27.44</v>
      </c>
      <c r="AJ156" s="134">
        <v>36</v>
      </c>
      <c r="AK156" s="134">
        <v>518.08000000000004</v>
      </c>
      <c r="AL156" s="134">
        <v>26.45</v>
      </c>
      <c r="AM156" s="134">
        <v>36</v>
      </c>
    </row>
    <row r="157" spans="1:39" s="134" customFormat="1">
      <c r="A157" s="133"/>
      <c r="B157" s="117"/>
      <c r="C157" s="133"/>
      <c r="D157" s="133"/>
      <c r="E157" s="116"/>
      <c r="F157" s="116"/>
      <c r="G157" s="116"/>
      <c r="H157" s="278"/>
      <c r="I157" s="278"/>
      <c r="J157" s="112" t="s">
        <v>684</v>
      </c>
      <c r="K157" s="134" t="s">
        <v>642</v>
      </c>
      <c r="L157" s="134">
        <v>8</v>
      </c>
      <c r="M157" s="135">
        <v>13.5</v>
      </c>
      <c r="N157" s="171" t="s">
        <v>456</v>
      </c>
      <c r="O157" s="90" t="s">
        <v>52</v>
      </c>
      <c r="P157" s="135">
        <v>0.76900000000000002</v>
      </c>
      <c r="Q157" s="135" t="s">
        <v>52</v>
      </c>
      <c r="R157" s="135" t="s">
        <v>52</v>
      </c>
      <c r="S157" s="135">
        <v>0.66700000000000004</v>
      </c>
      <c r="T157" s="134" t="s">
        <v>92</v>
      </c>
      <c r="U157" s="136" t="s">
        <v>626</v>
      </c>
      <c r="V157" s="134" t="s">
        <v>458</v>
      </c>
      <c r="W157" s="134" t="s">
        <v>153</v>
      </c>
      <c r="X157" s="60" t="s">
        <v>459</v>
      </c>
      <c r="Y157" s="134" t="s">
        <v>58</v>
      </c>
      <c r="Z157" s="134">
        <f>Z$143</f>
        <v>6800</v>
      </c>
      <c r="AA157" s="134">
        <f t="shared" si="9"/>
        <v>160</v>
      </c>
      <c r="AB157" s="134">
        <f t="shared" si="9"/>
        <v>42.5</v>
      </c>
      <c r="AC157" s="134" t="s">
        <v>59</v>
      </c>
      <c r="AD157" s="134" t="s">
        <v>627</v>
      </c>
      <c r="AE157" s="134" t="s">
        <v>61</v>
      </c>
      <c r="AF157" s="134" t="s">
        <v>538</v>
      </c>
      <c r="AG157" s="134" t="s">
        <v>52</v>
      </c>
      <c r="AH157" s="134">
        <v>524.51</v>
      </c>
      <c r="AI157" s="134">
        <v>21.49</v>
      </c>
      <c r="AJ157" s="134">
        <v>43</v>
      </c>
      <c r="AK157" s="134">
        <v>535.41999999999996</v>
      </c>
      <c r="AL157" s="134">
        <v>27.69</v>
      </c>
      <c r="AM157" s="134">
        <v>43</v>
      </c>
    </row>
    <row r="158" spans="1:39" s="134" customFormat="1">
      <c r="A158" s="133"/>
      <c r="B158" s="117"/>
      <c r="C158" s="133"/>
      <c r="D158" s="133"/>
      <c r="E158" s="116"/>
      <c r="F158" s="116"/>
      <c r="G158" s="116"/>
      <c r="H158" s="278"/>
      <c r="I158" s="278"/>
      <c r="J158" s="112" t="s">
        <v>685</v>
      </c>
      <c r="K158" s="134" t="s">
        <v>643</v>
      </c>
      <c r="L158" s="134">
        <v>8</v>
      </c>
      <c r="M158" s="135">
        <v>13.5</v>
      </c>
      <c r="N158" s="171" t="s">
        <v>456</v>
      </c>
      <c r="O158" s="90" t="s">
        <v>52</v>
      </c>
      <c r="P158" s="135">
        <v>0.76900000000000002</v>
      </c>
      <c r="Q158" s="135" t="s">
        <v>52</v>
      </c>
      <c r="R158" s="135" t="s">
        <v>52</v>
      </c>
      <c r="S158" s="135">
        <v>0.66700000000000004</v>
      </c>
      <c r="T158" s="134" t="s">
        <v>92</v>
      </c>
      <c r="U158" s="136" t="s">
        <v>629</v>
      </c>
      <c r="V158" s="134" t="s">
        <v>80</v>
      </c>
      <c r="W158" s="134" t="s">
        <v>78</v>
      </c>
      <c r="X158" s="60" t="s">
        <v>78</v>
      </c>
      <c r="Y158" s="134" t="s">
        <v>78</v>
      </c>
      <c r="Z158" s="134" t="s">
        <v>78</v>
      </c>
      <c r="AA158" s="134" t="s">
        <v>78</v>
      </c>
      <c r="AB158" s="134" t="s">
        <v>78</v>
      </c>
      <c r="AC158" s="134" t="s">
        <v>78</v>
      </c>
      <c r="AD158" s="134" t="s">
        <v>627</v>
      </c>
      <c r="AE158" s="134" t="s">
        <v>61</v>
      </c>
      <c r="AF158" s="134" t="s">
        <v>538</v>
      </c>
      <c r="AG158" s="134" t="s">
        <v>52</v>
      </c>
      <c r="AH158" s="134">
        <v>532.76</v>
      </c>
      <c r="AI158" s="134">
        <v>21.61</v>
      </c>
      <c r="AJ158" s="134">
        <v>41</v>
      </c>
      <c r="AK158" s="134">
        <v>535.54999999999995</v>
      </c>
      <c r="AL158" s="134">
        <v>31.68</v>
      </c>
      <c r="AM158" s="134">
        <v>41</v>
      </c>
    </row>
    <row r="159" spans="1:39" s="134" customFormat="1">
      <c r="A159" s="133"/>
      <c r="B159" s="117"/>
      <c r="C159" s="133"/>
      <c r="D159" s="133"/>
      <c r="E159" s="116"/>
      <c r="F159" s="116"/>
      <c r="G159" s="116"/>
      <c r="H159" s="278"/>
      <c r="I159" s="278"/>
      <c r="J159" s="112" t="s">
        <v>686</v>
      </c>
      <c r="K159" s="134" t="s">
        <v>644</v>
      </c>
      <c r="L159" s="134">
        <v>6</v>
      </c>
      <c r="M159" s="135">
        <v>11.5</v>
      </c>
      <c r="N159" s="171" t="s">
        <v>456</v>
      </c>
      <c r="O159" s="90" t="s">
        <v>52</v>
      </c>
      <c r="P159" s="135">
        <v>0.66200000000000003</v>
      </c>
      <c r="Q159" s="135" t="s">
        <v>52</v>
      </c>
      <c r="R159" s="135" t="s">
        <v>52</v>
      </c>
      <c r="S159" s="135">
        <f t="shared" ref="S159:S164" si="11">0.675+0.175</f>
        <v>0.85000000000000009</v>
      </c>
      <c r="T159" s="134" t="s">
        <v>92</v>
      </c>
      <c r="U159" s="136" t="s">
        <v>626</v>
      </c>
      <c r="V159" s="134" t="s">
        <v>458</v>
      </c>
      <c r="W159" s="134" t="s">
        <v>153</v>
      </c>
      <c r="X159" s="60" t="s">
        <v>459</v>
      </c>
      <c r="Y159" s="134" t="s">
        <v>58</v>
      </c>
      <c r="Z159" s="134">
        <f>Z$143</f>
        <v>6800</v>
      </c>
      <c r="AA159" s="134">
        <f t="shared" si="9"/>
        <v>160</v>
      </c>
      <c r="AB159" s="134">
        <f t="shared" si="9"/>
        <v>42.5</v>
      </c>
      <c r="AC159" s="134" t="s">
        <v>59</v>
      </c>
      <c r="AD159" s="134" t="s">
        <v>627</v>
      </c>
      <c r="AE159" s="134" t="s">
        <v>61</v>
      </c>
      <c r="AF159" s="134" t="s">
        <v>538</v>
      </c>
      <c r="AG159" s="134" t="s">
        <v>52</v>
      </c>
      <c r="AH159" s="134">
        <v>507.52</v>
      </c>
      <c r="AI159" s="134">
        <v>27.64</v>
      </c>
      <c r="AJ159" s="134">
        <v>109</v>
      </c>
      <c r="AK159" s="134">
        <v>507.61</v>
      </c>
      <c r="AL159" s="134">
        <v>29.89</v>
      </c>
      <c r="AM159" s="134">
        <v>109</v>
      </c>
    </row>
    <row r="160" spans="1:39" s="134" customFormat="1">
      <c r="A160" s="133"/>
      <c r="B160" s="117"/>
      <c r="C160" s="133"/>
      <c r="D160" s="133"/>
      <c r="E160" s="116"/>
      <c r="F160" s="116"/>
      <c r="G160" s="116"/>
      <c r="H160" s="278"/>
      <c r="I160" s="278"/>
      <c r="J160" s="112" t="s">
        <v>687</v>
      </c>
      <c r="K160" s="134" t="s">
        <v>645</v>
      </c>
      <c r="L160" s="134">
        <v>6</v>
      </c>
      <c r="M160" s="135">
        <v>11.5</v>
      </c>
      <c r="N160" s="171" t="s">
        <v>456</v>
      </c>
      <c r="O160" s="90" t="s">
        <v>52</v>
      </c>
      <c r="P160" s="135">
        <v>0.66200000000000003</v>
      </c>
      <c r="Q160" s="135" t="s">
        <v>52</v>
      </c>
      <c r="R160" s="135" t="s">
        <v>52</v>
      </c>
      <c r="S160" s="135">
        <f t="shared" si="11"/>
        <v>0.85000000000000009</v>
      </c>
      <c r="T160" s="134" t="s">
        <v>92</v>
      </c>
      <c r="U160" s="136" t="s">
        <v>629</v>
      </c>
      <c r="V160" s="134" t="s">
        <v>80</v>
      </c>
      <c r="W160" s="134" t="s">
        <v>78</v>
      </c>
      <c r="X160" s="60" t="s">
        <v>78</v>
      </c>
      <c r="Y160" s="134" t="s">
        <v>78</v>
      </c>
      <c r="Z160" s="134" t="s">
        <v>78</v>
      </c>
      <c r="AA160" s="134" t="s">
        <v>78</v>
      </c>
      <c r="AB160" s="134" t="s">
        <v>78</v>
      </c>
      <c r="AC160" s="134" t="s">
        <v>78</v>
      </c>
      <c r="AD160" s="134" t="s">
        <v>627</v>
      </c>
      <c r="AE160" s="134" t="s">
        <v>61</v>
      </c>
      <c r="AF160" s="134" t="s">
        <v>538</v>
      </c>
      <c r="AG160" s="134" t="s">
        <v>52</v>
      </c>
      <c r="AH160" s="134">
        <v>475.49</v>
      </c>
      <c r="AI160" s="134">
        <v>37.799999999999997</v>
      </c>
      <c r="AJ160" s="134">
        <v>53</v>
      </c>
      <c r="AK160" s="134">
        <v>495.55</v>
      </c>
      <c r="AL160" s="134">
        <v>35.869999999999997</v>
      </c>
      <c r="AM160" s="134">
        <v>53</v>
      </c>
    </row>
    <row r="161" spans="1:45" s="134" customFormat="1">
      <c r="A161" s="133"/>
      <c r="B161" s="117"/>
      <c r="C161" s="133"/>
      <c r="D161" s="133"/>
      <c r="E161" s="116"/>
      <c r="F161" s="116"/>
      <c r="G161" s="116"/>
      <c r="H161" s="278"/>
      <c r="I161" s="278"/>
      <c r="J161" s="112" t="s">
        <v>688</v>
      </c>
      <c r="K161" s="134" t="s">
        <v>646</v>
      </c>
      <c r="L161" s="134">
        <v>7</v>
      </c>
      <c r="M161" s="135">
        <v>12.5</v>
      </c>
      <c r="N161" s="171" t="s">
        <v>456</v>
      </c>
      <c r="O161" s="90" t="s">
        <v>52</v>
      </c>
      <c r="P161" s="135">
        <v>0.66200000000000003</v>
      </c>
      <c r="Q161" s="135" t="s">
        <v>52</v>
      </c>
      <c r="R161" s="135" t="s">
        <v>52</v>
      </c>
      <c r="S161" s="135">
        <f t="shared" si="11"/>
        <v>0.85000000000000009</v>
      </c>
      <c r="T161" s="134" t="s">
        <v>92</v>
      </c>
      <c r="U161" s="136" t="s">
        <v>626</v>
      </c>
      <c r="V161" s="134" t="s">
        <v>458</v>
      </c>
      <c r="W161" s="134" t="s">
        <v>153</v>
      </c>
      <c r="X161" s="60" t="s">
        <v>459</v>
      </c>
      <c r="Y161" s="134" t="s">
        <v>58</v>
      </c>
      <c r="Z161" s="134">
        <f>Z$143</f>
        <v>6800</v>
      </c>
      <c r="AA161" s="134">
        <f t="shared" si="9"/>
        <v>160</v>
      </c>
      <c r="AB161" s="134">
        <f t="shared" si="9"/>
        <v>42.5</v>
      </c>
      <c r="AC161" s="134" t="s">
        <v>59</v>
      </c>
      <c r="AD161" s="134" t="s">
        <v>627</v>
      </c>
      <c r="AE161" s="134" t="s">
        <v>61</v>
      </c>
      <c r="AF161" s="134" t="s">
        <v>538</v>
      </c>
      <c r="AG161" s="134" t="s">
        <v>52</v>
      </c>
      <c r="AH161" s="134">
        <v>526.86</v>
      </c>
      <c r="AI161" s="134">
        <v>35.799999999999997</v>
      </c>
      <c r="AJ161" s="134">
        <v>58</v>
      </c>
      <c r="AK161" s="134">
        <v>531.49</v>
      </c>
      <c r="AL161" s="134">
        <v>36.54</v>
      </c>
      <c r="AM161" s="134">
        <v>58</v>
      </c>
    </row>
    <row r="162" spans="1:45" s="134" customFormat="1">
      <c r="A162" s="133"/>
      <c r="B162" s="117"/>
      <c r="C162" s="133"/>
      <c r="D162" s="133"/>
      <c r="E162" s="116"/>
      <c r="F162" s="116"/>
      <c r="G162" s="116"/>
      <c r="H162" s="278"/>
      <c r="I162" s="278"/>
      <c r="J162" s="112" t="s">
        <v>689</v>
      </c>
      <c r="K162" s="134" t="s">
        <v>647</v>
      </c>
      <c r="L162" s="134">
        <v>7</v>
      </c>
      <c r="M162" s="135">
        <v>12.5</v>
      </c>
      <c r="N162" s="171" t="s">
        <v>456</v>
      </c>
      <c r="O162" s="90" t="s">
        <v>52</v>
      </c>
      <c r="P162" s="135">
        <v>0.66200000000000003</v>
      </c>
      <c r="Q162" s="135" t="s">
        <v>52</v>
      </c>
      <c r="R162" s="135" t="s">
        <v>52</v>
      </c>
      <c r="S162" s="135">
        <f t="shared" si="11"/>
        <v>0.85000000000000009</v>
      </c>
      <c r="T162" s="134" t="s">
        <v>92</v>
      </c>
      <c r="U162" s="136" t="s">
        <v>629</v>
      </c>
      <c r="V162" s="134" t="s">
        <v>80</v>
      </c>
      <c r="W162" s="134" t="s">
        <v>78</v>
      </c>
      <c r="X162" s="60" t="s">
        <v>78</v>
      </c>
      <c r="Y162" s="134" t="s">
        <v>78</v>
      </c>
      <c r="Z162" s="134" t="s">
        <v>78</v>
      </c>
      <c r="AA162" s="134" t="s">
        <v>78</v>
      </c>
      <c r="AB162" s="134" t="s">
        <v>78</v>
      </c>
      <c r="AC162" s="134" t="s">
        <v>78</v>
      </c>
      <c r="AD162" s="134" t="s">
        <v>627</v>
      </c>
      <c r="AE162" s="134" t="s">
        <v>61</v>
      </c>
      <c r="AF162" s="134" t="s">
        <v>538</v>
      </c>
      <c r="AG162" s="134" t="s">
        <v>52</v>
      </c>
      <c r="AH162" s="134">
        <v>508.19</v>
      </c>
      <c r="AI162" s="134">
        <v>32.15</v>
      </c>
      <c r="AJ162" s="134">
        <v>53</v>
      </c>
      <c r="AK162" s="134">
        <v>515.25</v>
      </c>
      <c r="AL162" s="134">
        <v>27.47</v>
      </c>
      <c r="AM162" s="134">
        <v>53</v>
      </c>
    </row>
    <row r="163" spans="1:45" s="134" customFormat="1">
      <c r="A163" s="133"/>
      <c r="B163" s="117"/>
      <c r="C163" s="133"/>
      <c r="D163" s="133"/>
      <c r="E163" s="116"/>
      <c r="F163" s="116"/>
      <c r="G163" s="116"/>
      <c r="H163" s="278"/>
      <c r="I163" s="278"/>
      <c r="J163" s="112" t="s">
        <v>690</v>
      </c>
      <c r="K163" s="134" t="s">
        <v>648</v>
      </c>
      <c r="L163" s="134">
        <v>8</v>
      </c>
      <c r="M163" s="135">
        <v>13.5</v>
      </c>
      <c r="N163" s="171" t="s">
        <v>456</v>
      </c>
      <c r="O163" s="90" t="s">
        <v>52</v>
      </c>
      <c r="P163" s="135">
        <v>0.66200000000000003</v>
      </c>
      <c r="Q163" s="135" t="s">
        <v>52</v>
      </c>
      <c r="R163" s="135" t="s">
        <v>52</v>
      </c>
      <c r="S163" s="135">
        <f t="shared" si="11"/>
        <v>0.85000000000000009</v>
      </c>
      <c r="T163" s="134" t="s">
        <v>92</v>
      </c>
      <c r="U163" s="136" t="s">
        <v>626</v>
      </c>
      <c r="V163" s="134" t="s">
        <v>458</v>
      </c>
      <c r="W163" s="134" t="s">
        <v>153</v>
      </c>
      <c r="X163" s="60" t="s">
        <v>459</v>
      </c>
      <c r="Y163" s="134" t="s">
        <v>58</v>
      </c>
      <c r="Z163" s="134">
        <f>Z$143</f>
        <v>6800</v>
      </c>
      <c r="AA163" s="134">
        <f t="shared" ref="AA163:AB163" si="12">AA$143</f>
        <v>160</v>
      </c>
      <c r="AB163" s="134">
        <f t="shared" si="12"/>
        <v>42.5</v>
      </c>
      <c r="AC163" s="134" t="s">
        <v>59</v>
      </c>
      <c r="AD163" s="134" t="s">
        <v>627</v>
      </c>
      <c r="AE163" s="134" t="s">
        <v>61</v>
      </c>
      <c r="AF163" s="134" t="s">
        <v>538</v>
      </c>
      <c r="AG163" s="134" t="s">
        <v>52</v>
      </c>
      <c r="AH163" s="134">
        <v>515.45000000000005</v>
      </c>
      <c r="AI163" s="134">
        <v>27.74</v>
      </c>
      <c r="AJ163" s="134">
        <v>56</v>
      </c>
      <c r="AK163" s="134">
        <v>509.12</v>
      </c>
      <c r="AL163" s="134">
        <v>31.63</v>
      </c>
      <c r="AM163" s="134">
        <v>56</v>
      </c>
    </row>
    <row r="164" spans="1:45" s="138" customFormat="1">
      <c r="A164" s="137"/>
      <c r="B164" s="123"/>
      <c r="C164" s="137"/>
      <c r="D164" s="137"/>
      <c r="E164" s="122"/>
      <c r="F164" s="122"/>
      <c r="G164" s="122"/>
      <c r="H164" s="279"/>
      <c r="I164" s="279"/>
      <c r="J164" s="113" t="s">
        <v>691</v>
      </c>
      <c r="K164" s="138" t="s">
        <v>649</v>
      </c>
      <c r="L164" s="138">
        <v>8</v>
      </c>
      <c r="M164" s="139">
        <v>13.5</v>
      </c>
      <c r="N164" s="172" t="s">
        <v>456</v>
      </c>
      <c r="O164" s="93" t="s">
        <v>52</v>
      </c>
      <c r="P164" s="139">
        <v>0.66200000000000003</v>
      </c>
      <c r="Q164" s="139" t="s">
        <v>52</v>
      </c>
      <c r="R164" s="139" t="s">
        <v>52</v>
      </c>
      <c r="S164" s="139">
        <f t="shared" si="11"/>
        <v>0.85000000000000009</v>
      </c>
      <c r="T164" s="138" t="s">
        <v>92</v>
      </c>
      <c r="U164" s="140" t="s">
        <v>629</v>
      </c>
      <c r="V164" s="138" t="s">
        <v>80</v>
      </c>
      <c r="W164" s="138" t="s">
        <v>78</v>
      </c>
      <c r="X164" s="63" t="s">
        <v>78</v>
      </c>
      <c r="Y164" s="138" t="s">
        <v>78</v>
      </c>
      <c r="Z164" s="138" t="s">
        <v>78</v>
      </c>
      <c r="AA164" s="138" t="s">
        <v>78</v>
      </c>
      <c r="AB164" s="138" t="s">
        <v>78</v>
      </c>
      <c r="AC164" s="138" t="s">
        <v>78</v>
      </c>
      <c r="AD164" s="138" t="s">
        <v>627</v>
      </c>
      <c r="AE164" s="138" t="s">
        <v>61</v>
      </c>
      <c r="AF164" s="138" t="s">
        <v>538</v>
      </c>
      <c r="AG164" s="138" t="s">
        <v>52</v>
      </c>
      <c r="AH164" s="138">
        <v>521.79</v>
      </c>
      <c r="AI164" s="138">
        <v>23.65</v>
      </c>
      <c r="AJ164" s="138">
        <v>55</v>
      </c>
      <c r="AK164" s="138">
        <v>506.16</v>
      </c>
      <c r="AL164" s="138">
        <v>30.25</v>
      </c>
      <c r="AM164" s="138">
        <v>55</v>
      </c>
    </row>
    <row r="165" spans="1:45" s="134" customFormat="1">
      <c r="A165" s="133" t="s">
        <v>510</v>
      </c>
      <c r="B165" s="117">
        <v>328</v>
      </c>
      <c r="C165" s="133" t="s">
        <v>47</v>
      </c>
      <c r="D165" s="133" t="s">
        <v>47</v>
      </c>
      <c r="E165" s="116" t="s">
        <v>66</v>
      </c>
      <c r="F165" s="116" t="s">
        <v>49</v>
      </c>
      <c r="G165" s="116" t="s">
        <v>239</v>
      </c>
      <c r="H165" s="278"/>
      <c r="I165" s="278"/>
      <c r="J165" s="112">
        <v>1</v>
      </c>
      <c r="K165" s="134" t="s">
        <v>650</v>
      </c>
      <c r="L165" s="134">
        <v>7</v>
      </c>
      <c r="M165" s="135">
        <v>12.5</v>
      </c>
      <c r="N165" s="171" t="s">
        <v>456</v>
      </c>
      <c r="O165" s="90" t="s">
        <v>52</v>
      </c>
      <c r="P165" s="135">
        <v>0.20300000000000001</v>
      </c>
      <c r="Q165" s="155">
        <v>0.01</v>
      </c>
      <c r="R165" s="135">
        <v>0.47</v>
      </c>
      <c r="S165" s="135">
        <f>1-0.789</f>
        <v>0.21099999999999997</v>
      </c>
      <c r="T165" s="134" t="s">
        <v>53</v>
      </c>
      <c r="U165" s="136" t="s">
        <v>512</v>
      </c>
      <c r="V165" s="134" t="s">
        <v>458</v>
      </c>
      <c r="W165" s="134" t="s">
        <v>153</v>
      </c>
      <c r="X165" s="60" t="s">
        <v>459</v>
      </c>
      <c r="Y165" s="134" t="s">
        <v>58</v>
      </c>
      <c r="Z165" s="134">
        <f>AA165*AB165</f>
        <v>1800</v>
      </c>
      <c r="AA165" s="134">
        <f>5*4</f>
        <v>20</v>
      </c>
      <c r="AB165" s="134">
        <v>90</v>
      </c>
      <c r="AC165" s="134" t="s">
        <v>59</v>
      </c>
      <c r="AD165" s="134" t="s">
        <v>514</v>
      </c>
      <c r="AE165" s="134" t="s">
        <v>95</v>
      </c>
      <c r="AF165" s="134" t="s">
        <v>515</v>
      </c>
      <c r="AG165" s="134" t="s">
        <v>516</v>
      </c>
      <c r="AH165" s="134">
        <v>54.06</v>
      </c>
      <c r="AI165" s="134">
        <v>15.41</v>
      </c>
      <c r="AJ165" s="134">
        <v>269</v>
      </c>
      <c r="AK165" s="134">
        <v>56.94</v>
      </c>
      <c r="AL165" s="134">
        <v>16.7</v>
      </c>
      <c r="AM165" s="134">
        <v>269</v>
      </c>
    </row>
    <row r="166" spans="1:45" s="138" customFormat="1">
      <c r="A166" s="137"/>
      <c r="B166" s="123"/>
      <c r="C166" s="137"/>
      <c r="D166" s="137"/>
      <c r="E166" s="122"/>
      <c r="F166" s="122"/>
      <c r="G166" s="122"/>
      <c r="H166" s="279"/>
      <c r="I166" s="279"/>
      <c r="J166" s="113">
        <v>2</v>
      </c>
      <c r="K166" s="138" t="s">
        <v>651</v>
      </c>
      <c r="L166" s="138">
        <v>7</v>
      </c>
      <c r="M166" s="139">
        <v>12.5</v>
      </c>
      <c r="N166" s="172" t="s">
        <v>456</v>
      </c>
      <c r="O166" s="93" t="s">
        <v>52</v>
      </c>
      <c r="P166" s="139">
        <v>0.20300000000000001</v>
      </c>
      <c r="Q166" s="156">
        <v>0.01</v>
      </c>
      <c r="R166" s="139">
        <v>0.47</v>
      </c>
      <c r="S166" s="139">
        <f>1-0.789</f>
        <v>0.21099999999999997</v>
      </c>
      <c r="T166" s="138" t="s">
        <v>92</v>
      </c>
      <c r="U166" s="140" t="s">
        <v>518</v>
      </c>
      <c r="V166" s="138" t="s">
        <v>466</v>
      </c>
      <c r="W166" s="138" t="s">
        <v>78</v>
      </c>
      <c r="X166" s="63" t="s">
        <v>459</v>
      </c>
      <c r="Y166" s="138" t="s">
        <v>58</v>
      </c>
      <c r="Z166" s="138">
        <f>AA166*AB166</f>
        <v>1800</v>
      </c>
      <c r="AA166" s="138">
        <f>5*4</f>
        <v>20</v>
      </c>
      <c r="AB166" s="138">
        <v>90</v>
      </c>
      <c r="AC166" s="138" t="s">
        <v>78</v>
      </c>
      <c r="AD166" s="138" t="s">
        <v>514</v>
      </c>
      <c r="AE166" s="138" t="s">
        <v>95</v>
      </c>
      <c r="AF166" s="138" t="s">
        <v>515</v>
      </c>
      <c r="AG166" s="138" t="s">
        <v>516</v>
      </c>
      <c r="AH166" s="138">
        <v>53.19</v>
      </c>
      <c r="AI166" s="138">
        <v>14.1</v>
      </c>
      <c r="AJ166" s="138">
        <v>288</v>
      </c>
      <c r="AK166" s="138">
        <v>53.6</v>
      </c>
      <c r="AL166" s="138">
        <v>17.55</v>
      </c>
      <c r="AM166" s="138">
        <v>288</v>
      </c>
    </row>
    <row r="167" spans="1:45" s="134" customFormat="1">
      <c r="A167" s="133" t="s">
        <v>519</v>
      </c>
      <c r="B167" s="117">
        <v>329</v>
      </c>
      <c r="C167" s="133" t="s">
        <v>47</v>
      </c>
      <c r="D167" s="133" t="s">
        <v>47</v>
      </c>
      <c r="E167" s="116" t="s">
        <v>66</v>
      </c>
      <c r="F167" s="116" t="s">
        <v>49</v>
      </c>
      <c r="G167" s="116" t="s">
        <v>239</v>
      </c>
      <c r="H167" s="278"/>
      <c r="I167" s="278"/>
      <c r="J167" s="112" t="s">
        <v>705</v>
      </c>
      <c r="K167" s="134" t="s">
        <v>520</v>
      </c>
      <c r="L167" s="134">
        <v>3</v>
      </c>
      <c r="M167" s="135">
        <v>8.5</v>
      </c>
      <c r="N167" s="155">
        <v>1</v>
      </c>
      <c r="O167" s="135" t="s">
        <v>52</v>
      </c>
      <c r="P167" s="135" t="s">
        <v>52</v>
      </c>
      <c r="Q167" s="135" t="s">
        <v>52</v>
      </c>
      <c r="R167" s="155">
        <v>0.5</v>
      </c>
      <c r="S167" s="135">
        <f t="shared" ref="S167:S182" si="13">1-0.22</f>
        <v>0.78</v>
      </c>
      <c r="T167" s="134" t="s">
        <v>92</v>
      </c>
      <c r="U167" s="136" t="s">
        <v>521</v>
      </c>
      <c r="V167" s="134" t="s">
        <v>458</v>
      </c>
      <c r="W167" s="134" t="s">
        <v>153</v>
      </c>
      <c r="X167" s="60" t="s">
        <v>459</v>
      </c>
      <c r="Y167" s="134" t="s">
        <v>58</v>
      </c>
      <c r="Z167" s="165">
        <v>7650</v>
      </c>
      <c r="AA167" s="165">
        <v>85</v>
      </c>
      <c r="AB167" s="165">
        <v>90</v>
      </c>
      <c r="AC167" s="134" t="s">
        <v>59</v>
      </c>
      <c r="AD167" s="134" t="s">
        <v>652</v>
      </c>
      <c r="AE167" s="134" t="s">
        <v>95</v>
      </c>
      <c r="AF167" s="110" t="s">
        <v>515</v>
      </c>
      <c r="AG167" s="134" t="s">
        <v>52</v>
      </c>
      <c r="AH167" s="134" t="s">
        <v>52</v>
      </c>
      <c r="AI167" s="134" t="s">
        <v>52</v>
      </c>
      <c r="AJ167" s="134" t="s">
        <v>52</v>
      </c>
      <c r="AK167" s="134">
        <v>13.52</v>
      </c>
      <c r="AL167" s="134">
        <v>2.77</v>
      </c>
      <c r="AM167" s="134">
        <v>48</v>
      </c>
    </row>
    <row r="168" spans="1:45" s="134" customFormat="1">
      <c r="A168" s="133"/>
      <c r="B168" s="117"/>
      <c r="C168" s="133"/>
      <c r="D168" s="133"/>
      <c r="E168" s="116"/>
      <c r="F168" s="116"/>
      <c r="G168" s="116"/>
      <c r="H168" s="278"/>
      <c r="I168" s="278"/>
      <c r="J168" s="112"/>
      <c r="M168" s="135"/>
      <c r="N168" s="155"/>
      <c r="O168" s="135"/>
      <c r="P168" s="135"/>
      <c r="Q168" s="135"/>
      <c r="R168" s="155"/>
      <c r="S168" s="135"/>
      <c r="U168" s="136"/>
      <c r="Z168" s="118"/>
      <c r="AA168" s="118"/>
      <c r="AB168" s="118"/>
      <c r="AD168" s="134" t="s">
        <v>655</v>
      </c>
      <c r="AE168" s="134" t="s">
        <v>95</v>
      </c>
      <c r="AF168" s="110" t="s">
        <v>515</v>
      </c>
      <c r="AG168" s="134" t="s">
        <v>52</v>
      </c>
      <c r="AH168" s="134" t="s">
        <v>52</v>
      </c>
      <c r="AI168" s="134" t="s">
        <v>52</v>
      </c>
      <c r="AJ168" s="134" t="s">
        <v>52</v>
      </c>
      <c r="AK168" s="134">
        <v>6</v>
      </c>
      <c r="AL168" s="134">
        <v>1.62</v>
      </c>
      <c r="AM168" s="134">
        <v>48</v>
      </c>
    </row>
    <row r="169" spans="1:45" s="134" customFormat="1">
      <c r="A169" s="133"/>
      <c r="B169" s="117"/>
      <c r="C169" s="133"/>
      <c r="D169" s="133"/>
      <c r="E169" s="116"/>
      <c r="F169" s="116"/>
      <c r="G169" s="116"/>
      <c r="H169" s="278"/>
      <c r="I169" s="278"/>
      <c r="J169" s="112"/>
      <c r="M169" s="135"/>
      <c r="N169" s="155"/>
      <c r="O169" s="135"/>
      <c r="P169" s="135"/>
      <c r="Q169" s="135"/>
      <c r="R169" s="155"/>
      <c r="S169" s="135"/>
      <c r="U169" s="136"/>
      <c r="Z169" s="118"/>
      <c r="AA169" s="118"/>
      <c r="AB169" s="118"/>
      <c r="AD169" s="134" t="s">
        <v>656</v>
      </c>
      <c r="AE169" s="134" t="s">
        <v>95</v>
      </c>
      <c r="AF169" s="110" t="s">
        <v>515</v>
      </c>
      <c r="AG169" s="134" t="s">
        <v>52</v>
      </c>
      <c r="AH169" s="134" t="s">
        <v>52</v>
      </c>
      <c r="AI169" s="134" t="s">
        <v>52</v>
      </c>
      <c r="AJ169" s="134" t="s">
        <v>52</v>
      </c>
      <c r="AK169" s="134">
        <v>7.42</v>
      </c>
      <c r="AL169" s="134">
        <v>1.54</v>
      </c>
      <c r="AM169" s="134">
        <v>48</v>
      </c>
    </row>
    <row r="170" spans="1:45" s="134" customFormat="1">
      <c r="A170" s="133"/>
      <c r="B170" s="117"/>
      <c r="C170" s="133"/>
      <c r="D170" s="133"/>
      <c r="E170" s="116"/>
      <c r="F170" s="116"/>
      <c r="G170" s="116"/>
      <c r="H170" s="278"/>
      <c r="I170" s="278"/>
      <c r="J170" s="112"/>
      <c r="M170" s="135"/>
      <c r="N170" s="155"/>
      <c r="O170" s="135"/>
      <c r="P170" s="135"/>
      <c r="Q170" s="135"/>
      <c r="R170" s="155"/>
      <c r="S170" s="135"/>
      <c r="U170" s="136"/>
      <c r="Z170" s="118"/>
      <c r="AA170" s="118"/>
      <c r="AB170" s="118"/>
      <c r="AD170" s="165" t="s">
        <v>526</v>
      </c>
      <c r="AE170" s="165" t="s">
        <v>95</v>
      </c>
      <c r="AF170" s="165" t="s">
        <v>515</v>
      </c>
      <c r="AG170" s="166" t="s">
        <v>52</v>
      </c>
      <c r="AH170" s="167">
        <v>5.77</v>
      </c>
      <c r="AI170" s="167">
        <v>2.56</v>
      </c>
      <c r="AJ170" s="167">
        <v>48</v>
      </c>
      <c r="AK170" s="167" t="s">
        <v>52</v>
      </c>
      <c r="AL170" s="167" t="s">
        <v>52</v>
      </c>
      <c r="AM170" s="167" t="s">
        <v>52</v>
      </c>
      <c r="AN170" s="167"/>
      <c r="AO170" s="167"/>
      <c r="AP170" s="167"/>
      <c r="AQ170" s="167"/>
      <c r="AR170" s="167"/>
      <c r="AS170" s="167"/>
    </row>
    <row r="171" spans="1:45" s="134" customFormat="1">
      <c r="A171" s="133"/>
      <c r="B171" s="117"/>
      <c r="C171" s="133"/>
      <c r="D171" s="133"/>
      <c r="E171" s="116"/>
      <c r="F171" s="116"/>
      <c r="G171" s="116"/>
      <c r="H171" s="278"/>
      <c r="I171" s="278"/>
      <c r="J171" s="112"/>
      <c r="M171" s="135"/>
      <c r="N171" s="155"/>
      <c r="O171" s="135"/>
      <c r="P171" s="135"/>
      <c r="Q171" s="135"/>
      <c r="R171" s="155"/>
      <c r="S171" s="135"/>
      <c r="U171" s="136"/>
      <c r="Z171" s="118"/>
      <c r="AA171" s="118"/>
      <c r="AB171" s="118"/>
      <c r="AD171" s="165" t="s">
        <v>527</v>
      </c>
      <c r="AE171" s="165" t="s">
        <v>95</v>
      </c>
      <c r="AF171" s="165" t="s">
        <v>515</v>
      </c>
      <c r="AG171" s="166" t="s">
        <v>52</v>
      </c>
      <c r="AH171" s="167">
        <v>2.87</v>
      </c>
      <c r="AI171" s="167">
        <v>1.2</v>
      </c>
      <c r="AJ171" s="167">
        <v>48</v>
      </c>
      <c r="AK171" s="167" t="s">
        <v>52</v>
      </c>
      <c r="AL171" s="167" t="s">
        <v>52</v>
      </c>
      <c r="AM171" s="167" t="s">
        <v>52</v>
      </c>
      <c r="AN171" s="167"/>
      <c r="AO171" s="167"/>
      <c r="AP171" s="167"/>
      <c r="AQ171" s="167"/>
      <c r="AR171" s="167"/>
      <c r="AS171" s="167"/>
    </row>
    <row r="172" spans="1:45" s="134" customFormat="1">
      <c r="A172" s="133"/>
      <c r="B172" s="117"/>
      <c r="C172" s="133"/>
      <c r="D172" s="133"/>
      <c r="E172" s="116"/>
      <c r="F172" s="116"/>
      <c r="G172" s="116"/>
      <c r="H172" s="278"/>
      <c r="I172" s="278"/>
      <c r="J172" s="112" t="s">
        <v>706</v>
      </c>
      <c r="K172" s="134" t="s">
        <v>653</v>
      </c>
      <c r="L172" s="134">
        <v>3</v>
      </c>
      <c r="M172" s="135">
        <v>8.5</v>
      </c>
      <c r="N172" s="155">
        <v>1</v>
      </c>
      <c r="O172" s="135" t="s">
        <v>52</v>
      </c>
      <c r="P172" s="135" t="s">
        <v>52</v>
      </c>
      <c r="Q172" s="135" t="s">
        <v>52</v>
      </c>
      <c r="R172" s="155">
        <v>0.5</v>
      </c>
      <c r="S172" s="135">
        <f t="shared" si="13"/>
        <v>0.78</v>
      </c>
      <c r="T172" s="134" t="s">
        <v>92</v>
      </c>
      <c r="U172" s="136" t="s">
        <v>529</v>
      </c>
      <c r="V172" s="134" t="s">
        <v>466</v>
      </c>
      <c r="W172" s="134" t="s">
        <v>153</v>
      </c>
      <c r="X172" s="134" t="s">
        <v>78</v>
      </c>
      <c r="Y172" s="134" t="s">
        <v>58</v>
      </c>
      <c r="Z172" s="134" t="s">
        <v>78</v>
      </c>
      <c r="AA172" s="134" t="s">
        <v>78</v>
      </c>
      <c r="AB172" s="134" t="s">
        <v>78</v>
      </c>
      <c r="AC172" s="134" t="s">
        <v>78</v>
      </c>
      <c r="AD172" s="134" t="s">
        <v>652</v>
      </c>
      <c r="AE172" s="134" t="s">
        <v>95</v>
      </c>
      <c r="AF172" s="110" t="s">
        <v>515</v>
      </c>
      <c r="AG172" s="134" t="s">
        <v>52</v>
      </c>
      <c r="AH172" s="134" t="s">
        <v>52</v>
      </c>
      <c r="AI172" s="134" t="s">
        <v>52</v>
      </c>
      <c r="AJ172" s="134" t="s">
        <v>52</v>
      </c>
      <c r="AK172" s="134">
        <v>13.73</v>
      </c>
      <c r="AL172" s="134">
        <v>2.4500000000000002</v>
      </c>
      <c r="AM172" s="134">
        <v>42</v>
      </c>
    </row>
    <row r="173" spans="1:45" s="134" customFormat="1">
      <c r="A173" s="133"/>
      <c r="B173" s="117"/>
      <c r="C173" s="133"/>
      <c r="D173" s="133"/>
      <c r="E173" s="116"/>
      <c r="F173" s="116"/>
      <c r="G173" s="116"/>
      <c r="H173" s="278"/>
      <c r="I173" s="278"/>
      <c r="J173" s="112"/>
      <c r="M173" s="135"/>
      <c r="N173" s="155"/>
      <c r="O173" s="135"/>
      <c r="P173" s="135"/>
      <c r="Q173" s="135"/>
      <c r="R173" s="155"/>
      <c r="S173" s="135"/>
      <c r="U173" s="136"/>
      <c r="AD173" s="134" t="s">
        <v>655</v>
      </c>
      <c r="AE173" s="134" t="s">
        <v>95</v>
      </c>
      <c r="AF173" s="110" t="s">
        <v>515</v>
      </c>
      <c r="AG173" s="134" t="s">
        <v>52</v>
      </c>
      <c r="AH173" s="134" t="s">
        <v>52</v>
      </c>
      <c r="AI173" s="134" t="s">
        <v>52</v>
      </c>
      <c r="AJ173" s="134" t="s">
        <v>52</v>
      </c>
      <c r="AK173" s="134">
        <v>6.46</v>
      </c>
      <c r="AL173" s="134">
        <v>1.41</v>
      </c>
      <c r="AM173" s="134">
        <v>42</v>
      </c>
    </row>
    <row r="174" spans="1:45" s="134" customFormat="1">
      <c r="A174" s="133"/>
      <c r="B174" s="117"/>
      <c r="C174" s="133"/>
      <c r="D174" s="133"/>
      <c r="E174" s="116"/>
      <c r="F174" s="116"/>
      <c r="G174" s="116"/>
      <c r="H174" s="278"/>
      <c r="I174" s="278"/>
      <c r="J174" s="112"/>
      <c r="M174" s="135"/>
      <c r="N174" s="155"/>
      <c r="O174" s="135"/>
      <c r="P174" s="135"/>
      <c r="Q174" s="135"/>
      <c r="R174" s="155"/>
      <c r="S174" s="135"/>
      <c r="U174" s="136"/>
      <c r="AD174" s="134" t="s">
        <v>656</v>
      </c>
      <c r="AE174" s="134" t="s">
        <v>95</v>
      </c>
      <c r="AF174" s="110" t="s">
        <v>515</v>
      </c>
      <c r="AG174" s="134" t="s">
        <v>52</v>
      </c>
      <c r="AH174" s="134" t="s">
        <v>52</v>
      </c>
      <c r="AI174" s="134" t="s">
        <v>52</v>
      </c>
      <c r="AJ174" s="134" t="s">
        <v>52</v>
      </c>
      <c r="AK174" s="134">
        <v>7.02</v>
      </c>
      <c r="AL174" s="134">
        <v>1.87</v>
      </c>
      <c r="AM174" s="134">
        <v>42</v>
      </c>
    </row>
    <row r="175" spans="1:45" s="134" customFormat="1">
      <c r="A175" s="133"/>
      <c r="B175" s="117"/>
      <c r="C175" s="133"/>
      <c r="D175" s="133"/>
      <c r="E175" s="116"/>
      <c r="F175" s="116"/>
      <c r="G175" s="116"/>
      <c r="H175" s="278"/>
      <c r="I175" s="278"/>
      <c r="J175" s="112"/>
      <c r="M175" s="135"/>
      <c r="N175" s="155"/>
      <c r="O175" s="135"/>
      <c r="P175" s="135"/>
      <c r="Q175" s="135"/>
      <c r="R175" s="155"/>
      <c r="S175" s="135"/>
      <c r="U175" s="136"/>
      <c r="AD175" s="165" t="s">
        <v>526</v>
      </c>
      <c r="AE175" s="165" t="s">
        <v>95</v>
      </c>
      <c r="AF175" s="165" t="s">
        <v>515</v>
      </c>
      <c r="AG175" s="166" t="s">
        <v>52</v>
      </c>
      <c r="AH175" s="167">
        <v>6.51</v>
      </c>
      <c r="AI175" s="167">
        <v>2.6</v>
      </c>
      <c r="AJ175" s="167">
        <v>42</v>
      </c>
      <c r="AK175" s="167" t="s">
        <v>52</v>
      </c>
      <c r="AL175" s="167" t="s">
        <v>52</v>
      </c>
      <c r="AM175" s="167" t="s">
        <v>52</v>
      </c>
      <c r="AN175" s="167"/>
      <c r="AO175" s="167"/>
      <c r="AP175" s="167"/>
      <c r="AQ175" s="167"/>
      <c r="AR175" s="167"/>
      <c r="AS175" s="167"/>
    </row>
    <row r="176" spans="1:45" s="134" customFormat="1">
      <c r="A176" s="133"/>
      <c r="B176" s="117"/>
      <c r="C176" s="133"/>
      <c r="D176" s="133"/>
      <c r="E176" s="116"/>
      <c r="F176" s="116"/>
      <c r="G176" s="116"/>
      <c r="H176" s="278"/>
      <c r="I176" s="278"/>
      <c r="J176" s="112"/>
      <c r="M176" s="135"/>
      <c r="N176" s="155"/>
      <c r="O176" s="135"/>
      <c r="P176" s="135"/>
      <c r="Q176" s="135"/>
      <c r="R176" s="155"/>
      <c r="S176" s="135"/>
      <c r="U176" s="136"/>
      <c r="AD176" s="165" t="s">
        <v>527</v>
      </c>
      <c r="AE176" s="165" t="s">
        <v>95</v>
      </c>
      <c r="AF176" s="165" t="s">
        <v>515</v>
      </c>
      <c r="AG176" s="166" t="s">
        <v>52</v>
      </c>
      <c r="AH176" s="167">
        <v>3.23</v>
      </c>
      <c r="AI176" s="167">
        <v>1.49</v>
      </c>
      <c r="AJ176" s="167">
        <v>42</v>
      </c>
      <c r="AK176" s="167" t="s">
        <v>52</v>
      </c>
      <c r="AL176" s="167" t="s">
        <v>52</v>
      </c>
      <c r="AM176" s="167" t="s">
        <v>52</v>
      </c>
      <c r="AN176" s="167"/>
      <c r="AO176" s="167"/>
      <c r="AP176" s="167"/>
      <c r="AQ176" s="167"/>
      <c r="AR176" s="167"/>
      <c r="AS176" s="167"/>
    </row>
    <row r="177" spans="1:45" s="134" customFormat="1">
      <c r="A177" s="133"/>
      <c r="B177" s="117"/>
      <c r="C177" s="133"/>
      <c r="D177" s="133"/>
      <c r="E177" s="116"/>
      <c r="F177" s="116"/>
      <c r="G177" s="116"/>
      <c r="H177" s="278"/>
      <c r="I177" s="278"/>
      <c r="J177" s="112" t="s">
        <v>706</v>
      </c>
      <c r="K177" s="134" t="s">
        <v>531</v>
      </c>
      <c r="L177" s="134">
        <v>5</v>
      </c>
      <c r="M177" s="135">
        <v>10.5</v>
      </c>
      <c r="N177" s="155">
        <v>1</v>
      </c>
      <c r="O177" s="135" t="s">
        <v>52</v>
      </c>
      <c r="P177" s="135" t="s">
        <v>52</v>
      </c>
      <c r="Q177" s="135" t="s">
        <v>52</v>
      </c>
      <c r="R177" s="155">
        <v>0.5</v>
      </c>
      <c r="S177" s="135">
        <f t="shared" si="13"/>
        <v>0.78</v>
      </c>
      <c r="T177" s="134" t="s">
        <v>92</v>
      </c>
      <c r="U177" s="136" t="s">
        <v>521</v>
      </c>
      <c r="V177" s="134" t="s">
        <v>458</v>
      </c>
      <c r="W177" s="134" t="s">
        <v>153</v>
      </c>
      <c r="X177" s="60" t="s">
        <v>459</v>
      </c>
      <c r="Y177" s="134" t="s">
        <v>58</v>
      </c>
      <c r="Z177" s="165">
        <v>7650</v>
      </c>
      <c r="AA177" s="165">
        <v>85</v>
      </c>
      <c r="AB177" s="165">
        <v>90</v>
      </c>
      <c r="AC177" s="134" t="s">
        <v>59</v>
      </c>
      <c r="AD177" s="134" t="s">
        <v>652</v>
      </c>
      <c r="AE177" s="134" t="s">
        <v>95</v>
      </c>
      <c r="AF177" s="110" t="s">
        <v>515</v>
      </c>
      <c r="AG177" s="134" t="s">
        <v>52</v>
      </c>
      <c r="AH177" s="134" t="s">
        <v>52</v>
      </c>
      <c r="AI177" s="134" t="s">
        <v>52</v>
      </c>
      <c r="AJ177" s="134" t="s">
        <v>52</v>
      </c>
      <c r="AK177" s="134">
        <v>14.61</v>
      </c>
      <c r="AL177" s="134">
        <v>2.67</v>
      </c>
      <c r="AM177" s="134">
        <v>40</v>
      </c>
    </row>
    <row r="178" spans="1:45" s="134" customFormat="1">
      <c r="A178" s="133"/>
      <c r="B178" s="117"/>
      <c r="C178" s="133"/>
      <c r="D178" s="133"/>
      <c r="E178" s="116"/>
      <c r="F178" s="116"/>
      <c r="G178" s="116"/>
      <c r="H178" s="278"/>
      <c r="I178" s="278"/>
      <c r="J178" s="112"/>
      <c r="M178" s="135"/>
      <c r="N178" s="155"/>
      <c r="O178" s="135"/>
      <c r="P178" s="135"/>
      <c r="Q178" s="135"/>
      <c r="R178" s="155"/>
      <c r="S178" s="135"/>
      <c r="U178" s="136"/>
      <c r="Z178" s="118"/>
      <c r="AA178" s="118"/>
      <c r="AB178" s="118"/>
      <c r="AD178" s="134" t="s">
        <v>655</v>
      </c>
      <c r="AE178" s="134" t="s">
        <v>95</v>
      </c>
      <c r="AF178" s="110" t="s">
        <v>515</v>
      </c>
      <c r="AG178" s="134" t="s">
        <v>52</v>
      </c>
      <c r="AH178" s="134" t="s">
        <v>52</v>
      </c>
      <c r="AI178" s="134" t="s">
        <v>52</v>
      </c>
      <c r="AJ178" s="134" t="s">
        <v>52</v>
      </c>
      <c r="AK178" s="134">
        <v>5.9</v>
      </c>
      <c r="AL178" s="134">
        <v>1.61</v>
      </c>
      <c r="AM178" s="134">
        <v>40</v>
      </c>
    </row>
    <row r="179" spans="1:45" s="134" customFormat="1">
      <c r="A179" s="133"/>
      <c r="B179" s="117"/>
      <c r="C179" s="133"/>
      <c r="D179" s="133"/>
      <c r="E179" s="116"/>
      <c r="F179" s="116"/>
      <c r="G179" s="116"/>
      <c r="H179" s="278"/>
      <c r="I179" s="278"/>
      <c r="J179" s="112"/>
      <c r="M179" s="135"/>
      <c r="N179" s="155"/>
      <c r="O179" s="135"/>
      <c r="P179" s="135"/>
      <c r="Q179" s="135"/>
      <c r="R179" s="155"/>
      <c r="S179" s="135"/>
      <c r="U179" s="136"/>
      <c r="Z179" s="118"/>
      <c r="AA179" s="118"/>
      <c r="AB179" s="118"/>
      <c r="AD179" s="134" t="s">
        <v>656</v>
      </c>
      <c r="AE179" s="134" t="s">
        <v>95</v>
      </c>
      <c r="AF179" s="110" t="s">
        <v>515</v>
      </c>
      <c r="AG179" s="134" t="s">
        <v>52</v>
      </c>
      <c r="AH179" s="134" t="s">
        <v>52</v>
      </c>
      <c r="AI179" s="134" t="s">
        <v>52</v>
      </c>
      <c r="AJ179" s="134" t="s">
        <v>52</v>
      </c>
      <c r="AK179" s="134">
        <v>8.7100000000000009</v>
      </c>
      <c r="AL179" s="134">
        <v>1.47</v>
      </c>
      <c r="AM179" s="134">
        <v>40</v>
      </c>
    </row>
    <row r="180" spans="1:45" s="134" customFormat="1">
      <c r="A180" s="133"/>
      <c r="B180" s="117"/>
      <c r="C180" s="133"/>
      <c r="D180" s="133"/>
      <c r="E180" s="116"/>
      <c r="F180" s="116"/>
      <c r="G180" s="116"/>
      <c r="H180" s="278"/>
      <c r="I180" s="278"/>
      <c r="J180" s="112"/>
      <c r="M180" s="135"/>
      <c r="N180" s="155"/>
      <c r="O180" s="135"/>
      <c r="P180" s="135"/>
      <c r="Q180" s="135"/>
      <c r="R180" s="155"/>
      <c r="S180" s="135"/>
      <c r="U180" s="136"/>
      <c r="Z180" s="118"/>
      <c r="AA180" s="118"/>
      <c r="AB180" s="118"/>
      <c r="AD180" s="165" t="s">
        <v>526</v>
      </c>
      <c r="AE180" s="165" t="s">
        <v>95</v>
      </c>
      <c r="AF180" s="165" t="s">
        <v>515</v>
      </c>
      <c r="AG180" s="166" t="s">
        <v>52</v>
      </c>
      <c r="AH180" s="167">
        <v>7.06</v>
      </c>
      <c r="AI180" s="167">
        <v>2.56</v>
      </c>
      <c r="AJ180" s="167">
        <v>40</v>
      </c>
      <c r="AK180" s="167" t="s">
        <v>52</v>
      </c>
      <c r="AL180" s="167" t="s">
        <v>52</v>
      </c>
      <c r="AM180" s="167" t="s">
        <v>52</v>
      </c>
      <c r="AN180" s="167"/>
      <c r="AO180" s="167"/>
      <c r="AP180" s="167"/>
      <c r="AQ180" s="167"/>
      <c r="AR180" s="167"/>
      <c r="AS180" s="167"/>
    </row>
    <row r="181" spans="1:45" s="134" customFormat="1">
      <c r="A181" s="133"/>
      <c r="B181" s="117"/>
      <c r="C181" s="133"/>
      <c r="D181" s="133"/>
      <c r="E181" s="116"/>
      <c r="F181" s="116"/>
      <c r="G181" s="116"/>
      <c r="H181" s="278"/>
      <c r="I181" s="278"/>
      <c r="J181" s="112"/>
      <c r="M181" s="135"/>
      <c r="N181" s="155"/>
      <c r="O181" s="135"/>
      <c r="P181" s="135"/>
      <c r="Q181" s="135"/>
      <c r="R181" s="155"/>
      <c r="S181" s="135"/>
      <c r="U181" s="136"/>
      <c r="Z181" s="118"/>
      <c r="AA181" s="118"/>
      <c r="AB181" s="118"/>
      <c r="AD181" s="165" t="s">
        <v>527</v>
      </c>
      <c r="AE181" s="165" t="s">
        <v>95</v>
      </c>
      <c r="AF181" s="165" t="s">
        <v>515</v>
      </c>
      <c r="AG181" s="166" t="s">
        <v>52</v>
      </c>
      <c r="AH181" s="167">
        <v>3.31</v>
      </c>
      <c r="AI181" s="167">
        <v>1.49</v>
      </c>
      <c r="AJ181" s="167">
        <v>40</v>
      </c>
      <c r="AK181" s="167" t="s">
        <v>52</v>
      </c>
      <c r="AL181" s="167" t="s">
        <v>52</v>
      </c>
      <c r="AM181" s="167" t="s">
        <v>52</v>
      </c>
      <c r="AN181" s="167"/>
      <c r="AO181" s="167"/>
      <c r="AP181" s="167"/>
      <c r="AQ181" s="167"/>
      <c r="AR181" s="167"/>
      <c r="AS181" s="167"/>
    </row>
    <row r="182" spans="1:45" s="134" customFormat="1">
      <c r="A182" s="133"/>
      <c r="B182" s="117"/>
      <c r="C182" s="133"/>
      <c r="D182" s="133"/>
      <c r="E182" s="116"/>
      <c r="F182" s="116"/>
      <c r="G182" s="116"/>
      <c r="H182" s="278"/>
      <c r="I182" s="278"/>
      <c r="J182" s="112" t="s">
        <v>707</v>
      </c>
      <c r="K182" s="134" t="s">
        <v>654</v>
      </c>
      <c r="L182" s="134">
        <v>5</v>
      </c>
      <c r="M182" s="135">
        <v>10.5</v>
      </c>
      <c r="N182" s="155">
        <v>1</v>
      </c>
      <c r="O182" s="135" t="s">
        <v>52</v>
      </c>
      <c r="P182" s="135" t="s">
        <v>52</v>
      </c>
      <c r="Q182" s="135" t="s">
        <v>52</v>
      </c>
      <c r="R182" s="155">
        <v>0.5</v>
      </c>
      <c r="S182" s="135">
        <f t="shared" si="13"/>
        <v>0.78</v>
      </c>
      <c r="T182" s="134" t="s">
        <v>92</v>
      </c>
      <c r="U182" s="136" t="s">
        <v>529</v>
      </c>
      <c r="V182" s="134" t="s">
        <v>466</v>
      </c>
      <c r="W182" s="134" t="s">
        <v>153</v>
      </c>
      <c r="X182" s="134" t="s">
        <v>78</v>
      </c>
      <c r="Y182" s="134" t="s">
        <v>58</v>
      </c>
      <c r="Z182" s="134" t="s">
        <v>78</v>
      </c>
      <c r="AA182" s="134" t="s">
        <v>78</v>
      </c>
      <c r="AB182" s="134" t="s">
        <v>78</v>
      </c>
      <c r="AC182" s="134" t="s">
        <v>78</v>
      </c>
      <c r="AD182" s="134" t="s">
        <v>652</v>
      </c>
      <c r="AE182" s="134" t="s">
        <v>95</v>
      </c>
      <c r="AF182" s="110" t="s">
        <v>515</v>
      </c>
      <c r="AG182" s="134" t="s">
        <v>52</v>
      </c>
      <c r="AH182" s="134" t="s">
        <v>52</v>
      </c>
      <c r="AI182" s="134" t="s">
        <v>52</v>
      </c>
      <c r="AJ182" s="134" t="s">
        <v>52</v>
      </c>
      <c r="AK182" s="134">
        <v>13.61</v>
      </c>
      <c r="AL182" s="134">
        <v>1.98</v>
      </c>
      <c r="AM182" s="134">
        <v>42</v>
      </c>
    </row>
    <row r="183" spans="1:45" s="134" customFormat="1">
      <c r="A183" s="133"/>
      <c r="B183" s="117"/>
      <c r="C183" s="133"/>
      <c r="D183" s="133"/>
      <c r="E183" s="116"/>
      <c r="F183" s="116"/>
      <c r="G183" s="116"/>
      <c r="H183" s="278"/>
      <c r="I183" s="278"/>
      <c r="J183" s="112"/>
      <c r="M183" s="135"/>
      <c r="N183" s="155"/>
      <c r="O183" s="135"/>
      <c r="P183" s="135"/>
      <c r="Q183" s="135"/>
      <c r="R183" s="155"/>
      <c r="S183" s="135"/>
      <c r="U183" s="136"/>
      <c r="AD183" s="134" t="s">
        <v>655</v>
      </c>
      <c r="AE183" s="134" t="s">
        <v>95</v>
      </c>
      <c r="AF183" s="110" t="s">
        <v>515</v>
      </c>
      <c r="AG183" s="134" t="s">
        <v>52</v>
      </c>
      <c r="AH183" s="134" t="s">
        <v>52</v>
      </c>
      <c r="AI183" s="134" t="s">
        <v>52</v>
      </c>
      <c r="AJ183" s="134" t="s">
        <v>52</v>
      </c>
      <c r="AK183" s="134">
        <v>4.67</v>
      </c>
      <c r="AL183" s="134">
        <v>1.44</v>
      </c>
      <c r="AM183" s="134">
        <v>42</v>
      </c>
    </row>
    <row r="184" spans="1:45" s="134" customFormat="1">
      <c r="A184" s="133"/>
      <c r="B184" s="117"/>
      <c r="C184" s="133"/>
      <c r="D184" s="116"/>
      <c r="E184" s="116"/>
      <c r="F184" s="116"/>
      <c r="G184" s="116"/>
      <c r="H184" s="278"/>
      <c r="I184" s="278"/>
      <c r="J184" s="112"/>
      <c r="M184" s="135"/>
      <c r="N184" s="155"/>
      <c r="O184" s="135"/>
      <c r="P184" s="135"/>
      <c r="Q184" s="135"/>
      <c r="R184" s="155"/>
      <c r="S184" s="135"/>
      <c r="U184" s="136"/>
      <c r="AD184" s="134" t="s">
        <v>656</v>
      </c>
      <c r="AE184" s="134" t="s">
        <v>95</v>
      </c>
      <c r="AF184" s="110" t="s">
        <v>515</v>
      </c>
      <c r="AG184" s="134" t="s">
        <v>52</v>
      </c>
      <c r="AH184" s="134" t="s">
        <v>52</v>
      </c>
      <c r="AI184" s="134" t="s">
        <v>52</v>
      </c>
      <c r="AJ184" s="134" t="s">
        <v>52</v>
      </c>
      <c r="AK184" s="134">
        <v>8.65</v>
      </c>
      <c r="AL184" s="134">
        <v>1.51</v>
      </c>
      <c r="AM184" s="134">
        <v>42</v>
      </c>
    </row>
    <row r="185" spans="1:45" s="134" customFormat="1">
      <c r="A185" s="133"/>
      <c r="B185" s="117"/>
      <c r="C185" s="133"/>
      <c r="D185" s="116"/>
      <c r="E185" s="116"/>
      <c r="F185" s="116"/>
      <c r="G185" s="116"/>
      <c r="H185" s="278"/>
      <c r="I185" s="278"/>
      <c r="J185" s="112"/>
      <c r="M185" s="135"/>
      <c r="N185" s="155"/>
      <c r="O185" s="135"/>
      <c r="P185" s="135"/>
      <c r="Q185" s="135"/>
      <c r="R185" s="155"/>
      <c r="S185" s="135"/>
      <c r="U185" s="136"/>
      <c r="AD185" s="165" t="s">
        <v>526</v>
      </c>
      <c r="AE185" s="165" t="s">
        <v>95</v>
      </c>
      <c r="AF185" s="165" t="s">
        <v>515</v>
      </c>
      <c r="AG185" s="166" t="s">
        <v>52</v>
      </c>
      <c r="AH185" s="167">
        <v>6.65</v>
      </c>
      <c r="AI185" s="167">
        <v>1.87</v>
      </c>
      <c r="AJ185" s="167">
        <v>42</v>
      </c>
      <c r="AK185" s="167" t="s">
        <v>52</v>
      </c>
      <c r="AL185" s="167" t="s">
        <v>52</v>
      </c>
      <c r="AM185" s="167" t="s">
        <v>52</v>
      </c>
      <c r="AN185" s="167"/>
      <c r="AO185" s="167"/>
      <c r="AP185" s="167"/>
      <c r="AQ185" s="167"/>
      <c r="AR185" s="167"/>
      <c r="AS185" s="167"/>
    </row>
    <row r="186" spans="1:45" s="138" customFormat="1">
      <c r="A186" s="137"/>
      <c r="B186" s="123"/>
      <c r="C186" s="137"/>
      <c r="D186" s="122"/>
      <c r="E186" s="122"/>
      <c r="F186" s="122"/>
      <c r="G186" s="122"/>
      <c r="H186" s="279"/>
      <c r="I186" s="279"/>
      <c r="J186" s="113"/>
      <c r="M186" s="139"/>
      <c r="N186" s="156"/>
      <c r="O186" s="139"/>
      <c r="P186" s="139"/>
      <c r="Q186" s="139"/>
      <c r="R186" s="156"/>
      <c r="S186" s="139"/>
      <c r="U186" s="140"/>
      <c r="AD186" s="168" t="s">
        <v>527</v>
      </c>
      <c r="AE186" s="168" t="s">
        <v>95</v>
      </c>
      <c r="AF186" s="165" t="s">
        <v>515</v>
      </c>
      <c r="AG186" s="169" t="s">
        <v>52</v>
      </c>
      <c r="AH186" s="170">
        <v>3.35</v>
      </c>
      <c r="AI186" s="170">
        <v>0.89</v>
      </c>
      <c r="AJ186" s="170">
        <v>42</v>
      </c>
      <c r="AK186" s="170" t="s">
        <v>52</v>
      </c>
      <c r="AL186" s="170" t="s">
        <v>52</v>
      </c>
      <c r="AM186" s="170" t="s">
        <v>52</v>
      </c>
      <c r="AN186" s="170"/>
      <c r="AO186" s="170"/>
      <c r="AP186" s="170"/>
      <c r="AQ186" s="170"/>
      <c r="AR186" s="170"/>
      <c r="AS186" s="170"/>
    </row>
    <row r="187" spans="1:45" s="134" customFormat="1">
      <c r="A187" s="129" t="s">
        <v>534</v>
      </c>
      <c r="B187" s="130">
        <v>330</v>
      </c>
      <c r="C187" s="129" t="s">
        <v>245</v>
      </c>
      <c r="D187" s="88" t="s">
        <v>535</v>
      </c>
      <c r="E187" s="88" t="s">
        <v>66</v>
      </c>
      <c r="F187" s="88" t="s">
        <v>49</v>
      </c>
      <c r="G187" s="88" t="s">
        <v>50</v>
      </c>
      <c r="H187" s="280"/>
      <c r="I187" s="280"/>
      <c r="J187" s="112">
        <v>1</v>
      </c>
      <c r="K187" s="134" t="s">
        <v>657</v>
      </c>
      <c r="L187" s="110">
        <v>7</v>
      </c>
      <c r="M187" s="109">
        <v>13.5833333333333</v>
      </c>
      <c r="N187" s="135" t="s">
        <v>52</v>
      </c>
      <c r="O187" s="135" t="s">
        <v>52</v>
      </c>
      <c r="P187" s="135">
        <f>AVERAGE(0.7, 0.9)</f>
        <v>0.8</v>
      </c>
      <c r="Q187" s="135" t="s">
        <v>52</v>
      </c>
      <c r="R187" s="135">
        <f>12/40</f>
        <v>0.3</v>
      </c>
      <c r="S187" s="135" t="s">
        <v>52</v>
      </c>
      <c r="T187" s="134" t="s">
        <v>92</v>
      </c>
      <c r="U187" s="136" t="s">
        <v>536</v>
      </c>
      <c r="V187" s="134" t="s">
        <v>458</v>
      </c>
      <c r="W187" s="134" t="s">
        <v>153</v>
      </c>
      <c r="X187" s="60" t="s">
        <v>459</v>
      </c>
      <c r="Y187" s="134" t="s">
        <v>72</v>
      </c>
      <c r="Z187" s="134">
        <f>AA187*AB187</f>
        <v>405</v>
      </c>
      <c r="AA187" s="134">
        <f>AVERAGE(8, 10)</f>
        <v>9</v>
      </c>
      <c r="AB187" s="134">
        <v>45</v>
      </c>
      <c r="AC187" s="134" t="s">
        <v>59</v>
      </c>
      <c r="AD187" s="134" t="s">
        <v>537</v>
      </c>
      <c r="AE187" s="138" t="s">
        <v>61</v>
      </c>
      <c r="AF187" s="134" t="s">
        <v>538</v>
      </c>
      <c r="AG187" s="134" t="s">
        <v>539</v>
      </c>
      <c r="AH187" s="134">
        <v>12.73</v>
      </c>
      <c r="AI187" s="134">
        <v>4.38</v>
      </c>
      <c r="AJ187" s="134">
        <v>40</v>
      </c>
      <c r="AK187" s="134">
        <v>13.77</v>
      </c>
      <c r="AL187" s="134">
        <v>4.9400000000000004</v>
      </c>
      <c r="AM187" s="134">
        <v>40</v>
      </c>
    </row>
    <row r="188" spans="1:45" s="138" customFormat="1">
      <c r="A188" s="137"/>
      <c r="B188" s="123"/>
      <c r="C188" s="137"/>
      <c r="D188" s="122"/>
      <c r="E188" s="122"/>
      <c r="F188" s="122"/>
      <c r="G188" s="122"/>
      <c r="H188" s="279"/>
      <c r="I188" s="279"/>
      <c r="J188" s="113">
        <v>2</v>
      </c>
      <c r="K188" s="138" t="s">
        <v>126</v>
      </c>
      <c r="L188" s="111">
        <v>7</v>
      </c>
      <c r="M188" s="179">
        <v>13.5</v>
      </c>
      <c r="N188" s="139" t="s">
        <v>52</v>
      </c>
      <c r="O188" s="139" t="s">
        <v>52</v>
      </c>
      <c r="P188" s="139">
        <f>AVERAGE(0.7, 0.9)</f>
        <v>0.8</v>
      </c>
      <c r="Q188" s="139" t="s">
        <v>52</v>
      </c>
      <c r="R188" s="139">
        <f>12/50</f>
        <v>0.24</v>
      </c>
      <c r="S188" s="139" t="s">
        <v>52</v>
      </c>
      <c r="T188" s="138" t="s">
        <v>78</v>
      </c>
      <c r="U188" s="140" t="s">
        <v>541</v>
      </c>
      <c r="V188" s="138" t="s">
        <v>80</v>
      </c>
      <c r="W188" s="138" t="s">
        <v>78</v>
      </c>
      <c r="X188" s="63" t="s">
        <v>78</v>
      </c>
      <c r="Y188" s="138" t="s">
        <v>78</v>
      </c>
      <c r="Z188" s="138" t="s">
        <v>78</v>
      </c>
      <c r="AA188" s="138" t="s">
        <v>78</v>
      </c>
      <c r="AB188" s="138" t="s">
        <v>78</v>
      </c>
      <c r="AC188" s="138" t="s">
        <v>78</v>
      </c>
      <c r="AD188" s="138" t="s">
        <v>537</v>
      </c>
      <c r="AE188" s="138" t="s">
        <v>61</v>
      </c>
      <c r="AF188" s="138" t="s">
        <v>538</v>
      </c>
      <c r="AG188" s="138" t="s">
        <v>539</v>
      </c>
      <c r="AH188" s="138">
        <v>13.14</v>
      </c>
      <c r="AI188" s="138">
        <v>4.5199999999999996</v>
      </c>
      <c r="AJ188" s="138">
        <v>50</v>
      </c>
      <c r="AK188" s="138">
        <v>11.96</v>
      </c>
      <c r="AL188" s="138">
        <v>5.32</v>
      </c>
      <c r="AM188" s="138">
        <v>50</v>
      </c>
    </row>
    <row r="189" spans="1:45" s="60" customFormat="1" ht="19" customHeight="1">
      <c r="A189" s="116" t="s">
        <v>709</v>
      </c>
      <c r="B189" s="117">
        <v>331</v>
      </c>
      <c r="C189" s="116" t="s">
        <v>47</v>
      </c>
      <c r="D189" s="88" t="s">
        <v>454</v>
      </c>
      <c r="E189" s="88" t="s">
        <v>66</v>
      </c>
      <c r="F189" s="88" t="s">
        <v>49</v>
      </c>
      <c r="G189" s="88" t="s">
        <v>50</v>
      </c>
      <c r="H189" s="280"/>
      <c r="I189" s="280"/>
      <c r="J189" s="11">
        <v>1</v>
      </c>
      <c r="K189" s="1" t="s">
        <v>714</v>
      </c>
      <c r="L189" s="60" t="s">
        <v>68</v>
      </c>
      <c r="M189" s="90">
        <v>11.2</v>
      </c>
      <c r="N189" s="90">
        <v>1</v>
      </c>
      <c r="O189" s="90" t="s">
        <v>52</v>
      </c>
      <c r="P189" s="90">
        <v>0.85</v>
      </c>
      <c r="Q189" s="90">
        <v>0.25</v>
      </c>
      <c r="R189" s="90">
        <f>21/40</f>
        <v>0.52500000000000002</v>
      </c>
      <c r="S189" s="90">
        <f>1-0.26</f>
        <v>0.74</v>
      </c>
      <c r="T189" s="60" t="s">
        <v>92</v>
      </c>
      <c r="U189" s="181" t="s">
        <v>715</v>
      </c>
      <c r="V189" s="60" t="s">
        <v>458</v>
      </c>
      <c r="W189" s="60" t="s">
        <v>56</v>
      </c>
      <c r="X189" s="60" t="s">
        <v>57</v>
      </c>
      <c r="Y189" s="60" t="s">
        <v>72</v>
      </c>
      <c r="Z189" s="60">
        <f t="shared" ref="Z189:Z195" si="14">15*35</f>
        <v>525</v>
      </c>
      <c r="AA189" s="60">
        <v>15</v>
      </c>
      <c r="AB189" s="60">
        <v>35</v>
      </c>
      <c r="AC189" s="60" t="s">
        <v>59</v>
      </c>
      <c r="AD189" s="60" t="s">
        <v>544</v>
      </c>
      <c r="AE189" s="134" t="s">
        <v>95</v>
      </c>
      <c r="AF189" s="60" t="s">
        <v>515</v>
      </c>
      <c r="AG189" s="152" t="s">
        <v>545</v>
      </c>
      <c r="AH189" s="120">
        <v>4.5</v>
      </c>
      <c r="AI189" s="120">
        <v>2.7</v>
      </c>
      <c r="AJ189" s="120">
        <v>10</v>
      </c>
      <c r="AK189" s="120">
        <v>6.3</v>
      </c>
      <c r="AL189" s="120">
        <v>3.1</v>
      </c>
      <c r="AM189" s="127">
        <v>10</v>
      </c>
      <c r="AN189" s="127"/>
      <c r="AO189" s="127"/>
      <c r="AP189" s="127"/>
      <c r="AQ189" s="127"/>
      <c r="AR189" s="127"/>
      <c r="AS189" s="127"/>
    </row>
    <row r="190" spans="1:45" s="60" customFormat="1" ht="19" customHeight="1">
      <c r="A190" s="116"/>
      <c r="B190" s="117"/>
      <c r="C190" s="116"/>
      <c r="D190" s="88"/>
      <c r="E190" s="88"/>
      <c r="F190" s="88"/>
      <c r="G190" s="88"/>
      <c r="H190" s="280"/>
      <c r="I190" s="280"/>
      <c r="J190" s="11">
        <v>2</v>
      </c>
      <c r="K190" s="1" t="s">
        <v>716</v>
      </c>
      <c r="L190" s="60" t="s">
        <v>68</v>
      </c>
      <c r="M190" s="90">
        <v>11.2</v>
      </c>
      <c r="N190" s="90">
        <v>1</v>
      </c>
      <c r="O190" s="90" t="s">
        <v>52</v>
      </c>
      <c r="P190" s="90">
        <v>0.85</v>
      </c>
      <c r="Q190" s="90">
        <v>0.25</v>
      </c>
      <c r="R190" s="90">
        <f>21/40</f>
        <v>0.52500000000000002</v>
      </c>
      <c r="S190" s="90">
        <f>1-0.26</f>
        <v>0.74</v>
      </c>
      <c r="T190" s="60" t="s">
        <v>92</v>
      </c>
      <c r="U190" s="181" t="s">
        <v>717</v>
      </c>
      <c r="V190" s="60" t="s">
        <v>458</v>
      </c>
      <c r="W190" s="60" t="s">
        <v>56</v>
      </c>
      <c r="X190" s="60" t="s">
        <v>57</v>
      </c>
      <c r="Y190" s="60" t="s">
        <v>72</v>
      </c>
      <c r="Z190" s="60">
        <f t="shared" si="14"/>
        <v>525</v>
      </c>
      <c r="AA190" s="60">
        <v>15</v>
      </c>
      <c r="AB190" s="60">
        <v>35</v>
      </c>
      <c r="AC190" s="60" t="s">
        <v>59</v>
      </c>
      <c r="AD190" s="60" t="s">
        <v>544</v>
      </c>
      <c r="AE190" s="134" t="s">
        <v>95</v>
      </c>
      <c r="AF190" s="60" t="s">
        <v>515</v>
      </c>
      <c r="AG190" s="152" t="s">
        <v>545</v>
      </c>
      <c r="AH190" s="120">
        <v>4.5</v>
      </c>
      <c r="AI190" s="120">
        <v>2.8</v>
      </c>
      <c r="AJ190" s="120">
        <v>10</v>
      </c>
      <c r="AK190" s="120">
        <v>6.2</v>
      </c>
      <c r="AL190" s="120">
        <v>4.9000000000000004</v>
      </c>
      <c r="AM190" s="127">
        <v>10</v>
      </c>
      <c r="AN190" s="127"/>
      <c r="AO190" s="127"/>
      <c r="AP190" s="127"/>
      <c r="AQ190" s="127"/>
      <c r="AR190" s="127"/>
      <c r="AS190" s="127"/>
    </row>
    <row r="191" spans="1:45" s="60" customFormat="1" ht="19" customHeight="1">
      <c r="A191" s="116"/>
      <c r="B191" s="117"/>
      <c r="C191" s="116"/>
      <c r="D191" s="88"/>
      <c r="E191" s="88"/>
      <c r="F191" s="88"/>
      <c r="G191" s="88"/>
      <c r="H191" s="280"/>
      <c r="I191" s="280"/>
      <c r="J191" s="11">
        <v>3</v>
      </c>
      <c r="K191" s="1" t="s">
        <v>718</v>
      </c>
      <c r="L191" s="60" t="s">
        <v>68</v>
      </c>
      <c r="M191" s="90">
        <v>11.2</v>
      </c>
      <c r="N191" s="90">
        <v>1</v>
      </c>
      <c r="O191" s="90" t="s">
        <v>52</v>
      </c>
      <c r="P191" s="90">
        <v>0.85</v>
      </c>
      <c r="Q191" s="90">
        <v>0.25</v>
      </c>
      <c r="R191" s="90">
        <f>21/40</f>
        <v>0.52500000000000002</v>
      </c>
      <c r="S191" s="90">
        <f>1-0.26</f>
        <v>0.74</v>
      </c>
      <c r="T191" s="60" t="s">
        <v>92</v>
      </c>
      <c r="U191" s="181" t="s">
        <v>719</v>
      </c>
      <c r="V191" s="60" t="s">
        <v>458</v>
      </c>
      <c r="W191" s="60" t="s">
        <v>56</v>
      </c>
      <c r="X191" s="60" t="s">
        <v>57</v>
      </c>
      <c r="Y191" s="60" t="s">
        <v>72</v>
      </c>
      <c r="Z191" s="60">
        <f t="shared" si="14"/>
        <v>525</v>
      </c>
      <c r="AA191" s="60">
        <v>15</v>
      </c>
      <c r="AB191" s="60">
        <v>35</v>
      </c>
      <c r="AC191" s="60" t="s">
        <v>59</v>
      </c>
      <c r="AD191" s="60" t="s">
        <v>544</v>
      </c>
      <c r="AE191" s="134" t="s">
        <v>95</v>
      </c>
      <c r="AF191" s="60" t="s">
        <v>515</v>
      </c>
      <c r="AG191" s="152" t="s">
        <v>545</v>
      </c>
      <c r="AH191" s="120">
        <v>4.9000000000000004</v>
      </c>
      <c r="AI191" s="120">
        <v>1.9</v>
      </c>
      <c r="AJ191" s="120">
        <v>10</v>
      </c>
      <c r="AK191" s="120">
        <v>11.2</v>
      </c>
      <c r="AL191" s="120">
        <v>4.9000000000000004</v>
      </c>
      <c r="AM191" s="127">
        <v>10</v>
      </c>
      <c r="AN191" s="127"/>
      <c r="AO191" s="127"/>
      <c r="AP191" s="127"/>
      <c r="AQ191" s="127"/>
      <c r="AR191" s="127"/>
      <c r="AS191" s="127"/>
    </row>
    <row r="192" spans="1:45" s="63" customFormat="1" ht="19" customHeight="1">
      <c r="A192" s="122"/>
      <c r="B192" s="123"/>
      <c r="C192" s="122"/>
      <c r="D192" s="89"/>
      <c r="E192" s="89"/>
      <c r="F192" s="89"/>
      <c r="G192" s="89"/>
      <c r="H192" s="281"/>
      <c r="I192" s="281"/>
      <c r="J192" s="31">
        <v>4</v>
      </c>
      <c r="K192" s="34" t="s">
        <v>126</v>
      </c>
      <c r="L192" s="63" t="s">
        <v>68</v>
      </c>
      <c r="M192" s="93">
        <v>11.2</v>
      </c>
      <c r="N192" s="93">
        <v>1</v>
      </c>
      <c r="O192" s="93" t="s">
        <v>52</v>
      </c>
      <c r="P192" s="93">
        <v>0.85</v>
      </c>
      <c r="Q192" s="93">
        <v>0.25</v>
      </c>
      <c r="R192" s="93">
        <f>21/40</f>
        <v>0.52500000000000002</v>
      </c>
      <c r="S192" s="93">
        <f>1-0.26</f>
        <v>0.74</v>
      </c>
      <c r="T192" s="63" t="s">
        <v>92</v>
      </c>
      <c r="U192" s="182" t="s">
        <v>720</v>
      </c>
      <c r="V192" s="63" t="s">
        <v>458</v>
      </c>
      <c r="W192" s="63" t="s">
        <v>56</v>
      </c>
      <c r="X192" s="63" t="s">
        <v>57</v>
      </c>
      <c r="Y192" s="63" t="s">
        <v>72</v>
      </c>
      <c r="Z192" s="63">
        <f t="shared" si="14"/>
        <v>525</v>
      </c>
      <c r="AA192" s="63">
        <v>15</v>
      </c>
      <c r="AB192" s="63">
        <v>35</v>
      </c>
      <c r="AC192" s="63" t="s">
        <v>59</v>
      </c>
      <c r="AD192" s="63" t="s">
        <v>544</v>
      </c>
      <c r="AE192" s="138" t="s">
        <v>95</v>
      </c>
      <c r="AF192" s="63" t="s">
        <v>515</v>
      </c>
      <c r="AG192" s="153" t="s">
        <v>545</v>
      </c>
      <c r="AH192" s="124">
        <v>4.3</v>
      </c>
      <c r="AI192" s="124">
        <v>2.2000000000000002</v>
      </c>
      <c r="AJ192" s="124">
        <v>10</v>
      </c>
      <c r="AK192" s="124">
        <v>6.3</v>
      </c>
      <c r="AL192" s="124">
        <v>2.5</v>
      </c>
      <c r="AM192" s="128">
        <v>10</v>
      </c>
      <c r="AN192" s="128"/>
      <c r="AO192" s="128"/>
      <c r="AP192" s="128"/>
      <c r="AQ192" s="128"/>
      <c r="AR192" s="128"/>
      <c r="AS192" s="128"/>
    </row>
    <row r="193" spans="1:45" s="60" customFormat="1" ht="17" customHeight="1">
      <c r="A193" s="116" t="s">
        <v>710</v>
      </c>
      <c r="B193" s="117">
        <v>332</v>
      </c>
      <c r="C193" s="116" t="s">
        <v>47</v>
      </c>
      <c r="D193" s="88" t="s">
        <v>454</v>
      </c>
      <c r="E193" s="88" t="s">
        <v>66</v>
      </c>
      <c r="F193" s="88" t="s">
        <v>49</v>
      </c>
      <c r="G193" s="88" t="s">
        <v>50</v>
      </c>
      <c r="H193" s="280"/>
      <c r="I193" s="280"/>
      <c r="J193" s="11">
        <v>1</v>
      </c>
      <c r="K193" s="1" t="s">
        <v>714</v>
      </c>
      <c r="L193" s="60" t="s">
        <v>68</v>
      </c>
      <c r="M193" s="90">
        <v>11</v>
      </c>
      <c r="N193" s="90">
        <v>1</v>
      </c>
      <c r="O193" s="90" t="s">
        <v>52</v>
      </c>
      <c r="P193" s="90" t="s">
        <v>52</v>
      </c>
      <c r="Q193" s="90" t="s">
        <v>52</v>
      </c>
      <c r="R193" s="90">
        <v>0.5</v>
      </c>
      <c r="S193" s="90" t="s">
        <v>52</v>
      </c>
      <c r="T193" s="60" t="s">
        <v>92</v>
      </c>
      <c r="U193" s="181" t="s">
        <v>721</v>
      </c>
      <c r="V193" s="60" t="s">
        <v>458</v>
      </c>
      <c r="W193" s="60" t="s">
        <v>56</v>
      </c>
      <c r="X193" s="60" t="s">
        <v>57</v>
      </c>
      <c r="Y193" s="60" t="s">
        <v>72</v>
      </c>
      <c r="Z193" s="60">
        <f t="shared" si="14"/>
        <v>525</v>
      </c>
      <c r="AA193" s="60">
        <v>15</v>
      </c>
      <c r="AB193" s="60">
        <v>35</v>
      </c>
      <c r="AC193" s="60" t="s">
        <v>59</v>
      </c>
      <c r="AD193" s="60" t="s">
        <v>544</v>
      </c>
      <c r="AE193" s="60" t="s">
        <v>95</v>
      </c>
      <c r="AF193" s="60" t="s">
        <v>515</v>
      </c>
      <c r="AG193" s="152" t="s">
        <v>545</v>
      </c>
      <c r="AH193" s="120">
        <v>4.5</v>
      </c>
      <c r="AI193" s="120">
        <v>2</v>
      </c>
      <c r="AJ193" s="120">
        <v>10</v>
      </c>
      <c r="AK193" s="120">
        <v>8.1</v>
      </c>
      <c r="AL193" s="120">
        <v>2.6</v>
      </c>
      <c r="AM193" s="127">
        <v>10</v>
      </c>
      <c r="AN193" s="127"/>
      <c r="AO193" s="127"/>
      <c r="AP193" s="127"/>
      <c r="AQ193" s="127"/>
      <c r="AR193" s="127"/>
      <c r="AS193" s="127"/>
    </row>
    <row r="194" spans="1:45" s="60" customFormat="1" ht="17" customHeight="1">
      <c r="A194" s="116"/>
      <c r="B194" s="117"/>
      <c r="C194" s="116"/>
      <c r="D194" s="88"/>
      <c r="E194" s="88"/>
      <c r="F194" s="88"/>
      <c r="G194" s="88"/>
      <c r="H194" s="280"/>
      <c r="I194" s="280"/>
      <c r="J194" s="11">
        <v>2</v>
      </c>
      <c r="K194" s="1" t="s">
        <v>722</v>
      </c>
      <c r="L194" s="60" t="s">
        <v>68</v>
      </c>
      <c r="M194" s="90">
        <v>11</v>
      </c>
      <c r="N194" s="90">
        <v>1</v>
      </c>
      <c r="O194" s="90" t="s">
        <v>52</v>
      </c>
      <c r="P194" s="90" t="s">
        <v>52</v>
      </c>
      <c r="Q194" s="90" t="s">
        <v>52</v>
      </c>
      <c r="R194" s="90">
        <v>0.5</v>
      </c>
      <c r="S194" s="90" t="s">
        <v>52</v>
      </c>
      <c r="T194" s="60" t="s">
        <v>92</v>
      </c>
      <c r="U194" s="181" t="s">
        <v>723</v>
      </c>
      <c r="V194" s="60" t="s">
        <v>458</v>
      </c>
      <c r="W194" s="60" t="s">
        <v>56</v>
      </c>
      <c r="X194" s="60" t="s">
        <v>57</v>
      </c>
      <c r="Y194" s="60" t="s">
        <v>72</v>
      </c>
      <c r="Z194" s="60">
        <f t="shared" si="14"/>
        <v>525</v>
      </c>
      <c r="AA194" s="60">
        <v>15</v>
      </c>
      <c r="AB194" s="60">
        <v>35</v>
      </c>
      <c r="AC194" s="60" t="s">
        <v>59</v>
      </c>
      <c r="AD194" s="60" t="s">
        <v>544</v>
      </c>
      <c r="AE194" s="60" t="s">
        <v>95</v>
      </c>
      <c r="AF194" s="60" t="s">
        <v>515</v>
      </c>
      <c r="AG194" s="152" t="s">
        <v>545</v>
      </c>
      <c r="AH194" s="120">
        <v>5.9</v>
      </c>
      <c r="AI194" s="120">
        <v>2.2999999999999998</v>
      </c>
      <c r="AJ194" s="120">
        <v>10</v>
      </c>
      <c r="AK194" s="120">
        <v>7.7</v>
      </c>
      <c r="AL194" s="120">
        <v>3.1</v>
      </c>
      <c r="AM194" s="127">
        <v>10</v>
      </c>
      <c r="AN194" s="127"/>
      <c r="AO194" s="127"/>
      <c r="AP194" s="127"/>
      <c r="AQ194" s="127"/>
      <c r="AR194" s="127"/>
      <c r="AS194" s="127"/>
    </row>
    <row r="195" spans="1:45" s="63" customFormat="1" ht="17" customHeight="1">
      <c r="A195" s="122"/>
      <c r="B195" s="123"/>
      <c r="C195" s="122"/>
      <c r="D195" s="89"/>
      <c r="E195" s="89"/>
      <c r="F195" s="89"/>
      <c r="G195" s="89"/>
      <c r="H195" s="281"/>
      <c r="I195" s="281"/>
      <c r="J195" s="31">
        <v>3</v>
      </c>
      <c r="K195" s="34" t="s">
        <v>718</v>
      </c>
      <c r="L195" s="63" t="s">
        <v>68</v>
      </c>
      <c r="M195" s="93">
        <v>11</v>
      </c>
      <c r="N195" s="93">
        <v>1</v>
      </c>
      <c r="O195" s="93" t="s">
        <v>52</v>
      </c>
      <c r="P195" s="93" t="s">
        <v>52</v>
      </c>
      <c r="Q195" s="93" t="s">
        <v>52</v>
      </c>
      <c r="R195" s="93">
        <v>0.5</v>
      </c>
      <c r="S195" s="93" t="s">
        <v>52</v>
      </c>
      <c r="T195" s="63" t="s">
        <v>92</v>
      </c>
      <c r="U195" s="182" t="s">
        <v>724</v>
      </c>
      <c r="V195" s="63" t="s">
        <v>458</v>
      </c>
      <c r="W195" s="63" t="s">
        <v>56</v>
      </c>
      <c r="X195" s="63" t="s">
        <v>57</v>
      </c>
      <c r="Y195" s="63" t="s">
        <v>72</v>
      </c>
      <c r="Z195" s="63">
        <f t="shared" si="14"/>
        <v>525</v>
      </c>
      <c r="AA195" s="63">
        <v>15</v>
      </c>
      <c r="AB195" s="63">
        <v>35</v>
      </c>
      <c r="AC195" s="63" t="s">
        <v>59</v>
      </c>
      <c r="AD195" s="63" t="s">
        <v>544</v>
      </c>
      <c r="AE195" s="138" t="s">
        <v>95</v>
      </c>
      <c r="AF195" s="63" t="s">
        <v>515</v>
      </c>
      <c r="AG195" s="153" t="s">
        <v>545</v>
      </c>
      <c r="AH195" s="124">
        <v>5.5</v>
      </c>
      <c r="AI195" s="124">
        <v>1.5</v>
      </c>
      <c r="AJ195" s="124">
        <v>10</v>
      </c>
      <c r="AK195" s="124">
        <v>13.5</v>
      </c>
      <c r="AL195" s="124">
        <v>2.2999999999999998</v>
      </c>
      <c r="AM195" s="128">
        <v>10</v>
      </c>
      <c r="AN195" s="128"/>
      <c r="AO195" s="128"/>
      <c r="AP195" s="128"/>
      <c r="AQ195" s="128"/>
      <c r="AR195" s="128"/>
      <c r="AS195" s="128"/>
    </row>
    <row r="196" spans="1:45" s="60" customFormat="1" ht="15" customHeight="1">
      <c r="A196" s="116" t="s">
        <v>711</v>
      </c>
      <c r="B196" s="117">
        <v>333</v>
      </c>
      <c r="C196" s="116" t="s">
        <v>47</v>
      </c>
      <c r="D196" s="88" t="s">
        <v>454</v>
      </c>
      <c r="E196" s="88" t="s">
        <v>48</v>
      </c>
      <c r="F196" s="88" t="s">
        <v>229</v>
      </c>
      <c r="G196" s="88" t="s">
        <v>239</v>
      </c>
      <c r="H196" s="280"/>
      <c r="I196" s="280"/>
      <c r="J196" s="11">
        <v>1</v>
      </c>
      <c r="K196" s="1" t="s">
        <v>725</v>
      </c>
      <c r="L196" s="60" t="s">
        <v>52</v>
      </c>
      <c r="M196" s="90">
        <v>8.16</v>
      </c>
      <c r="N196" s="90">
        <v>1</v>
      </c>
      <c r="O196" s="90">
        <f>0.04+0.16+0.08+0.33+0.04+0.08+0.08+0.08</f>
        <v>0.89</v>
      </c>
      <c r="P196" s="90" t="s">
        <v>52</v>
      </c>
      <c r="Q196" s="90" t="s">
        <v>52</v>
      </c>
      <c r="R196" s="90">
        <f>10/24</f>
        <v>0.41666666666666669</v>
      </c>
      <c r="S196" s="90">
        <f>1-0.84</f>
        <v>0.16000000000000003</v>
      </c>
      <c r="T196" s="134" t="s">
        <v>69</v>
      </c>
      <c r="U196" s="181" t="s">
        <v>726</v>
      </c>
      <c r="V196" s="60" t="s">
        <v>466</v>
      </c>
      <c r="W196" s="60" t="s">
        <v>56</v>
      </c>
      <c r="X196" s="60" t="s">
        <v>57</v>
      </c>
      <c r="Y196" s="134" t="s">
        <v>58</v>
      </c>
      <c r="Z196" s="60">
        <f>40*60</f>
        <v>2400</v>
      </c>
      <c r="AA196" s="214">
        <v>25</v>
      </c>
      <c r="AB196" s="214">
        <v>120</v>
      </c>
      <c r="AC196" s="60" t="s">
        <v>59</v>
      </c>
      <c r="AD196" s="60" t="s">
        <v>727</v>
      </c>
      <c r="AE196" s="99" t="s">
        <v>61</v>
      </c>
      <c r="AF196" s="60" t="s">
        <v>728</v>
      </c>
      <c r="AG196" s="152" t="s">
        <v>52</v>
      </c>
      <c r="AH196" s="120">
        <v>7.75</v>
      </c>
      <c r="AI196" s="120">
        <v>2.41</v>
      </c>
      <c r="AJ196" s="120">
        <v>12</v>
      </c>
      <c r="AK196" s="120">
        <v>7.75</v>
      </c>
      <c r="AL196" s="120">
        <v>2.56</v>
      </c>
      <c r="AM196" s="127">
        <v>12</v>
      </c>
      <c r="AN196" s="127"/>
      <c r="AO196" s="127"/>
      <c r="AP196" s="127"/>
      <c r="AQ196" s="127"/>
      <c r="AR196" s="127"/>
      <c r="AS196" s="127"/>
    </row>
    <row r="197" spans="1:45" s="63" customFormat="1" ht="15" customHeight="1">
      <c r="A197" s="122"/>
      <c r="B197" s="123"/>
      <c r="C197" s="122"/>
      <c r="D197" s="89"/>
      <c r="E197" s="89"/>
      <c r="F197" s="89"/>
      <c r="G197" s="89"/>
      <c r="H197" s="281"/>
      <c r="I197" s="281"/>
      <c r="J197" s="31">
        <v>2</v>
      </c>
      <c r="K197" s="34" t="s">
        <v>126</v>
      </c>
      <c r="L197" s="63" t="s">
        <v>52</v>
      </c>
      <c r="M197" s="93">
        <v>8.16</v>
      </c>
      <c r="N197" s="93">
        <v>1</v>
      </c>
      <c r="O197" s="93">
        <f>0.04+0.16+0.08+0.33+0.04+0.08+0.08+0.08</f>
        <v>0.89</v>
      </c>
      <c r="P197" s="93" t="s">
        <v>52</v>
      </c>
      <c r="Q197" s="93" t="s">
        <v>52</v>
      </c>
      <c r="R197" s="93">
        <f>10/24</f>
        <v>0.41666666666666669</v>
      </c>
      <c r="S197" s="93">
        <f>1-0.84</f>
        <v>0.16000000000000003</v>
      </c>
      <c r="T197" s="138" t="s">
        <v>69</v>
      </c>
      <c r="U197" s="182" t="s">
        <v>729</v>
      </c>
      <c r="V197" s="63" t="s">
        <v>466</v>
      </c>
      <c r="W197" s="63" t="s">
        <v>56</v>
      </c>
      <c r="X197" s="63" t="s">
        <v>57</v>
      </c>
      <c r="Y197" s="138" t="s">
        <v>58</v>
      </c>
      <c r="Z197" s="63">
        <f>40*60</f>
        <v>2400</v>
      </c>
      <c r="AA197" s="111">
        <v>25</v>
      </c>
      <c r="AB197" s="111">
        <v>120</v>
      </c>
      <c r="AC197" s="63" t="s">
        <v>59</v>
      </c>
      <c r="AD197" s="63" t="s">
        <v>727</v>
      </c>
      <c r="AE197" s="183" t="s">
        <v>61</v>
      </c>
      <c r="AF197" s="63" t="s">
        <v>728</v>
      </c>
      <c r="AG197" s="153" t="s">
        <v>52</v>
      </c>
      <c r="AH197" s="124">
        <v>8.25</v>
      </c>
      <c r="AI197" s="124">
        <v>2.41</v>
      </c>
      <c r="AJ197" s="124">
        <v>12</v>
      </c>
      <c r="AK197" s="124">
        <v>8.5</v>
      </c>
      <c r="AL197" s="124">
        <v>2.2799999999999998</v>
      </c>
      <c r="AM197" s="128">
        <v>12</v>
      </c>
      <c r="AN197" s="128"/>
      <c r="AO197" s="128"/>
      <c r="AP197" s="128"/>
      <c r="AQ197" s="128"/>
      <c r="AR197" s="128"/>
      <c r="AS197" s="128"/>
    </row>
    <row r="198" spans="1:45" s="60" customFormat="1" ht="15.75" customHeight="1">
      <c r="A198" s="116" t="s">
        <v>712</v>
      </c>
      <c r="B198" s="117">
        <v>334</v>
      </c>
      <c r="C198" s="116" t="s">
        <v>47</v>
      </c>
      <c r="D198" s="88" t="s">
        <v>454</v>
      </c>
      <c r="E198" s="88" t="s">
        <v>66</v>
      </c>
      <c r="F198" s="88" t="s">
        <v>49</v>
      </c>
      <c r="G198" s="88" t="s">
        <v>50</v>
      </c>
      <c r="H198" s="280"/>
      <c r="I198" s="280"/>
      <c r="J198" s="11">
        <v>1</v>
      </c>
      <c r="K198" s="1" t="s">
        <v>730</v>
      </c>
      <c r="L198" s="60">
        <v>3</v>
      </c>
      <c r="M198" s="90" t="s">
        <v>52</v>
      </c>
      <c r="N198" s="90">
        <v>1</v>
      </c>
      <c r="O198" s="90">
        <v>0.13</v>
      </c>
      <c r="P198" s="90">
        <v>0.47</v>
      </c>
      <c r="Q198" s="90">
        <v>0.25</v>
      </c>
      <c r="R198" s="90">
        <v>0.56000000000000005</v>
      </c>
      <c r="S198" s="90">
        <f>1-0.12-0.07</f>
        <v>0.81</v>
      </c>
      <c r="T198" s="60" t="s">
        <v>92</v>
      </c>
      <c r="U198" s="181" t="s">
        <v>731</v>
      </c>
      <c r="V198" s="60" t="s">
        <v>458</v>
      </c>
      <c r="W198" s="60" t="s">
        <v>56</v>
      </c>
      <c r="X198" s="134" t="s">
        <v>732</v>
      </c>
      <c r="Y198" s="134" t="s">
        <v>58</v>
      </c>
      <c r="Z198" s="60">
        <f>29*17.85</f>
        <v>517.65000000000009</v>
      </c>
      <c r="AA198" s="60">
        <v>29</v>
      </c>
      <c r="AB198" s="60">
        <v>17.850000000000001</v>
      </c>
      <c r="AC198" s="60" t="s">
        <v>59</v>
      </c>
      <c r="AD198" s="60" t="s">
        <v>733</v>
      </c>
      <c r="AE198" s="60" t="s">
        <v>61</v>
      </c>
      <c r="AF198" s="60" t="s">
        <v>728</v>
      </c>
      <c r="AG198" s="152" t="s">
        <v>734</v>
      </c>
      <c r="AH198" s="120">
        <v>86.56</v>
      </c>
      <c r="AI198" s="120">
        <v>7.88</v>
      </c>
      <c r="AJ198" s="120">
        <v>100</v>
      </c>
      <c r="AK198" s="120">
        <v>86.13</v>
      </c>
      <c r="AL198" s="120">
        <v>10.74</v>
      </c>
      <c r="AM198" s="184">
        <v>92</v>
      </c>
      <c r="AN198" s="112"/>
      <c r="AO198" s="112"/>
      <c r="AP198" s="112"/>
      <c r="AQ198" s="112"/>
      <c r="AR198" s="112"/>
      <c r="AS198" s="112"/>
    </row>
    <row r="199" spans="1:45" s="63" customFormat="1" ht="15" customHeight="1">
      <c r="A199" s="122"/>
      <c r="B199" s="123"/>
      <c r="C199" s="122"/>
      <c r="D199" s="89"/>
      <c r="E199" s="89"/>
      <c r="F199" s="89"/>
      <c r="G199" s="89"/>
      <c r="H199" s="281"/>
      <c r="I199" s="281"/>
      <c r="J199" s="31">
        <v>2</v>
      </c>
      <c r="K199" s="34" t="s">
        <v>561</v>
      </c>
      <c r="L199" s="63">
        <v>3</v>
      </c>
      <c r="M199" s="93" t="s">
        <v>52</v>
      </c>
      <c r="N199" s="93">
        <v>1</v>
      </c>
      <c r="O199" s="93">
        <v>0.18</v>
      </c>
      <c r="P199" s="93">
        <v>0.52</v>
      </c>
      <c r="Q199" s="93">
        <v>0.27</v>
      </c>
      <c r="R199" s="93">
        <v>0.54</v>
      </c>
      <c r="S199" s="93">
        <f>1-0.23-0.11</f>
        <v>0.66</v>
      </c>
      <c r="T199" s="63" t="s">
        <v>78</v>
      </c>
      <c r="U199" s="182" t="s">
        <v>735</v>
      </c>
      <c r="V199" s="63" t="s">
        <v>236</v>
      </c>
      <c r="W199" s="63" t="s">
        <v>78</v>
      </c>
      <c r="X199" s="215" t="s">
        <v>513</v>
      </c>
      <c r="Y199" s="138" t="s">
        <v>58</v>
      </c>
      <c r="Z199" s="63" t="s">
        <v>78</v>
      </c>
      <c r="AA199" s="63" t="s">
        <v>78</v>
      </c>
      <c r="AB199" s="63" t="s">
        <v>78</v>
      </c>
      <c r="AC199" s="63" t="s">
        <v>59</v>
      </c>
      <c r="AD199" s="63" t="s">
        <v>733</v>
      </c>
      <c r="AE199" s="63" t="s">
        <v>61</v>
      </c>
      <c r="AF199" s="63" t="s">
        <v>728</v>
      </c>
      <c r="AG199" s="153" t="s">
        <v>734</v>
      </c>
      <c r="AH199" s="124">
        <v>84.64</v>
      </c>
      <c r="AI199" s="124">
        <v>8.6300000000000008</v>
      </c>
      <c r="AJ199" s="124">
        <v>100</v>
      </c>
      <c r="AK199" s="124">
        <v>85.14</v>
      </c>
      <c r="AL199" s="124">
        <v>12.78</v>
      </c>
      <c r="AM199" s="185">
        <v>92</v>
      </c>
      <c r="AN199" s="113"/>
      <c r="AO199" s="113"/>
      <c r="AP199" s="113"/>
      <c r="AQ199" s="113"/>
      <c r="AR199" s="113"/>
      <c r="AS199" s="113"/>
    </row>
    <row r="200" spans="1:45" s="60" customFormat="1">
      <c r="A200" s="116" t="s">
        <v>713</v>
      </c>
      <c r="B200" s="117">
        <v>335</v>
      </c>
      <c r="C200" s="116" t="s">
        <v>47</v>
      </c>
      <c r="D200" s="88" t="s">
        <v>454</v>
      </c>
      <c r="E200" s="88" t="s">
        <v>66</v>
      </c>
      <c r="F200" s="88" t="s">
        <v>49</v>
      </c>
      <c r="G200" s="88" t="s">
        <v>239</v>
      </c>
      <c r="H200" s="280"/>
      <c r="I200" s="280"/>
      <c r="J200" s="11">
        <v>1</v>
      </c>
      <c r="K200" s="60" t="s">
        <v>736</v>
      </c>
      <c r="L200" s="60">
        <v>6</v>
      </c>
      <c r="M200" s="90" t="s">
        <v>52</v>
      </c>
      <c r="N200" s="90">
        <v>1</v>
      </c>
      <c r="O200" s="90">
        <v>1</v>
      </c>
      <c r="P200" s="90">
        <v>0.55000000000000004</v>
      </c>
      <c r="Q200" s="90" t="s">
        <v>52</v>
      </c>
      <c r="R200" s="90">
        <v>0.6</v>
      </c>
      <c r="S200" s="90">
        <v>0.35</v>
      </c>
      <c r="T200" s="60" t="s">
        <v>53</v>
      </c>
      <c r="U200" s="92" t="s">
        <v>737</v>
      </c>
      <c r="V200" s="60" t="s">
        <v>458</v>
      </c>
      <c r="W200" s="60" t="s">
        <v>153</v>
      </c>
      <c r="X200" s="60" t="s">
        <v>57</v>
      </c>
      <c r="Y200" s="134" t="s">
        <v>58</v>
      </c>
      <c r="Z200" s="60">
        <f>180*50</f>
        <v>9000</v>
      </c>
      <c r="AA200" s="60">
        <f>5*36</f>
        <v>180</v>
      </c>
      <c r="AB200" s="60">
        <v>50</v>
      </c>
      <c r="AC200" s="60" t="s">
        <v>59</v>
      </c>
      <c r="AD200" s="60" t="s">
        <v>738</v>
      </c>
      <c r="AE200" s="60" t="s">
        <v>61</v>
      </c>
      <c r="AF200" s="60" t="s">
        <v>728</v>
      </c>
      <c r="AG200" s="152" t="s">
        <v>739</v>
      </c>
      <c r="AH200" s="120">
        <v>4.8499999999999996</v>
      </c>
      <c r="AI200" s="120">
        <v>2.11</v>
      </c>
      <c r="AJ200" s="142">
        <v>20</v>
      </c>
      <c r="AK200" s="120">
        <v>7.8</v>
      </c>
      <c r="AL200" s="120">
        <v>2.61</v>
      </c>
      <c r="AM200" s="142">
        <v>20</v>
      </c>
      <c r="AN200" s="120"/>
      <c r="AO200" s="120"/>
      <c r="AP200" s="120"/>
      <c r="AQ200" s="120"/>
      <c r="AR200" s="120"/>
      <c r="AS200" s="120"/>
    </row>
    <row r="201" spans="1:45" s="60" customFormat="1">
      <c r="A201" s="116"/>
      <c r="B201" s="117"/>
      <c r="C201" s="116"/>
      <c r="D201" s="88"/>
      <c r="E201" s="88"/>
      <c r="F201" s="88"/>
      <c r="G201" s="88"/>
      <c r="H201" s="280"/>
      <c r="I201" s="280"/>
      <c r="J201" s="11"/>
      <c r="M201" s="90"/>
      <c r="N201" s="90"/>
      <c r="O201" s="90"/>
      <c r="P201" s="90"/>
      <c r="Q201" s="90"/>
      <c r="R201" s="90"/>
      <c r="S201" s="90"/>
      <c r="U201" s="92"/>
      <c r="AD201" s="60" t="s">
        <v>740</v>
      </c>
      <c r="AE201" s="60" t="s">
        <v>61</v>
      </c>
      <c r="AF201" s="60" t="s">
        <v>728</v>
      </c>
      <c r="AG201" s="152" t="s">
        <v>739</v>
      </c>
      <c r="AH201" s="120">
        <v>7.65</v>
      </c>
      <c r="AI201" s="120">
        <v>2.5</v>
      </c>
      <c r="AJ201" s="120">
        <v>20</v>
      </c>
      <c r="AK201" s="120">
        <v>12</v>
      </c>
      <c r="AL201" s="120">
        <v>4.4400000000000004</v>
      </c>
      <c r="AM201" s="120">
        <v>20</v>
      </c>
      <c r="AN201" s="120"/>
      <c r="AO201" s="120"/>
      <c r="AP201" s="120"/>
      <c r="AQ201" s="120"/>
      <c r="AR201" s="120"/>
      <c r="AS201" s="120"/>
    </row>
    <row r="202" spans="1:45" s="60" customFormat="1">
      <c r="A202" s="116"/>
      <c r="B202" s="117"/>
      <c r="C202" s="116"/>
      <c r="D202" s="88"/>
      <c r="E202" s="88"/>
      <c r="F202" s="88"/>
      <c r="G202" s="88"/>
      <c r="H202" s="280"/>
      <c r="I202" s="280"/>
      <c r="J202" s="11"/>
      <c r="K202" s="1"/>
      <c r="M202" s="90"/>
      <c r="N202" s="90"/>
      <c r="O202" s="90"/>
      <c r="P202" s="90"/>
      <c r="Q202" s="90"/>
      <c r="R202" s="90"/>
      <c r="S202" s="90"/>
      <c r="U202" s="92"/>
      <c r="AD202" s="60" t="s">
        <v>741</v>
      </c>
      <c r="AE202" s="60" t="s">
        <v>61</v>
      </c>
      <c r="AF202" s="60" t="s">
        <v>728</v>
      </c>
      <c r="AG202" s="152" t="s">
        <v>742</v>
      </c>
      <c r="AH202" s="120">
        <v>186.2</v>
      </c>
      <c r="AI202" s="120">
        <v>11.12</v>
      </c>
      <c r="AJ202" s="120">
        <v>20</v>
      </c>
      <c r="AK202" s="120">
        <v>195.79</v>
      </c>
      <c r="AL202" s="120">
        <v>6.9</v>
      </c>
      <c r="AM202" s="120">
        <v>20</v>
      </c>
      <c r="AN202" s="120"/>
      <c r="AO202" s="120"/>
      <c r="AP202" s="120"/>
      <c r="AQ202" s="120"/>
      <c r="AR202" s="120"/>
      <c r="AS202" s="120"/>
    </row>
    <row r="203" spans="1:45" s="60" customFormat="1" ht="18" customHeight="1">
      <c r="A203" s="116"/>
      <c r="B203" s="117"/>
      <c r="C203" s="116"/>
      <c r="D203" s="88"/>
      <c r="E203" s="88"/>
      <c r="F203" s="88"/>
      <c r="G203" s="88"/>
      <c r="H203" s="280"/>
      <c r="I203" s="280"/>
      <c r="J203" s="11">
        <v>2</v>
      </c>
      <c r="K203" s="60" t="s">
        <v>743</v>
      </c>
      <c r="L203" s="60">
        <v>6</v>
      </c>
      <c r="M203" s="90" t="s">
        <v>52</v>
      </c>
      <c r="N203" s="90">
        <v>1</v>
      </c>
      <c r="O203" s="90">
        <v>1</v>
      </c>
      <c r="P203" s="90">
        <v>0.55000000000000004</v>
      </c>
      <c r="Q203" s="90" t="s">
        <v>52</v>
      </c>
      <c r="R203" s="90">
        <v>0.75</v>
      </c>
      <c r="S203" s="90">
        <v>0.35</v>
      </c>
      <c r="T203" s="60" t="s">
        <v>69</v>
      </c>
      <c r="U203" s="92" t="s">
        <v>744</v>
      </c>
      <c r="V203" s="60" t="s">
        <v>80</v>
      </c>
      <c r="W203" s="60" t="s">
        <v>56</v>
      </c>
      <c r="X203" s="60" t="s">
        <v>57</v>
      </c>
      <c r="Y203" s="134" t="s">
        <v>58</v>
      </c>
      <c r="Z203" s="60" t="s">
        <v>78</v>
      </c>
      <c r="AA203" s="60" t="s">
        <v>78</v>
      </c>
      <c r="AB203" s="60" t="s">
        <v>78</v>
      </c>
      <c r="AC203" s="60" t="s">
        <v>59</v>
      </c>
      <c r="AD203" s="60" t="s">
        <v>738</v>
      </c>
      <c r="AE203" s="60" t="s">
        <v>61</v>
      </c>
      <c r="AF203" s="60" t="s">
        <v>728</v>
      </c>
      <c r="AG203" s="152" t="s">
        <v>739</v>
      </c>
      <c r="AH203" s="120">
        <v>4.4000000000000004</v>
      </c>
      <c r="AI203" s="120">
        <v>2.19</v>
      </c>
      <c r="AJ203" s="120">
        <v>20</v>
      </c>
      <c r="AK203" s="120">
        <v>5.2</v>
      </c>
      <c r="AL203" s="120">
        <v>1.85</v>
      </c>
      <c r="AM203" s="120">
        <v>20</v>
      </c>
      <c r="AN203" s="120"/>
      <c r="AO203" s="120"/>
      <c r="AP203" s="120"/>
      <c r="AQ203" s="120"/>
      <c r="AR203" s="120"/>
      <c r="AS203" s="120"/>
    </row>
    <row r="204" spans="1:45" s="60" customFormat="1">
      <c r="A204" s="116"/>
      <c r="B204" s="117"/>
      <c r="C204" s="116"/>
      <c r="D204" s="88"/>
      <c r="E204" s="88"/>
      <c r="F204" s="88"/>
      <c r="G204" s="88"/>
      <c r="H204" s="280"/>
      <c r="I204" s="280"/>
      <c r="J204" s="11"/>
      <c r="K204" s="1"/>
      <c r="M204" s="90"/>
      <c r="N204" s="90"/>
      <c r="O204" s="90"/>
      <c r="P204" s="90"/>
      <c r="Q204" s="90"/>
      <c r="R204" s="90"/>
      <c r="S204" s="90"/>
      <c r="U204" s="92"/>
      <c r="AD204" s="60" t="s">
        <v>740</v>
      </c>
      <c r="AE204" s="60" t="s">
        <v>61</v>
      </c>
      <c r="AF204" s="60" t="s">
        <v>728</v>
      </c>
      <c r="AG204" s="152" t="s">
        <v>739</v>
      </c>
      <c r="AH204" s="120">
        <v>8.5</v>
      </c>
      <c r="AI204" s="120">
        <v>3.02</v>
      </c>
      <c r="AJ204" s="120">
        <v>20</v>
      </c>
      <c r="AK204" s="120">
        <v>7.8</v>
      </c>
      <c r="AL204" s="120">
        <v>4.7</v>
      </c>
      <c r="AM204" s="120">
        <v>20</v>
      </c>
      <c r="AN204" s="120"/>
      <c r="AO204" s="120"/>
      <c r="AP204" s="120"/>
      <c r="AQ204" s="120"/>
      <c r="AR204" s="120"/>
      <c r="AS204" s="120"/>
    </row>
    <row r="205" spans="1:45" s="63" customFormat="1">
      <c r="A205" s="122"/>
      <c r="B205" s="123"/>
      <c r="C205" s="122"/>
      <c r="D205" s="89"/>
      <c r="E205" s="89"/>
      <c r="F205" s="89"/>
      <c r="G205" s="89"/>
      <c r="H205" s="281"/>
      <c r="I205" s="281"/>
      <c r="J205" s="31"/>
      <c r="K205" s="34"/>
      <c r="M205" s="93"/>
      <c r="N205" s="93"/>
      <c r="O205" s="93"/>
      <c r="P205" s="93"/>
      <c r="Q205" s="93"/>
      <c r="R205" s="93"/>
      <c r="S205" s="93"/>
      <c r="U205" s="95"/>
      <c r="AD205" s="63" t="s">
        <v>741</v>
      </c>
      <c r="AE205" s="63" t="s">
        <v>61</v>
      </c>
      <c r="AF205" s="63" t="s">
        <v>728</v>
      </c>
      <c r="AG205" s="153" t="s">
        <v>742</v>
      </c>
      <c r="AH205" s="124">
        <v>185.47</v>
      </c>
      <c r="AI205" s="124">
        <v>9.02</v>
      </c>
      <c r="AJ205" s="124">
        <v>20</v>
      </c>
      <c r="AK205" s="124">
        <v>188.94</v>
      </c>
      <c r="AL205" s="124">
        <v>9.4</v>
      </c>
      <c r="AM205" s="124">
        <v>20</v>
      </c>
      <c r="AN205" s="124"/>
      <c r="AO205" s="124"/>
      <c r="AP205" s="124"/>
      <c r="AQ205" s="124"/>
      <c r="AR205" s="124"/>
      <c r="AS205" s="124"/>
    </row>
    <row r="206" spans="1:45">
      <c r="A206" s="13"/>
      <c r="B206" s="13"/>
      <c r="C206" s="13"/>
      <c r="D206" s="116"/>
      <c r="E206" s="13"/>
      <c r="F206" s="13"/>
      <c r="G206" s="13"/>
      <c r="AF206" s="134"/>
      <c r="AG206" s="134"/>
    </row>
    <row r="207" spans="1:45">
      <c r="A207" s="13"/>
      <c r="B207" s="13"/>
      <c r="C207" s="13"/>
      <c r="D207" s="116"/>
      <c r="E207" s="13"/>
      <c r="F207" s="13"/>
      <c r="G207" s="13"/>
      <c r="AF207" s="134"/>
      <c r="AG207" s="134"/>
    </row>
    <row r="208" spans="1:45">
      <c r="A208" s="13"/>
      <c r="B208" s="13"/>
      <c r="C208" s="13"/>
      <c r="D208" s="116"/>
      <c r="E208" s="13"/>
      <c r="F208" s="13"/>
      <c r="G208" s="13"/>
      <c r="AF208" s="134"/>
      <c r="AG208" s="134"/>
    </row>
    <row r="209" spans="1:33">
      <c r="A209" s="13"/>
      <c r="B209" s="13"/>
      <c r="C209" s="13"/>
      <c r="D209" s="116"/>
      <c r="E209" s="13"/>
      <c r="F209" s="13"/>
      <c r="G209" s="13"/>
      <c r="AF209" s="134"/>
      <c r="AG209" s="134"/>
    </row>
    <row r="210" spans="1:33">
      <c r="A210" s="13"/>
      <c r="B210" s="13"/>
      <c r="C210" s="13"/>
      <c r="D210" s="116"/>
      <c r="E210" s="13"/>
      <c r="F210" s="13"/>
      <c r="G210" s="13"/>
      <c r="AF210" s="134"/>
      <c r="AG210" s="134"/>
    </row>
    <row r="211" spans="1:33">
      <c r="A211" s="13"/>
      <c r="B211" s="13"/>
      <c r="C211" s="13"/>
      <c r="D211" s="116"/>
      <c r="E211" s="13"/>
      <c r="F211" s="13"/>
      <c r="G211" s="13"/>
      <c r="AF211" s="134"/>
      <c r="AG211" s="134"/>
    </row>
    <row r="212" spans="1:33">
      <c r="A212" s="13"/>
      <c r="B212" s="13"/>
      <c r="C212" s="13"/>
      <c r="D212" s="116"/>
      <c r="E212" s="13"/>
      <c r="F212" s="13"/>
      <c r="G212" s="13"/>
      <c r="AF212" s="134"/>
      <c r="AG212" s="134"/>
    </row>
    <row r="213" spans="1:33">
      <c r="A213" s="13"/>
      <c r="B213" s="13"/>
      <c r="C213" s="13"/>
      <c r="D213" s="116"/>
      <c r="E213" s="13"/>
      <c r="F213" s="13"/>
      <c r="G213" s="13"/>
      <c r="AF213" s="134"/>
      <c r="AG213" s="134"/>
    </row>
    <row r="214" spans="1:33">
      <c r="A214" s="13"/>
      <c r="B214" s="13"/>
      <c r="C214" s="13"/>
      <c r="D214" s="116"/>
      <c r="E214" s="13"/>
      <c r="F214" s="13"/>
      <c r="G214" s="13"/>
      <c r="AF214" s="134"/>
      <c r="AG214" s="134"/>
    </row>
    <row r="215" spans="1:33">
      <c r="A215" s="13"/>
      <c r="B215" s="13"/>
      <c r="C215" s="13"/>
      <c r="D215" s="116"/>
      <c r="E215" s="13"/>
      <c r="F215" s="13"/>
      <c r="G215" s="13"/>
      <c r="AF215" s="134"/>
      <c r="AG215" s="134"/>
    </row>
    <row r="216" spans="1:33">
      <c r="A216" s="13"/>
      <c r="B216" s="13"/>
      <c r="C216" s="13"/>
      <c r="D216" s="116"/>
      <c r="E216" s="13"/>
      <c r="F216" s="13"/>
      <c r="G216" s="13"/>
      <c r="AF216" s="134"/>
      <c r="AG216" s="134"/>
    </row>
    <row r="217" spans="1:33">
      <c r="A217" s="13"/>
      <c r="B217" s="13"/>
      <c r="C217" s="13"/>
      <c r="D217" s="116"/>
      <c r="E217" s="13"/>
      <c r="F217" s="13"/>
      <c r="G217" s="13"/>
      <c r="AF217" s="134"/>
      <c r="AG217" s="134"/>
    </row>
    <row r="218" spans="1:33">
      <c r="A218" s="13"/>
      <c r="B218" s="13"/>
      <c r="C218" s="13"/>
      <c r="D218" s="116"/>
      <c r="E218" s="13"/>
      <c r="F218" s="13"/>
      <c r="G218" s="13"/>
      <c r="AF218" s="134"/>
      <c r="AG218" s="134"/>
    </row>
    <row r="219" spans="1:33">
      <c r="A219" s="13"/>
      <c r="B219" s="13"/>
      <c r="C219" s="13"/>
      <c r="D219" s="116"/>
      <c r="E219" s="13"/>
      <c r="F219" s="13"/>
      <c r="G219" s="13"/>
      <c r="AF219" s="134"/>
      <c r="AG219" s="134"/>
    </row>
    <row r="220" spans="1:33">
      <c r="A220" s="13"/>
      <c r="B220" s="13"/>
      <c r="C220" s="13"/>
      <c r="D220" s="116"/>
      <c r="E220" s="13"/>
      <c r="F220" s="13"/>
      <c r="G220" s="13"/>
      <c r="AF220" s="134"/>
      <c r="AG220" s="134"/>
    </row>
    <row r="221" spans="1:33">
      <c r="A221" s="13"/>
      <c r="B221" s="13"/>
      <c r="C221" s="13"/>
      <c r="D221" s="116"/>
      <c r="E221" s="13"/>
      <c r="F221" s="13"/>
      <c r="G221" s="13"/>
      <c r="AF221" s="134"/>
      <c r="AG221" s="134"/>
    </row>
    <row r="222" spans="1:33">
      <c r="A222" s="13"/>
      <c r="B222" s="13"/>
      <c r="C222" s="13"/>
      <c r="D222" s="116"/>
      <c r="E222" s="13"/>
      <c r="F222" s="13"/>
      <c r="G222" s="13"/>
      <c r="AF222" s="134"/>
      <c r="AG222" s="134"/>
    </row>
    <row r="223" spans="1:33">
      <c r="A223" s="13"/>
      <c r="B223" s="13"/>
      <c r="C223" s="13"/>
      <c r="D223" s="116"/>
      <c r="E223" s="13"/>
      <c r="F223" s="13"/>
      <c r="G223" s="13"/>
      <c r="AF223" s="134"/>
      <c r="AG223" s="134"/>
    </row>
    <row r="224" spans="1:33">
      <c r="A224" s="13"/>
      <c r="B224" s="13"/>
      <c r="C224" s="13"/>
      <c r="D224" s="116"/>
      <c r="E224" s="13"/>
      <c r="F224" s="13"/>
      <c r="G224" s="13"/>
      <c r="AF224" s="134"/>
      <c r="AG224" s="134"/>
    </row>
    <row r="225" spans="1:33">
      <c r="A225" s="13"/>
      <c r="B225" s="13"/>
      <c r="C225" s="13"/>
      <c r="D225" s="116"/>
      <c r="E225" s="13"/>
      <c r="F225" s="13"/>
      <c r="G225" s="13"/>
      <c r="AF225" s="134"/>
      <c r="AG225" s="134"/>
    </row>
    <row r="226" spans="1:33">
      <c r="A226" s="13"/>
      <c r="B226" s="13"/>
      <c r="C226" s="13"/>
      <c r="D226" s="116"/>
      <c r="E226" s="13"/>
      <c r="F226" s="13"/>
      <c r="G226" s="13"/>
      <c r="AF226" s="134"/>
      <c r="AG226" s="134"/>
    </row>
    <row r="227" spans="1:33">
      <c r="A227" s="13"/>
      <c r="B227" s="13"/>
      <c r="C227" s="13"/>
      <c r="D227" s="116"/>
      <c r="E227" s="13"/>
      <c r="F227" s="13"/>
      <c r="G227" s="13"/>
      <c r="AF227" s="134"/>
      <c r="AG227" s="134"/>
    </row>
    <row r="228" spans="1:33">
      <c r="A228" s="13"/>
      <c r="B228" s="13"/>
      <c r="C228" s="13"/>
      <c r="D228" s="116"/>
      <c r="E228" s="13"/>
      <c r="F228" s="13"/>
      <c r="G228" s="13"/>
      <c r="AF228" s="134"/>
      <c r="AG228" s="134"/>
    </row>
    <row r="229" spans="1:33">
      <c r="A229" s="13"/>
      <c r="B229" s="13"/>
      <c r="C229" s="13"/>
      <c r="D229" s="116"/>
      <c r="E229" s="13"/>
      <c r="F229" s="13"/>
      <c r="G229" s="13"/>
      <c r="AF229" s="134"/>
      <c r="AG229" s="134"/>
    </row>
    <row r="230" spans="1:33">
      <c r="A230" s="13"/>
      <c r="B230" s="13"/>
      <c r="C230" s="13"/>
      <c r="D230" s="116"/>
      <c r="E230" s="13"/>
      <c r="F230" s="13"/>
      <c r="G230" s="13"/>
      <c r="AF230" s="134"/>
      <c r="AG230" s="134"/>
    </row>
    <row r="231" spans="1:33">
      <c r="A231" s="13"/>
      <c r="B231" s="13"/>
      <c r="C231" s="13"/>
      <c r="D231" s="116"/>
      <c r="E231" s="13"/>
      <c r="F231" s="13"/>
      <c r="G231" s="13"/>
      <c r="AF231" s="134"/>
      <c r="AG231" s="134"/>
    </row>
    <row r="232" spans="1:33">
      <c r="A232" s="13"/>
      <c r="B232" s="13"/>
      <c r="C232" s="13"/>
      <c r="D232" s="116"/>
      <c r="E232" s="13"/>
      <c r="F232" s="13"/>
      <c r="G232" s="13"/>
      <c r="AF232" s="134"/>
      <c r="AG232" s="134"/>
    </row>
    <row r="233" spans="1:33">
      <c r="A233" s="13"/>
      <c r="B233" s="13"/>
      <c r="C233" s="13"/>
      <c r="D233" s="116"/>
      <c r="E233" s="13"/>
      <c r="F233" s="13"/>
      <c r="G233" s="13"/>
      <c r="AF233" s="134"/>
      <c r="AG233" s="134"/>
    </row>
    <row r="234" spans="1:33">
      <c r="A234" s="13"/>
      <c r="B234" s="13"/>
      <c r="C234" s="13"/>
      <c r="D234" s="116"/>
      <c r="E234" s="13"/>
      <c r="F234" s="13"/>
      <c r="G234" s="13"/>
      <c r="AF234" s="134"/>
      <c r="AG234" s="134"/>
    </row>
    <row r="235" spans="1:33">
      <c r="A235" s="13"/>
      <c r="B235" s="13"/>
      <c r="C235" s="13"/>
      <c r="D235" s="116"/>
      <c r="E235" s="13"/>
      <c r="F235" s="13"/>
      <c r="G235" s="13"/>
      <c r="AF235" s="134"/>
      <c r="AG235" s="134"/>
    </row>
    <row r="236" spans="1:33">
      <c r="A236" s="13"/>
      <c r="B236" s="13"/>
      <c r="C236" s="13"/>
      <c r="D236" s="116"/>
      <c r="E236" s="13"/>
      <c r="F236" s="13"/>
      <c r="G236" s="13"/>
      <c r="AF236" s="134"/>
      <c r="AG236" s="134"/>
    </row>
    <row r="237" spans="1:33">
      <c r="A237" s="13"/>
      <c r="B237" s="13"/>
      <c r="C237" s="13"/>
      <c r="D237" s="116"/>
      <c r="E237" s="13"/>
      <c r="F237" s="13"/>
      <c r="G237" s="13"/>
      <c r="AF237" s="134"/>
      <c r="AG237" s="134"/>
    </row>
    <row r="238" spans="1:33">
      <c r="A238" s="13"/>
      <c r="B238" s="13"/>
      <c r="C238" s="13"/>
      <c r="D238" s="116"/>
      <c r="E238" s="13"/>
      <c r="F238" s="13"/>
      <c r="G238" s="13"/>
      <c r="AF238" s="134"/>
      <c r="AG238" s="134"/>
    </row>
    <row r="239" spans="1:33">
      <c r="A239" s="13"/>
      <c r="B239" s="13"/>
      <c r="C239" s="13"/>
      <c r="D239" s="116"/>
      <c r="E239" s="13"/>
      <c r="F239" s="13"/>
      <c r="G239" s="13"/>
      <c r="AF239" s="134"/>
      <c r="AG239" s="134"/>
    </row>
    <row r="240" spans="1:33">
      <c r="A240" s="13"/>
      <c r="B240" s="13"/>
      <c r="C240" s="13"/>
      <c r="D240" s="116"/>
      <c r="E240" s="13"/>
      <c r="F240" s="13"/>
      <c r="G240" s="13"/>
      <c r="AF240" s="134"/>
      <c r="AG240" s="134"/>
    </row>
    <row r="241" spans="1:33">
      <c r="A241" s="13"/>
      <c r="B241" s="13"/>
      <c r="C241" s="13"/>
      <c r="D241" s="116"/>
      <c r="E241" s="13"/>
      <c r="F241" s="13"/>
      <c r="G241" s="13"/>
      <c r="AF241" s="134"/>
      <c r="AG241" s="134"/>
    </row>
    <row r="242" spans="1:33">
      <c r="A242" s="13"/>
      <c r="B242" s="13"/>
      <c r="C242" s="13"/>
      <c r="D242" s="116"/>
      <c r="E242" s="13"/>
      <c r="F242" s="13"/>
      <c r="G242" s="13"/>
      <c r="AF242" s="134"/>
      <c r="AG242" s="134"/>
    </row>
    <row r="243" spans="1:33">
      <c r="A243" s="13"/>
      <c r="B243" s="13"/>
      <c r="C243" s="13"/>
      <c r="D243" s="116"/>
      <c r="E243" s="13"/>
      <c r="F243" s="13"/>
      <c r="G243" s="13"/>
      <c r="AF243" s="134"/>
      <c r="AG243" s="134"/>
    </row>
    <row r="244" spans="1:33">
      <c r="A244" s="13"/>
      <c r="B244" s="13"/>
      <c r="C244" s="13"/>
      <c r="D244" s="116"/>
      <c r="E244" s="13"/>
      <c r="F244" s="13"/>
      <c r="G244" s="13"/>
      <c r="AF244" s="134"/>
      <c r="AG244" s="134"/>
    </row>
    <row r="245" spans="1:33">
      <c r="A245" s="13"/>
      <c r="B245" s="13"/>
      <c r="C245" s="13"/>
      <c r="D245" s="116"/>
      <c r="E245" s="13"/>
      <c r="F245" s="13"/>
      <c r="G245" s="13"/>
      <c r="AF245" s="134"/>
      <c r="AG245" s="134"/>
    </row>
    <row r="246" spans="1:33">
      <c r="A246" s="13"/>
      <c r="B246" s="13"/>
      <c r="C246" s="13"/>
      <c r="D246" s="116"/>
      <c r="E246" s="13"/>
      <c r="F246" s="13"/>
      <c r="G246" s="13"/>
      <c r="AF246" s="134"/>
      <c r="AG246" s="134"/>
    </row>
    <row r="247" spans="1:33">
      <c r="A247" s="13"/>
      <c r="B247" s="13"/>
      <c r="C247" s="13"/>
      <c r="D247" s="116"/>
      <c r="E247" s="13"/>
      <c r="F247" s="13"/>
      <c r="G247" s="13"/>
      <c r="AF247" s="134"/>
      <c r="AG247" s="134"/>
    </row>
    <row r="248" spans="1:33">
      <c r="A248" s="13"/>
      <c r="B248" s="13"/>
      <c r="C248" s="13"/>
      <c r="D248" s="116"/>
      <c r="E248" s="13"/>
      <c r="F248" s="13"/>
      <c r="G248" s="13"/>
      <c r="AF248" s="134"/>
      <c r="AG248" s="134"/>
    </row>
    <row r="249" spans="1:33">
      <c r="A249" s="13"/>
      <c r="B249" s="13"/>
      <c r="C249" s="13"/>
      <c r="D249" s="116"/>
      <c r="E249" s="13"/>
      <c r="F249" s="13"/>
      <c r="G249" s="13"/>
      <c r="AF249" s="134"/>
      <c r="AG249" s="134"/>
    </row>
    <row r="250" spans="1:33">
      <c r="A250" s="13"/>
      <c r="B250" s="13"/>
      <c r="C250" s="13"/>
      <c r="D250" s="116"/>
      <c r="E250" s="13"/>
      <c r="F250" s="13"/>
      <c r="G250" s="13"/>
      <c r="AF250" s="134"/>
      <c r="AG250" s="134"/>
    </row>
    <row r="251" spans="1:33">
      <c r="A251" s="13"/>
      <c r="B251" s="13"/>
      <c r="C251" s="13"/>
      <c r="D251" s="116"/>
      <c r="E251" s="13"/>
      <c r="F251" s="13"/>
      <c r="G251" s="13"/>
      <c r="AF251" s="134"/>
      <c r="AG251" s="134"/>
    </row>
    <row r="252" spans="1:33">
      <c r="A252" s="13"/>
      <c r="B252" s="13"/>
      <c r="C252" s="13"/>
      <c r="D252" s="116"/>
      <c r="E252" s="13"/>
      <c r="F252" s="13"/>
      <c r="G252" s="13"/>
      <c r="AF252" s="134"/>
      <c r="AG252" s="134"/>
    </row>
    <row r="253" spans="1:33">
      <c r="A253" s="13"/>
      <c r="B253" s="13"/>
      <c r="C253" s="13"/>
      <c r="D253" s="116"/>
      <c r="E253" s="13"/>
      <c r="F253" s="13"/>
      <c r="G253" s="13"/>
      <c r="AF253" s="134"/>
      <c r="AG253" s="134"/>
    </row>
    <row r="254" spans="1:33">
      <c r="A254" s="13"/>
      <c r="B254" s="13"/>
      <c r="C254" s="13"/>
      <c r="D254" s="116"/>
      <c r="E254" s="13"/>
      <c r="F254" s="13"/>
      <c r="G254" s="13"/>
      <c r="AF254" s="134"/>
      <c r="AG254" s="134"/>
    </row>
    <row r="255" spans="1:33">
      <c r="A255" s="13"/>
      <c r="B255" s="13"/>
      <c r="C255" s="13"/>
      <c r="D255" s="116"/>
      <c r="E255" s="13"/>
      <c r="F255" s="13"/>
      <c r="G255" s="13"/>
      <c r="AF255" s="134"/>
      <c r="AG255" s="134"/>
    </row>
    <row r="256" spans="1:33">
      <c r="A256" s="13"/>
      <c r="B256" s="13"/>
      <c r="C256" s="13"/>
      <c r="D256" s="116"/>
      <c r="E256" s="13"/>
      <c r="F256" s="13"/>
      <c r="G256" s="13"/>
      <c r="AF256" s="134"/>
      <c r="AG256" s="134"/>
    </row>
    <row r="257" spans="1:33">
      <c r="A257" s="13"/>
      <c r="B257" s="13"/>
      <c r="C257" s="13"/>
      <c r="D257" s="116"/>
      <c r="E257" s="13"/>
      <c r="F257" s="13"/>
      <c r="G257" s="13"/>
      <c r="AF257" s="134"/>
      <c r="AG257" s="134"/>
    </row>
    <row r="258" spans="1:33">
      <c r="A258" s="13"/>
      <c r="B258" s="13"/>
      <c r="C258" s="13"/>
      <c r="D258" s="116"/>
      <c r="E258" s="13"/>
      <c r="F258" s="13"/>
      <c r="G258" s="13"/>
      <c r="AF258" s="134"/>
      <c r="AG258" s="134"/>
    </row>
    <row r="259" spans="1:33">
      <c r="A259" s="13"/>
      <c r="B259" s="13"/>
      <c r="C259" s="13"/>
      <c r="D259" s="116"/>
      <c r="E259" s="13"/>
      <c r="F259" s="13"/>
      <c r="G259" s="13"/>
      <c r="AF259" s="134"/>
      <c r="AG259" s="134"/>
    </row>
    <row r="260" spans="1:33">
      <c r="A260" s="13"/>
      <c r="B260" s="13"/>
      <c r="C260" s="13"/>
      <c r="D260" s="116"/>
      <c r="E260" s="13"/>
      <c r="F260" s="13"/>
      <c r="G260" s="13"/>
      <c r="AF260" s="134"/>
      <c r="AG260" s="134"/>
    </row>
    <row r="261" spans="1:33">
      <c r="A261" s="13"/>
      <c r="B261" s="13"/>
      <c r="C261" s="13"/>
      <c r="D261" s="116"/>
      <c r="E261" s="13"/>
      <c r="F261" s="13"/>
      <c r="G261" s="13"/>
      <c r="AF261" s="134"/>
      <c r="AG261" s="134"/>
    </row>
    <row r="262" spans="1:33">
      <c r="A262" s="13"/>
      <c r="B262" s="13"/>
      <c r="C262" s="13"/>
      <c r="D262" s="116"/>
      <c r="E262" s="13"/>
      <c r="F262" s="13"/>
      <c r="G262" s="13"/>
      <c r="AF262" s="134"/>
      <c r="AG262" s="134"/>
    </row>
    <row r="263" spans="1:33">
      <c r="A263" s="13"/>
      <c r="B263" s="13"/>
      <c r="C263" s="13"/>
      <c r="D263" s="116"/>
      <c r="E263" s="13"/>
      <c r="F263" s="13"/>
      <c r="G263" s="13"/>
      <c r="AF263" s="134"/>
      <c r="AG263" s="134"/>
    </row>
    <row r="264" spans="1:33">
      <c r="A264" s="13"/>
      <c r="B264" s="13"/>
      <c r="C264" s="13"/>
      <c r="D264" s="116"/>
      <c r="E264" s="13"/>
      <c r="F264" s="13"/>
      <c r="G264" s="13"/>
      <c r="AF264" s="134"/>
      <c r="AG264" s="134"/>
    </row>
    <row r="265" spans="1:33">
      <c r="A265" s="13"/>
      <c r="B265" s="13"/>
      <c r="C265" s="13"/>
      <c r="D265" s="116"/>
      <c r="E265" s="13"/>
      <c r="F265" s="13"/>
      <c r="G265" s="13"/>
      <c r="AF265" s="134"/>
      <c r="AG265" s="134"/>
    </row>
    <row r="266" spans="1:33">
      <c r="A266" s="13"/>
      <c r="B266" s="13"/>
      <c r="C266" s="13"/>
      <c r="D266" s="116"/>
      <c r="E266" s="13"/>
      <c r="F266" s="13"/>
      <c r="G266" s="13"/>
      <c r="AF266" s="134"/>
      <c r="AG266" s="134"/>
    </row>
    <row r="267" spans="1:33">
      <c r="A267" s="13"/>
      <c r="B267" s="13"/>
      <c r="C267" s="13"/>
      <c r="D267" s="116"/>
      <c r="E267" s="13"/>
      <c r="F267" s="13"/>
      <c r="G267" s="13"/>
      <c r="AF267" s="134"/>
      <c r="AG267" s="134"/>
    </row>
    <row r="268" spans="1:33">
      <c r="A268" s="13"/>
      <c r="B268" s="13"/>
      <c r="C268" s="13"/>
      <c r="D268" s="116"/>
      <c r="E268" s="13"/>
      <c r="F268" s="13"/>
      <c r="G268" s="13"/>
      <c r="AF268" s="134"/>
      <c r="AG268" s="134"/>
    </row>
    <row r="269" spans="1:33">
      <c r="A269" s="13"/>
      <c r="B269" s="13"/>
      <c r="C269" s="13"/>
      <c r="D269" s="116"/>
      <c r="E269" s="13"/>
      <c r="F269" s="13"/>
      <c r="G269" s="13"/>
      <c r="AF269" s="134"/>
      <c r="AG269" s="134"/>
    </row>
    <row r="270" spans="1:33">
      <c r="A270" s="13"/>
      <c r="B270" s="13"/>
      <c r="C270" s="13"/>
      <c r="D270" s="116"/>
      <c r="E270" s="13"/>
      <c r="F270" s="13"/>
      <c r="G270" s="13"/>
      <c r="AF270" s="134"/>
      <c r="AG270" s="134"/>
    </row>
    <row r="271" spans="1:33">
      <c r="A271" s="13"/>
      <c r="B271" s="13"/>
      <c r="C271" s="13"/>
      <c r="D271" s="116"/>
      <c r="E271" s="13"/>
      <c r="F271" s="13"/>
      <c r="G271" s="13"/>
      <c r="AF271" s="134"/>
      <c r="AG271" s="134"/>
    </row>
    <row r="272" spans="1:33">
      <c r="A272" s="13"/>
      <c r="B272" s="13"/>
      <c r="C272" s="13"/>
      <c r="D272" s="116"/>
      <c r="E272" s="13"/>
      <c r="F272" s="13"/>
      <c r="G272" s="13"/>
      <c r="AF272" s="134"/>
      <c r="AG272" s="134"/>
    </row>
    <row r="273" spans="1:33">
      <c r="A273" s="13"/>
      <c r="B273" s="13"/>
      <c r="C273" s="13"/>
      <c r="D273" s="116"/>
      <c r="E273" s="13"/>
      <c r="F273" s="13"/>
      <c r="G273" s="13"/>
      <c r="AF273" s="134"/>
      <c r="AG273" s="134"/>
    </row>
    <row r="274" spans="1:33">
      <c r="A274" s="13"/>
      <c r="B274" s="13"/>
      <c r="C274" s="13"/>
      <c r="D274" s="116"/>
      <c r="E274" s="13"/>
      <c r="F274" s="13"/>
      <c r="G274" s="13"/>
      <c r="AF274" s="134"/>
      <c r="AG274" s="134"/>
    </row>
    <row r="275" spans="1:33">
      <c r="A275" s="13"/>
      <c r="B275" s="13"/>
      <c r="C275" s="13"/>
      <c r="D275" s="116"/>
      <c r="E275" s="13"/>
      <c r="F275" s="13"/>
      <c r="G275" s="13"/>
      <c r="AF275" s="134"/>
      <c r="AG275" s="134"/>
    </row>
    <row r="276" spans="1:33">
      <c r="A276" s="13"/>
      <c r="B276" s="13"/>
      <c r="C276" s="13"/>
      <c r="D276" s="116"/>
      <c r="E276" s="13"/>
      <c r="F276" s="13"/>
      <c r="G276" s="13"/>
      <c r="AF276" s="134"/>
      <c r="AG276" s="134"/>
    </row>
    <row r="277" spans="1:33">
      <c r="A277" s="13"/>
      <c r="B277" s="13"/>
      <c r="C277" s="13"/>
      <c r="D277" s="116"/>
      <c r="E277" s="13"/>
      <c r="F277" s="13"/>
      <c r="G277" s="13"/>
      <c r="AF277" s="134"/>
      <c r="AG277" s="134"/>
    </row>
    <row r="278" spans="1:33">
      <c r="A278" s="13"/>
      <c r="B278" s="13"/>
      <c r="C278" s="13"/>
      <c r="D278" s="116"/>
      <c r="E278" s="13"/>
      <c r="F278" s="13"/>
      <c r="G278" s="13"/>
      <c r="AF278" s="134"/>
      <c r="AG278" s="134"/>
    </row>
    <row r="279" spans="1:33">
      <c r="A279" s="13"/>
      <c r="B279" s="13"/>
      <c r="C279" s="13"/>
      <c r="D279" s="116"/>
      <c r="E279" s="13"/>
      <c r="F279" s="13"/>
      <c r="G279" s="13"/>
      <c r="AF279" s="134"/>
      <c r="AG279" s="134"/>
    </row>
    <row r="280" spans="1:33">
      <c r="A280" s="13"/>
      <c r="B280" s="13"/>
      <c r="C280" s="13"/>
      <c r="D280" s="116"/>
      <c r="E280" s="13"/>
      <c r="F280" s="13"/>
      <c r="G280" s="13"/>
      <c r="AF280" s="134"/>
      <c r="AG280" s="134"/>
    </row>
    <row r="281" spans="1:33">
      <c r="A281" s="13"/>
      <c r="B281" s="13"/>
      <c r="C281" s="13"/>
      <c r="D281" s="116"/>
      <c r="E281" s="13"/>
      <c r="F281" s="13"/>
      <c r="G281" s="13"/>
      <c r="AF281" s="134"/>
      <c r="AG281" s="134"/>
    </row>
    <row r="282" spans="1:33">
      <c r="A282" s="13"/>
      <c r="B282" s="13"/>
      <c r="C282" s="13"/>
      <c r="D282" s="116"/>
      <c r="E282" s="13"/>
      <c r="F282" s="13"/>
      <c r="G282" s="13"/>
      <c r="AF282" s="134"/>
      <c r="AG282" s="134"/>
    </row>
    <row r="283" spans="1:33">
      <c r="A283" s="13"/>
      <c r="B283" s="13"/>
      <c r="C283" s="13"/>
      <c r="D283" s="116"/>
      <c r="E283" s="13"/>
      <c r="F283" s="13"/>
      <c r="G283" s="13"/>
      <c r="AF283" s="134"/>
      <c r="AG283" s="134"/>
    </row>
    <row r="284" spans="1:33">
      <c r="A284" s="13"/>
      <c r="B284" s="13"/>
      <c r="C284" s="13"/>
      <c r="D284" s="116"/>
      <c r="E284" s="13"/>
      <c r="F284" s="13"/>
      <c r="G284" s="13"/>
      <c r="AF284" s="134"/>
      <c r="AG284" s="134"/>
    </row>
    <row r="285" spans="1:33">
      <c r="A285" s="13"/>
      <c r="B285" s="13"/>
      <c r="C285" s="13"/>
      <c r="D285" s="116"/>
      <c r="E285" s="13"/>
      <c r="F285" s="13"/>
      <c r="G285" s="13"/>
      <c r="AF285" s="134"/>
      <c r="AG285" s="134"/>
    </row>
    <row r="286" spans="1:33">
      <c r="A286" s="13"/>
      <c r="B286" s="13"/>
      <c r="C286" s="13"/>
      <c r="D286" s="116"/>
      <c r="E286" s="13"/>
      <c r="F286" s="13"/>
      <c r="G286" s="13"/>
      <c r="AF286" s="134"/>
      <c r="AG286" s="134"/>
    </row>
    <row r="287" spans="1:33">
      <c r="A287" s="13"/>
      <c r="B287" s="13"/>
      <c r="C287" s="13"/>
      <c r="D287" s="116"/>
      <c r="E287" s="13"/>
      <c r="F287" s="13"/>
      <c r="G287" s="13"/>
      <c r="AF287" s="134"/>
      <c r="AG287" s="134"/>
    </row>
    <row r="288" spans="1:33">
      <c r="A288" s="13"/>
      <c r="B288" s="13"/>
      <c r="C288" s="13"/>
      <c r="D288" s="116"/>
      <c r="E288" s="13"/>
      <c r="F288" s="13"/>
      <c r="G288" s="13"/>
      <c r="AF288" s="134"/>
      <c r="AG288" s="134"/>
    </row>
    <row r="289" spans="1:33">
      <c r="A289" s="13"/>
      <c r="B289" s="13"/>
      <c r="C289" s="13"/>
      <c r="D289" s="116"/>
      <c r="E289" s="13"/>
      <c r="F289" s="13"/>
      <c r="G289" s="13"/>
      <c r="AF289" s="134"/>
      <c r="AG289" s="134"/>
    </row>
    <row r="290" spans="1:33">
      <c r="A290" s="13"/>
      <c r="B290" s="13"/>
      <c r="C290" s="13"/>
      <c r="D290" s="116"/>
      <c r="E290" s="13"/>
      <c r="F290" s="13"/>
      <c r="G290" s="13"/>
      <c r="AF290" s="134"/>
      <c r="AG290" s="134"/>
    </row>
    <row r="291" spans="1:33">
      <c r="A291" s="13"/>
      <c r="B291" s="13"/>
      <c r="C291" s="13"/>
      <c r="D291" s="116"/>
      <c r="E291" s="13"/>
      <c r="F291" s="13"/>
      <c r="G291" s="13"/>
      <c r="AF291" s="134"/>
      <c r="AG291" s="134"/>
    </row>
    <row r="292" spans="1:33">
      <c r="A292" s="13"/>
      <c r="B292" s="13"/>
      <c r="C292" s="13"/>
      <c r="D292" s="116"/>
      <c r="E292" s="13"/>
      <c r="F292" s="13"/>
      <c r="G292" s="13"/>
      <c r="AF292" s="134"/>
      <c r="AG292" s="134"/>
    </row>
    <row r="293" spans="1:33">
      <c r="A293" s="13"/>
      <c r="B293" s="13"/>
      <c r="C293" s="13"/>
      <c r="D293" s="116"/>
      <c r="E293" s="13"/>
      <c r="F293" s="13"/>
      <c r="G293" s="13"/>
      <c r="AF293" s="134"/>
      <c r="AG293" s="134"/>
    </row>
    <row r="294" spans="1:33">
      <c r="A294" s="13"/>
      <c r="B294" s="13"/>
      <c r="C294" s="13"/>
      <c r="D294" s="116"/>
      <c r="E294" s="13"/>
      <c r="F294" s="13"/>
      <c r="G294" s="13"/>
      <c r="AF294" s="134"/>
      <c r="AG294" s="134"/>
    </row>
    <row r="295" spans="1:33">
      <c r="A295" s="13"/>
      <c r="B295" s="13"/>
      <c r="C295" s="13"/>
      <c r="D295" s="116"/>
      <c r="E295" s="13"/>
      <c r="F295" s="13"/>
      <c r="G295" s="13"/>
      <c r="AF295" s="134"/>
      <c r="AG295" s="134"/>
    </row>
    <row r="296" spans="1:33">
      <c r="A296" s="13"/>
      <c r="B296" s="13"/>
      <c r="C296" s="13"/>
      <c r="D296" s="116"/>
      <c r="E296" s="13"/>
      <c r="F296" s="13"/>
      <c r="G296" s="13"/>
      <c r="AF296" s="134"/>
      <c r="AG296" s="134"/>
    </row>
    <row r="297" spans="1:33">
      <c r="A297" s="13"/>
      <c r="B297" s="13"/>
      <c r="C297" s="13"/>
      <c r="D297" s="116"/>
      <c r="E297" s="13"/>
      <c r="F297" s="13"/>
      <c r="G297" s="13"/>
      <c r="AF297" s="134"/>
      <c r="AG297" s="134"/>
    </row>
    <row r="298" spans="1:33">
      <c r="A298" s="13"/>
      <c r="B298" s="13"/>
      <c r="C298" s="13"/>
      <c r="D298" s="116"/>
      <c r="E298" s="13"/>
      <c r="F298" s="13"/>
      <c r="G298" s="13"/>
      <c r="AF298" s="134"/>
      <c r="AG298" s="134"/>
    </row>
    <row r="299" spans="1:33">
      <c r="A299" s="13"/>
      <c r="B299" s="13"/>
      <c r="C299" s="13"/>
      <c r="D299" s="116"/>
      <c r="E299" s="13"/>
      <c r="F299" s="13"/>
      <c r="G299" s="13"/>
      <c r="AF299" s="134"/>
      <c r="AG299" s="134"/>
    </row>
    <row r="300" spans="1:33">
      <c r="A300" s="13"/>
      <c r="B300" s="13"/>
      <c r="C300" s="13"/>
      <c r="D300" s="116"/>
      <c r="E300" s="13"/>
      <c r="F300" s="13"/>
      <c r="G300" s="13"/>
      <c r="AF300" s="134"/>
      <c r="AG300" s="134"/>
    </row>
    <row r="301" spans="1:33">
      <c r="A301" s="13"/>
      <c r="B301" s="13"/>
      <c r="C301" s="13"/>
      <c r="D301" s="116"/>
      <c r="E301" s="13"/>
      <c r="F301" s="13"/>
      <c r="G301" s="13"/>
      <c r="AF301" s="134"/>
      <c r="AG301" s="134"/>
    </row>
    <row r="302" spans="1:33">
      <c r="A302" s="13"/>
      <c r="B302" s="13"/>
      <c r="C302" s="13"/>
      <c r="D302" s="116"/>
      <c r="E302" s="13"/>
      <c r="F302" s="13"/>
      <c r="G302" s="13"/>
      <c r="AF302" s="134"/>
      <c r="AG302" s="134"/>
    </row>
    <row r="303" spans="1:33">
      <c r="A303" s="13"/>
      <c r="B303" s="13"/>
      <c r="C303" s="13"/>
      <c r="D303" s="116"/>
      <c r="E303" s="13"/>
      <c r="F303" s="13"/>
      <c r="G303" s="13"/>
      <c r="AF303" s="134"/>
      <c r="AG303" s="134"/>
    </row>
    <row r="304" spans="1:33">
      <c r="A304" s="13"/>
      <c r="B304" s="13"/>
      <c r="C304" s="13"/>
      <c r="D304" s="116"/>
      <c r="E304" s="13"/>
      <c r="F304" s="13"/>
      <c r="G304" s="13"/>
      <c r="AF304" s="134"/>
      <c r="AG304" s="134"/>
    </row>
    <row r="305" spans="1:33">
      <c r="A305" s="13"/>
      <c r="B305" s="13"/>
      <c r="C305" s="13"/>
      <c r="D305" s="116"/>
      <c r="E305" s="13"/>
      <c r="F305" s="13"/>
      <c r="G305" s="13"/>
      <c r="AF305" s="134"/>
      <c r="AG305" s="134"/>
    </row>
    <row r="306" spans="1:33">
      <c r="A306" s="13"/>
      <c r="B306" s="13"/>
      <c r="C306" s="13"/>
      <c r="D306" s="116"/>
      <c r="E306" s="13"/>
      <c r="F306" s="13"/>
      <c r="G306" s="13"/>
      <c r="AF306" s="134"/>
      <c r="AG306" s="134"/>
    </row>
    <row r="307" spans="1:33">
      <c r="A307" s="13"/>
      <c r="B307" s="13"/>
      <c r="C307" s="13"/>
      <c r="D307" s="116"/>
      <c r="E307" s="13"/>
      <c r="F307" s="13"/>
      <c r="G307" s="13"/>
      <c r="AF307" s="134"/>
      <c r="AG307" s="134"/>
    </row>
    <row r="308" spans="1:33">
      <c r="A308" s="13"/>
      <c r="B308" s="13"/>
      <c r="C308" s="13"/>
      <c r="D308" s="116"/>
      <c r="E308" s="13"/>
      <c r="F308" s="13"/>
      <c r="G308" s="13"/>
      <c r="AF308" s="134"/>
      <c r="AG308" s="134"/>
    </row>
    <row r="309" spans="1:33">
      <c r="A309" s="13"/>
      <c r="B309" s="13"/>
      <c r="C309" s="13"/>
      <c r="D309" s="116"/>
      <c r="E309" s="13"/>
      <c r="F309" s="13"/>
      <c r="G309" s="13"/>
      <c r="AF309" s="134"/>
      <c r="AG309" s="134"/>
    </row>
    <row r="310" spans="1:33">
      <c r="A310" s="13"/>
      <c r="B310" s="13"/>
      <c r="C310" s="13"/>
      <c r="D310" s="116"/>
      <c r="E310" s="13"/>
      <c r="F310" s="13"/>
      <c r="G310" s="13"/>
      <c r="AF310" s="134"/>
      <c r="AG310" s="134"/>
    </row>
    <row r="311" spans="1:33">
      <c r="A311" s="13"/>
      <c r="B311" s="13"/>
      <c r="C311" s="13"/>
      <c r="D311" s="116"/>
      <c r="E311" s="13"/>
      <c r="F311" s="13"/>
      <c r="G311" s="13"/>
      <c r="AF311" s="134"/>
      <c r="AG311" s="134"/>
    </row>
    <row r="312" spans="1:33">
      <c r="A312" s="13"/>
      <c r="B312" s="13"/>
      <c r="C312" s="13"/>
      <c r="D312" s="116"/>
      <c r="E312" s="13"/>
      <c r="F312" s="13"/>
      <c r="G312" s="13"/>
      <c r="AF312" s="134"/>
      <c r="AG312" s="134"/>
    </row>
    <row r="313" spans="1:33">
      <c r="A313" s="13"/>
      <c r="B313" s="13"/>
      <c r="C313" s="13"/>
      <c r="D313" s="116"/>
      <c r="E313" s="13"/>
      <c r="F313" s="13"/>
      <c r="G313" s="13"/>
      <c r="AF313" s="134"/>
      <c r="AG313" s="134"/>
    </row>
    <row r="314" spans="1:33">
      <c r="A314" s="13"/>
      <c r="B314" s="13"/>
      <c r="C314" s="13"/>
      <c r="D314" s="116"/>
      <c r="E314" s="13"/>
      <c r="F314" s="13"/>
      <c r="G314" s="13"/>
      <c r="AF314" s="134"/>
      <c r="AG314" s="134"/>
    </row>
    <row r="315" spans="1:33">
      <c r="A315" s="13"/>
      <c r="B315" s="13"/>
      <c r="C315" s="13"/>
      <c r="D315" s="116"/>
      <c r="E315" s="13"/>
      <c r="F315" s="13"/>
      <c r="G315" s="13"/>
      <c r="AF315" s="134"/>
      <c r="AG315" s="134"/>
    </row>
    <row r="316" spans="1:33">
      <c r="A316" s="13"/>
      <c r="B316" s="13"/>
      <c r="C316" s="13"/>
      <c r="D316" s="116"/>
      <c r="E316" s="13"/>
      <c r="F316" s="13"/>
      <c r="G316" s="13"/>
      <c r="AF316" s="134"/>
      <c r="AG316" s="134"/>
    </row>
    <row r="317" spans="1:33">
      <c r="A317" s="13"/>
      <c r="B317" s="13"/>
      <c r="C317" s="13"/>
      <c r="D317" s="116"/>
      <c r="E317" s="13"/>
      <c r="F317" s="13"/>
      <c r="G317" s="13"/>
      <c r="AF317" s="134"/>
      <c r="AG317" s="134"/>
    </row>
    <row r="318" spans="1:33">
      <c r="A318" s="13"/>
      <c r="B318" s="13"/>
      <c r="C318" s="13"/>
      <c r="D318" s="116"/>
      <c r="E318" s="13"/>
      <c r="F318" s="13"/>
      <c r="G318" s="13"/>
      <c r="AF318" s="134"/>
      <c r="AG318" s="134"/>
    </row>
    <row r="319" spans="1:33">
      <c r="A319" s="13"/>
      <c r="B319" s="13"/>
      <c r="C319" s="13"/>
      <c r="D319" s="116"/>
      <c r="E319" s="13"/>
      <c r="F319" s="13"/>
      <c r="G319" s="13"/>
      <c r="AF319" s="134"/>
      <c r="AG319" s="134"/>
    </row>
    <row r="320" spans="1:33">
      <c r="A320" s="13"/>
      <c r="B320" s="13"/>
      <c r="C320" s="13"/>
      <c r="D320" s="116"/>
      <c r="E320" s="13"/>
      <c r="F320" s="13"/>
      <c r="G320" s="13"/>
      <c r="AF320" s="134"/>
      <c r="AG320" s="134"/>
    </row>
    <row r="321" spans="1:33">
      <c r="A321" s="13"/>
      <c r="B321" s="13"/>
      <c r="C321" s="13"/>
      <c r="D321" s="116"/>
      <c r="E321" s="13"/>
      <c r="F321" s="13"/>
      <c r="G321" s="13"/>
      <c r="AF321" s="134"/>
      <c r="AG321" s="134"/>
    </row>
    <row r="322" spans="1:33">
      <c r="A322" s="13"/>
      <c r="B322" s="13"/>
      <c r="C322" s="13"/>
      <c r="D322" s="116"/>
      <c r="E322" s="13"/>
      <c r="F322" s="13"/>
      <c r="G322" s="13"/>
      <c r="AF322" s="134"/>
      <c r="AG322" s="134"/>
    </row>
    <row r="323" spans="1:33">
      <c r="A323" s="13"/>
      <c r="B323" s="13"/>
      <c r="C323" s="13"/>
      <c r="D323" s="116"/>
      <c r="E323" s="13"/>
      <c r="F323" s="13"/>
      <c r="G323" s="13"/>
      <c r="AF323" s="134"/>
      <c r="AG323" s="134"/>
    </row>
    <row r="324" spans="1:33">
      <c r="A324" s="13"/>
      <c r="B324" s="13"/>
      <c r="C324" s="13"/>
      <c r="D324" s="116"/>
      <c r="E324" s="13"/>
      <c r="F324" s="13"/>
      <c r="G324" s="13"/>
      <c r="AF324" s="134"/>
      <c r="AG324" s="134"/>
    </row>
    <row r="325" spans="1:33">
      <c r="A325" s="13"/>
      <c r="B325" s="13"/>
      <c r="C325" s="13"/>
      <c r="D325" s="116"/>
      <c r="E325" s="13"/>
      <c r="F325" s="13"/>
      <c r="G325" s="13"/>
      <c r="AF325" s="134"/>
      <c r="AG325" s="134"/>
    </row>
    <row r="326" spans="1:33">
      <c r="A326" s="13"/>
      <c r="B326" s="13"/>
      <c r="C326" s="13"/>
      <c r="D326" s="116"/>
      <c r="E326" s="13"/>
      <c r="F326" s="13"/>
      <c r="G326" s="13"/>
      <c r="AF326" s="134"/>
      <c r="AG326" s="134"/>
    </row>
    <row r="327" spans="1:33">
      <c r="A327" s="13"/>
      <c r="B327" s="13"/>
      <c r="C327" s="13"/>
      <c r="D327" s="116"/>
      <c r="E327" s="13"/>
      <c r="F327" s="13"/>
      <c r="G327" s="13"/>
      <c r="AF327" s="134"/>
      <c r="AG327" s="134"/>
    </row>
    <row r="328" spans="1:33">
      <c r="A328" s="13"/>
      <c r="B328" s="13"/>
      <c r="C328" s="13"/>
      <c r="D328" s="116"/>
      <c r="E328" s="13"/>
      <c r="F328" s="13"/>
      <c r="G328" s="13"/>
      <c r="AF328" s="134"/>
      <c r="AG328" s="134"/>
    </row>
    <row r="329" spans="1:33">
      <c r="A329" s="13"/>
      <c r="B329" s="13"/>
      <c r="C329" s="13"/>
      <c r="D329" s="116"/>
      <c r="E329" s="13"/>
      <c r="F329" s="13"/>
      <c r="G329" s="13"/>
      <c r="AF329" s="134"/>
      <c r="AG329" s="134"/>
    </row>
    <row r="330" spans="1:33">
      <c r="A330" s="13"/>
      <c r="B330" s="13"/>
      <c r="C330" s="13"/>
      <c r="D330" s="116"/>
      <c r="E330" s="13"/>
      <c r="F330" s="13"/>
      <c r="G330" s="13"/>
      <c r="AF330" s="134"/>
      <c r="AG330" s="134"/>
    </row>
    <row r="331" spans="1:33">
      <c r="A331" s="13"/>
      <c r="B331" s="13"/>
      <c r="C331" s="13"/>
      <c r="D331" s="116"/>
      <c r="E331" s="13"/>
      <c r="F331" s="13"/>
      <c r="G331" s="13"/>
      <c r="AF331" s="134"/>
      <c r="AG331" s="134"/>
    </row>
    <row r="332" spans="1:33">
      <c r="A332" s="13"/>
      <c r="B332" s="13"/>
      <c r="C332" s="13"/>
      <c r="D332" s="116"/>
      <c r="E332" s="13"/>
      <c r="F332" s="13"/>
      <c r="G332" s="13"/>
      <c r="AF332" s="134"/>
      <c r="AG332" s="134"/>
    </row>
    <row r="333" spans="1:33">
      <c r="A333" s="13"/>
      <c r="B333" s="13"/>
      <c r="C333" s="13"/>
      <c r="D333" s="116"/>
      <c r="E333" s="13"/>
      <c r="F333" s="13"/>
      <c r="G333" s="13"/>
      <c r="AF333" s="134"/>
      <c r="AG333" s="134"/>
    </row>
    <row r="334" spans="1:33">
      <c r="A334" s="13"/>
      <c r="B334" s="13"/>
      <c r="C334" s="13"/>
      <c r="D334" s="116"/>
      <c r="E334" s="13"/>
      <c r="F334" s="13"/>
      <c r="G334" s="13"/>
      <c r="AF334" s="134"/>
      <c r="AG334" s="134"/>
    </row>
    <row r="335" spans="1:33">
      <c r="A335" s="13"/>
      <c r="B335" s="13"/>
      <c r="C335" s="13"/>
      <c r="D335" s="116"/>
      <c r="E335" s="13"/>
      <c r="F335" s="13"/>
      <c r="G335" s="13"/>
      <c r="AF335" s="134"/>
      <c r="AG335" s="134"/>
    </row>
    <row r="336" spans="1:33">
      <c r="A336" s="13"/>
      <c r="B336" s="13"/>
      <c r="C336" s="13"/>
      <c r="D336" s="116"/>
      <c r="E336" s="13"/>
      <c r="F336" s="13"/>
      <c r="G336" s="13"/>
      <c r="AF336" s="134"/>
      <c r="AG336" s="134"/>
    </row>
    <row r="337" spans="1:33">
      <c r="A337" s="13"/>
      <c r="B337" s="13"/>
      <c r="C337" s="13"/>
      <c r="D337" s="116"/>
      <c r="E337" s="13"/>
      <c r="F337" s="13"/>
      <c r="G337" s="13"/>
      <c r="AF337" s="134"/>
      <c r="AG337" s="134"/>
    </row>
    <row r="338" spans="1:33">
      <c r="A338" s="13"/>
      <c r="B338" s="13"/>
      <c r="C338" s="13"/>
      <c r="D338" s="116"/>
      <c r="E338" s="13"/>
      <c r="F338" s="13"/>
      <c r="G338" s="13"/>
      <c r="AF338" s="134"/>
      <c r="AG338" s="134"/>
    </row>
    <row r="339" spans="1:33">
      <c r="A339" s="13"/>
      <c r="B339" s="13"/>
      <c r="C339" s="13"/>
      <c r="D339" s="116"/>
      <c r="E339" s="13"/>
      <c r="F339" s="13"/>
      <c r="G339" s="13"/>
      <c r="AF339" s="134"/>
      <c r="AG339" s="134"/>
    </row>
    <row r="340" spans="1:33">
      <c r="A340" s="13"/>
      <c r="B340" s="13"/>
      <c r="C340" s="13"/>
      <c r="D340" s="116"/>
      <c r="E340" s="13"/>
      <c r="F340" s="13"/>
      <c r="G340" s="13"/>
      <c r="AF340" s="134"/>
      <c r="AG340" s="134"/>
    </row>
    <row r="341" spans="1:33">
      <c r="A341" s="13"/>
      <c r="B341" s="13"/>
      <c r="C341" s="13"/>
      <c r="D341" s="116"/>
      <c r="E341" s="13"/>
      <c r="F341" s="13"/>
      <c r="G341" s="13"/>
      <c r="AF341" s="134"/>
      <c r="AG341" s="134"/>
    </row>
    <row r="342" spans="1:33">
      <c r="A342" s="13"/>
      <c r="B342" s="13"/>
      <c r="C342" s="13"/>
      <c r="D342" s="116"/>
      <c r="E342" s="13"/>
      <c r="F342" s="13"/>
      <c r="G342" s="13"/>
      <c r="AF342" s="134"/>
      <c r="AG342" s="134"/>
    </row>
    <row r="343" spans="1:33">
      <c r="A343" s="13"/>
      <c r="B343" s="13"/>
      <c r="C343" s="13"/>
      <c r="D343" s="116"/>
      <c r="E343" s="13"/>
      <c r="F343" s="13"/>
      <c r="G343" s="13"/>
      <c r="AF343" s="134"/>
      <c r="AG343" s="134"/>
    </row>
    <row r="344" spans="1:33">
      <c r="A344" s="13"/>
      <c r="B344" s="13"/>
      <c r="C344" s="13"/>
      <c r="D344" s="116"/>
      <c r="E344" s="13"/>
      <c r="F344" s="13"/>
      <c r="G344" s="13"/>
      <c r="AF344" s="134"/>
      <c r="AG344" s="134"/>
    </row>
    <row r="345" spans="1:33">
      <c r="A345" s="13"/>
      <c r="B345" s="13"/>
      <c r="C345" s="13"/>
      <c r="D345" s="116"/>
      <c r="E345" s="13"/>
      <c r="F345" s="13"/>
      <c r="G345" s="13"/>
      <c r="AF345" s="134"/>
      <c r="AG345" s="134"/>
    </row>
    <row r="346" spans="1:33">
      <c r="A346" s="13"/>
      <c r="B346" s="13"/>
      <c r="C346" s="13"/>
      <c r="D346" s="116"/>
      <c r="E346" s="13"/>
      <c r="F346" s="13"/>
      <c r="G346" s="13"/>
      <c r="AF346" s="134"/>
      <c r="AG346" s="134"/>
    </row>
    <row r="347" spans="1:33">
      <c r="A347" s="13"/>
      <c r="B347" s="13"/>
      <c r="C347" s="13"/>
      <c r="D347" s="116"/>
      <c r="E347" s="13"/>
      <c r="F347" s="13"/>
      <c r="G347" s="13"/>
      <c r="AF347" s="134"/>
      <c r="AG347" s="134"/>
    </row>
    <row r="348" spans="1:33">
      <c r="A348" s="13"/>
      <c r="B348" s="13"/>
      <c r="C348" s="13"/>
      <c r="D348" s="116"/>
      <c r="E348" s="13"/>
      <c r="F348" s="13"/>
      <c r="G348" s="13"/>
      <c r="AF348" s="134"/>
      <c r="AG348" s="134"/>
    </row>
    <row r="349" spans="1:33">
      <c r="A349" s="13"/>
      <c r="B349" s="13"/>
      <c r="C349" s="13"/>
      <c r="D349" s="116"/>
      <c r="E349" s="13"/>
      <c r="F349" s="13"/>
      <c r="G349" s="13"/>
      <c r="AF349" s="134"/>
      <c r="AG349" s="134"/>
    </row>
    <row r="350" spans="1:33">
      <c r="A350" s="13"/>
      <c r="B350" s="13"/>
      <c r="C350" s="13"/>
      <c r="D350" s="116"/>
      <c r="E350" s="13"/>
      <c r="F350" s="13"/>
      <c r="G350" s="13"/>
      <c r="AF350" s="134"/>
      <c r="AG350" s="134"/>
    </row>
    <row r="351" spans="1:33">
      <c r="A351" s="13"/>
      <c r="B351" s="13"/>
      <c r="C351" s="13"/>
      <c r="D351" s="116"/>
      <c r="E351" s="13"/>
      <c r="F351" s="13"/>
      <c r="G351" s="13"/>
      <c r="AF351" s="134"/>
      <c r="AG351" s="134"/>
    </row>
    <row r="352" spans="1:33">
      <c r="A352" s="13"/>
      <c r="B352" s="13"/>
      <c r="C352" s="13"/>
      <c r="D352" s="116"/>
      <c r="E352" s="13"/>
      <c r="F352" s="13"/>
      <c r="G352" s="13"/>
      <c r="AF352" s="134"/>
      <c r="AG352" s="134"/>
    </row>
    <row r="353" spans="1:33">
      <c r="A353" s="13"/>
      <c r="B353" s="13"/>
      <c r="C353" s="13"/>
      <c r="D353" s="116"/>
      <c r="E353" s="13"/>
      <c r="F353" s="13"/>
      <c r="G353" s="13"/>
      <c r="AF353" s="134"/>
      <c r="AG353" s="134"/>
    </row>
    <row r="354" spans="1:33">
      <c r="A354" s="13"/>
      <c r="B354" s="13"/>
      <c r="C354" s="13"/>
      <c r="D354" s="116"/>
      <c r="E354" s="13"/>
      <c r="F354" s="13"/>
      <c r="G354" s="13"/>
      <c r="AF354" s="134"/>
      <c r="AG354" s="134"/>
    </row>
    <row r="355" spans="1:33">
      <c r="A355" s="13"/>
      <c r="B355" s="13"/>
      <c r="C355" s="13"/>
      <c r="D355" s="116"/>
      <c r="E355" s="13"/>
      <c r="F355" s="13"/>
      <c r="G355" s="13"/>
      <c r="AF355" s="134"/>
      <c r="AG355" s="134"/>
    </row>
    <row r="356" spans="1:33">
      <c r="A356" s="13"/>
      <c r="B356" s="13"/>
      <c r="C356" s="13"/>
      <c r="D356" s="116"/>
      <c r="E356" s="13"/>
      <c r="F356" s="13"/>
      <c r="G356" s="13"/>
      <c r="AF356" s="134"/>
      <c r="AG356" s="134"/>
    </row>
    <row r="357" spans="1:33">
      <c r="A357" s="13"/>
      <c r="B357" s="13"/>
      <c r="C357" s="13"/>
      <c r="D357" s="116"/>
      <c r="E357" s="13"/>
      <c r="F357" s="13"/>
      <c r="G357" s="13"/>
      <c r="AF357" s="134"/>
      <c r="AG357" s="134"/>
    </row>
    <row r="358" spans="1:33">
      <c r="A358" s="13"/>
      <c r="B358" s="13"/>
      <c r="C358" s="13"/>
      <c r="D358" s="116"/>
      <c r="E358" s="13"/>
      <c r="F358" s="13"/>
      <c r="G358" s="13"/>
      <c r="AF358" s="134"/>
      <c r="AG358" s="134"/>
    </row>
    <row r="359" spans="1:33">
      <c r="A359" s="13"/>
      <c r="B359" s="13"/>
      <c r="C359" s="13"/>
      <c r="D359" s="116"/>
      <c r="E359" s="13"/>
      <c r="F359" s="13"/>
      <c r="G359" s="13"/>
      <c r="AF359" s="134"/>
      <c r="AG359" s="134"/>
    </row>
    <row r="360" spans="1:33">
      <c r="A360" s="13"/>
      <c r="B360" s="13"/>
      <c r="C360" s="13"/>
      <c r="D360" s="116"/>
      <c r="E360" s="13"/>
      <c r="F360" s="13"/>
      <c r="G360" s="13"/>
      <c r="AF360" s="134"/>
      <c r="AG360" s="134"/>
    </row>
    <row r="361" spans="1:33">
      <c r="A361" s="13"/>
      <c r="B361" s="13"/>
      <c r="C361" s="13"/>
      <c r="D361" s="116"/>
      <c r="E361" s="13"/>
      <c r="F361" s="13"/>
      <c r="G361" s="13"/>
      <c r="AF361" s="134"/>
      <c r="AG361" s="134"/>
    </row>
    <row r="362" spans="1:33">
      <c r="A362" s="13"/>
      <c r="B362" s="13"/>
      <c r="C362" s="13"/>
      <c r="D362" s="116"/>
      <c r="E362" s="13"/>
      <c r="F362" s="13"/>
      <c r="G362" s="13"/>
      <c r="AF362" s="134"/>
      <c r="AG362" s="134"/>
    </row>
    <row r="363" spans="1:33">
      <c r="A363" s="13"/>
      <c r="B363" s="13"/>
      <c r="C363" s="13"/>
      <c r="D363" s="116"/>
      <c r="E363" s="13"/>
      <c r="F363" s="13"/>
      <c r="G363" s="13"/>
      <c r="AF363" s="134"/>
      <c r="AG363" s="134"/>
    </row>
    <row r="364" spans="1:33">
      <c r="A364" s="13"/>
      <c r="B364" s="13"/>
      <c r="C364" s="13"/>
      <c r="D364" s="116"/>
      <c r="E364" s="13"/>
      <c r="F364" s="13"/>
      <c r="G364" s="13"/>
      <c r="AF364" s="134"/>
      <c r="AG364" s="134"/>
    </row>
    <row r="365" spans="1:33">
      <c r="A365" s="13"/>
      <c r="B365" s="13"/>
      <c r="C365" s="13"/>
      <c r="D365" s="116"/>
      <c r="E365" s="13"/>
      <c r="F365" s="13"/>
      <c r="G365" s="13"/>
      <c r="AF365" s="134"/>
      <c r="AG365" s="134"/>
    </row>
    <row r="366" spans="1:33">
      <c r="A366" s="13"/>
      <c r="B366" s="13"/>
      <c r="C366" s="13"/>
      <c r="D366" s="116"/>
      <c r="E366" s="13"/>
      <c r="F366" s="13"/>
      <c r="G366" s="13"/>
      <c r="AF366" s="134"/>
      <c r="AG366" s="134"/>
    </row>
    <row r="367" spans="1:33">
      <c r="A367" s="13"/>
      <c r="B367" s="13"/>
      <c r="C367" s="13"/>
      <c r="D367" s="116"/>
      <c r="E367" s="13"/>
      <c r="F367" s="13"/>
      <c r="G367" s="13"/>
      <c r="AF367" s="134"/>
      <c r="AG367" s="134"/>
    </row>
    <row r="368" spans="1:33">
      <c r="A368" s="13"/>
      <c r="B368" s="13"/>
      <c r="C368" s="13"/>
      <c r="D368" s="116"/>
      <c r="E368" s="13"/>
      <c r="F368" s="13"/>
      <c r="G368" s="13"/>
      <c r="AF368" s="134"/>
      <c r="AG368" s="134"/>
    </row>
    <row r="369" spans="1:33">
      <c r="A369" s="13"/>
      <c r="B369" s="13"/>
      <c r="C369" s="13"/>
      <c r="D369" s="116"/>
      <c r="E369" s="13"/>
      <c r="F369" s="13"/>
      <c r="G369" s="13"/>
      <c r="AF369" s="134"/>
      <c r="AG369" s="134"/>
    </row>
    <row r="370" spans="1:33">
      <c r="A370" s="13"/>
      <c r="B370" s="13"/>
      <c r="C370" s="13"/>
      <c r="D370" s="116"/>
      <c r="E370" s="13"/>
      <c r="F370" s="13"/>
      <c r="G370" s="13"/>
      <c r="AF370" s="134"/>
      <c r="AG370" s="134"/>
    </row>
    <row r="371" spans="1:33">
      <c r="A371" s="13"/>
      <c r="B371" s="13"/>
      <c r="C371" s="13"/>
      <c r="D371" s="116"/>
      <c r="E371" s="13"/>
      <c r="F371" s="13"/>
      <c r="G371" s="13"/>
      <c r="AF371" s="134"/>
      <c r="AG371" s="134"/>
    </row>
    <row r="372" spans="1:33">
      <c r="A372" s="13"/>
      <c r="B372" s="13"/>
      <c r="C372" s="13"/>
      <c r="D372" s="116"/>
      <c r="E372" s="13"/>
      <c r="F372" s="13"/>
      <c r="G372" s="13"/>
      <c r="AF372" s="134"/>
      <c r="AG372" s="134"/>
    </row>
    <row r="373" spans="1:33">
      <c r="A373" s="13"/>
      <c r="B373" s="13"/>
      <c r="C373" s="13"/>
      <c r="D373" s="116"/>
      <c r="E373" s="13"/>
      <c r="F373" s="13"/>
      <c r="G373" s="13"/>
      <c r="AF373" s="134"/>
      <c r="AG373" s="134"/>
    </row>
    <row r="374" spans="1:33">
      <c r="A374" s="13"/>
      <c r="B374" s="13"/>
      <c r="C374" s="13"/>
      <c r="D374" s="116"/>
      <c r="E374" s="13"/>
      <c r="F374" s="13"/>
      <c r="G374" s="13"/>
      <c r="AF374" s="134"/>
      <c r="AG374" s="134"/>
    </row>
    <row r="375" spans="1:33">
      <c r="A375" s="13"/>
      <c r="B375" s="13"/>
      <c r="C375" s="13"/>
      <c r="D375" s="116"/>
      <c r="E375" s="13"/>
      <c r="F375" s="13"/>
      <c r="G375" s="13"/>
      <c r="AF375" s="134"/>
      <c r="AG375" s="134"/>
    </row>
    <row r="376" spans="1:33">
      <c r="A376" s="13"/>
      <c r="B376" s="13"/>
      <c r="C376" s="13"/>
      <c r="D376" s="116"/>
      <c r="E376" s="13"/>
      <c r="F376" s="13"/>
      <c r="G376" s="13"/>
      <c r="AF376" s="134"/>
      <c r="AG376" s="134"/>
    </row>
    <row r="377" spans="1:33">
      <c r="A377" s="13"/>
      <c r="B377" s="13"/>
      <c r="C377" s="13"/>
      <c r="D377" s="116"/>
      <c r="E377" s="13"/>
      <c r="F377" s="13"/>
      <c r="G377" s="13"/>
      <c r="AF377" s="134"/>
      <c r="AG377" s="134"/>
    </row>
    <row r="378" spans="1:33">
      <c r="A378" s="13"/>
      <c r="B378" s="13"/>
      <c r="C378" s="13"/>
      <c r="D378" s="116"/>
      <c r="E378" s="13"/>
      <c r="F378" s="13"/>
      <c r="G378" s="13"/>
      <c r="AF378" s="134"/>
      <c r="AG378" s="134"/>
    </row>
    <row r="379" spans="1:33">
      <c r="A379" s="13"/>
      <c r="B379" s="13"/>
      <c r="C379" s="13"/>
      <c r="D379" s="116"/>
      <c r="E379" s="13"/>
      <c r="F379" s="13"/>
      <c r="G379" s="13"/>
      <c r="AF379" s="134"/>
      <c r="AG379" s="134"/>
    </row>
    <row r="380" spans="1:33">
      <c r="A380" s="13"/>
      <c r="B380" s="13"/>
      <c r="C380" s="13"/>
      <c r="D380" s="116"/>
      <c r="E380" s="13"/>
      <c r="F380" s="13"/>
      <c r="G380" s="13"/>
      <c r="AF380" s="134"/>
      <c r="AG380" s="134"/>
    </row>
    <row r="381" spans="1:33">
      <c r="A381" s="13"/>
      <c r="B381" s="13"/>
      <c r="C381" s="13"/>
      <c r="D381" s="116"/>
      <c r="E381" s="13"/>
      <c r="F381" s="13"/>
      <c r="G381" s="13"/>
      <c r="AF381" s="134"/>
      <c r="AG381" s="134"/>
    </row>
    <row r="382" spans="1:33">
      <c r="A382" s="13"/>
      <c r="B382" s="13"/>
      <c r="C382" s="13"/>
      <c r="D382" s="116"/>
      <c r="E382" s="13"/>
      <c r="F382" s="13"/>
      <c r="G382" s="13"/>
      <c r="AF382" s="134"/>
      <c r="AG382" s="134"/>
    </row>
    <row r="383" spans="1:33">
      <c r="A383" s="13"/>
      <c r="B383" s="13"/>
      <c r="C383" s="13"/>
      <c r="D383" s="116"/>
      <c r="E383" s="13"/>
      <c r="F383" s="13"/>
      <c r="G383" s="13"/>
      <c r="AF383" s="134"/>
      <c r="AG383" s="134"/>
    </row>
    <row r="384" spans="1:33">
      <c r="A384" s="13"/>
      <c r="B384" s="13"/>
      <c r="C384" s="13"/>
      <c r="D384" s="116"/>
      <c r="E384" s="13"/>
      <c r="F384" s="13"/>
      <c r="G384" s="13"/>
      <c r="AF384" s="134"/>
      <c r="AG384" s="134"/>
    </row>
    <row r="385" spans="1:33">
      <c r="A385" s="13"/>
      <c r="B385" s="13"/>
      <c r="C385" s="13"/>
      <c r="D385" s="116"/>
      <c r="E385" s="13"/>
      <c r="F385" s="13"/>
      <c r="G385" s="13"/>
      <c r="AF385" s="134"/>
      <c r="AG385" s="134"/>
    </row>
    <row r="386" spans="1:33">
      <c r="A386" s="13"/>
      <c r="B386" s="13"/>
      <c r="C386" s="13"/>
      <c r="D386" s="116"/>
      <c r="E386" s="13"/>
      <c r="F386" s="13"/>
      <c r="G386" s="13"/>
      <c r="AF386" s="134"/>
      <c r="AG386" s="134"/>
    </row>
    <row r="387" spans="1:33">
      <c r="A387" s="13"/>
      <c r="B387" s="13"/>
      <c r="C387" s="13"/>
      <c r="D387" s="116"/>
      <c r="E387" s="13"/>
      <c r="F387" s="13"/>
      <c r="G387" s="13"/>
      <c r="AF387" s="134"/>
      <c r="AG387" s="134"/>
    </row>
    <row r="388" spans="1:33">
      <c r="A388" s="13"/>
      <c r="B388" s="13"/>
      <c r="C388" s="13"/>
      <c r="D388" s="116"/>
      <c r="E388" s="13"/>
      <c r="F388" s="13"/>
      <c r="G388" s="13"/>
      <c r="AF388" s="134"/>
      <c r="AG388" s="134"/>
    </row>
    <row r="389" spans="1:33">
      <c r="A389" s="13"/>
      <c r="B389" s="13"/>
      <c r="C389" s="13"/>
      <c r="D389" s="116"/>
      <c r="E389" s="13"/>
      <c r="F389" s="13"/>
      <c r="G389" s="13"/>
      <c r="AF389" s="134"/>
      <c r="AG389" s="134"/>
    </row>
    <row r="390" spans="1:33">
      <c r="A390" s="13"/>
      <c r="B390" s="13"/>
      <c r="C390" s="13"/>
      <c r="D390" s="116"/>
      <c r="E390" s="13"/>
      <c r="F390" s="13"/>
      <c r="G390" s="13"/>
      <c r="AF390" s="134"/>
      <c r="AG390" s="134"/>
    </row>
    <row r="391" spans="1:33">
      <c r="A391" s="13"/>
      <c r="B391" s="13"/>
      <c r="C391" s="13"/>
      <c r="D391" s="116"/>
      <c r="E391" s="13"/>
      <c r="F391" s="13"/>
      <c r="G391" s="13"/>
      <c r="AF391" s="134"/>
      <c r="AG391" s="134"/>
    </row>
    <row r="392" spans="1:33">
      <c r="A392" s="13"/>
      <c r="B392" s="13"/>
      <c r="C392" s="13"/>
      <c r="D392" s="116"/>
      <c r="E392" s="13"/>
      <c r="F392" s="13"/>
      <c r="G392" s="13"/>
      <c r="AF392" s="134"/>
      <c r="AG392" s="134"/>
    </row>
    <row r="393" spans="1:33">
      <c r="A393" s="13"/>
      <c r="B393" s="13"/>
      <c r="C393" s="13"/>
      <c r="D393" s="116"/>
      <c r="E393" s="13"/>
      <c r="F393" s="13"/>
      <c r="G393" s="13"/>
      <c r="AF393" s="134"/>
      <c r="AG393" s="134"/>
    </row>
    <row r="394" spans="1:33">
      <c r="A394" s="13"/>
      <c r="B394" s="13"/>
      <c r="C394" s="13"/>
      <c r="D394" s="116"/>
      <c r="E394" s="13"/>
      <c r="F394" s="13"/>
      <c r="G394" s="13"/>
      <c r="AF394" s="134"/>
      <c r="AG394" s="134"/>
    </row>
    <row r="395" spans="1:33">
      <c r="A395" s="13"/>
      <c r="B395" s="13"/>
      <c r="C395" s="13"/>
      <c r="D395" s="116"/>
      <c r="E395" s="13"/>
      <c r="F395" s="13"/>
      <c r="G395" s="13"/>
      <c r="AF395" s="134"/>
      <c r="AG395" s="134"/>
    </row>
    <row r="396" spans="1:33">
      <c r="A396" s="13"/>
      <c r="B396" s="13"/>
      <c r="C396" s="13"/>
      <c r="D396" s="116"/>
      <c r="E396" s="13"/>
      <c r="F396" s="13"/>
      <c r="G396" s="13"/>
      <c r="AF396" s="134"/>
      <c r="AG396" s="134"/>
    </row>
    <row r="397" spans="1:33">
      <c r="A397" s="13"/>
      <c r="B397" s="13"/>
      <c r="C397" s="13"/>
      <c r="D397" s="116"/>
      <c r="E397" s="13"/>
      <c r="F397" s="13"/>
      <c r="G397" s="13"/>
      <c r="AF397" s="134"/>
      <c r="AG397" s="134"/>
    </row>
    <row r="398" spans="1:33">
      <c r="A398" s="13"/>
      <c r="B398" s="13"/>
      <c r="C398" s="13"/>
      <c r="D398" s="116"/>
      <c r="E398" s="13"/>
      <c r="F398" s="13"/>
      <c r="G398" s="13"/>
      <c r="AF398" s="134"/>
      <c r="AG398" s="134"/>
    </row>
    <row r="399" spans="1:33">
      <c r="A399" s="13"/>
      <c r="B399" s="13"/>
      <c r="C399" s="13"/>
      <c r="D399" s="116"/>
      <c r="E399" s="13"/>
      <c r="F399" s="13"/>
      <c r="G399" s="13"/>
      <c r="AF399" s="134"/>
      <c r="AG399" s="134"/>
    </row>
    <row r="400" spans="1:33">
      <c r="A400" s="13"/>
      <c r="B400" s="13"/>
      <c r="C400" s="13"/>
      <c r="D400" s="116"/>
      <c r="E400" s="13"/>
      <c r="F400" s="13"/>
      <c r="G400" s="13"/>
      <c r="AF400" s="134"/>
      <c r="AG400" s="134"/>
    </row>
    <row r="401" spans="1:33">
      <c r="A401" s="13"/>
      <c r="B401" s="13"/>
      <c r="C401" s="13"/>
      <c r="D401" s="116"/>
      <c r="E401" s="13"/>
      <c r="F401" s="13"/>
      <c r="G401" s="13"/>
      <c r="AF401" s="134"/>
      <c r="AG401" s="134"/>
    </row>
    <row r="402" spans="1:33">
      <c r="A402" s="13"/>
      <c r="B402" s="13"/>
      <c r="C402" s="13"/>
      <c r="D402" s="116"/>
      <c r="E402" s="13"/>
      <c r="F402" s="13"/>
      <c r="G402" s="13"/>
      <c r="AF402" s="134"/>
      <c r="AG402" s="134"/>
    </row>
    <row r="403" spans="1:33">
      <c r="A403" s="13"/>
      <c r="B403" s="13"/>
      <c r="C403" s="13"/>
      <c r="D403" s="116"/>
      <c r="E403" s="13"/>
      <c r="F403" s="13"/>
      <c r="G403" s="13"/>
      <c r="AF403" s="134"/>
      <c r="AG403" s="134"/>
    </row>
    <row r="404" spans="1:33">
      <c r="A404" s="13"/>
      <c r="B404" s="13"/>
      <c r="C404" s="13"/>
      <c r="D404" s="116"/>
      <c r="E404" s="13"/>
      <c r="F404" s="13"/>
      <c r="G404" s="13"/>
      <c r="AF404" s="134"/>
      <c r="AG404" s="134"/>
    </row>
    <row r="405" spans="1:33">
      <c r="A405" s="13"/>
      <c r="B405" s="13"/>
      <c r="C405" s="13"/>
      <c r="D405" s="116"/>
      <c r="E405" s="13"/>
      <c r="F405" s="13"/>
      <c r="G405" s="13"/>
      <c r="AF405" s="134"/>
      <c r="AG405" s="134"/>
    </row>
    <row r="406" spans="1:33">
      <c r="A406" s="13"/>
      <c r="B406" s="13"/>
      <c r="C406" s="13"/>
      <c r="D406" s="116"/>
      <c r="E406" s="13"/>
      <c r="F406" s="13"/>
      <c r="G406" s="13"/>
      <c r="AF406" s="134"/>
      <c r="AG406" s="134"/>
    </row>
    <row r="407" spans="1:33">
      <c r="A407" s="13"/>
      <c r="B407" s="13"/>
      <c r="C407" s="13"/>
      <c r="D407" s="116"/>
      <c r="E407" s="13"/>
      <c r="F407" s="13"/>
      <c r="G407" s="13"/>
      <c r="AF407" s="134"/>
      <c r="AG407" s="134"/>
    </row>
    <row r="408" spans="1:33">
      <c r="A408" s="13"/>
      <c r="B408" s="13"/>
      <c r="C408" s="13"/>
      <c r="D408" s="116"/>
      <c r="E408" s="13"/>
      <c r="F408" s="13"/>
      <c r="G408" s="13"/>
      <c r="AF408" s="134"/>
      <c r="AG408" s="134"/>
    </row>
    <row r="409" spans="1:33">
      <c r="A409" s="13"/>
      <c r="B409" s="13"/>
      <c r="C409" s="13"/>
      <c r="D409" s="116"/>
      <c r="E409" s="13"/>
      <c r="F409" s="13"/>
      <c r="G409" s="13"/>
      <c r="AF409" s="134"/>
      <c r="AG409" s="134"/>
    </row>
    <row r="410" spans="1:33">
      <c r="A410" s="13"/>
      <c r="B410" s="13"/>
      <c r="C410" s="13"/>
      <c r="D410" s="116"/>
      <c r="E410" s="13"/>
      <c r="F410" s="13"/>
      <c r="G410" s="13"/>
      <c r="AF410" s="134"/>
      <c r="AG410" s="134"/>
    </row>
    <row r="411" spans="1:33">
      <c r="A411" s="13"/>
      <c r="B411" s="13"/>
      <c r="C411" s="13"/>
      <c r="D411" s="116"/>
      <c r="E411" s="13"/>
      <c r="F411" s="13"/>
      <c r="G411" s="13"/>
      <c r="AF411" s="134"/>
      <c r="AG411" s="134"/>
    </row>
    <row r="412" spans="1:33">
      <c r="A412" s="13"/>
      <c r="B412" s="13"/>
      <c r="C412" s="13"/>
      <c r="D412" s="116"/>
      <c r="E412" s="13"/>
      <c r="F412" s="13"/>
      <c r="G412" s="13"/>
      <c r="AF412" s="134"/>
      <c r="AG412" s="134"/>
    </row>
    <row r="413" spans="1:33">
      <c r="A413" s="13"/>
      <c r="B413" s="13"/>
      <c r="C413" s="13"/>
      <c r="D413" s="116"/>
      <c r="E413" s="13"/>
      <c r="F413" s="13"/>
      <c r="G413" s="13"/>
      <c r="AF413" s="134"/>
      <c r="AG413" s="134"/>
    </row>
    <row r="414" spans="1:33">
      <c r="A414" s="13"/>
      <c r="B414" s="13"/>
      <c r="C414" s="13"/>
      <c r="D414" s="116"/>
      <c r="E414" s="13"/>
      <c r="F414" s="13"/>
      <c r="G414" s="13"/>
      <c r="AF414" s="134"/>
      <c r="AG414" s="134"/>
    </row>
    <row r="415" spans="1:33">
      <c r="A415" s="13"/>
      <c r="B415" s="13"/>
      <c r="C415" s="13"/>
      <c r="D415" s="116"/>
      <c r="E415" s="13"/>
      <c r="F415" s="13"/>
      <c r="G415" s="13"/>
      <c r="AF415" s="134"/>
      <c r="AG415" s="134"/>
    </row>
    <row r="416" spans="1:33">
      <c r="A416" s="13"/>
      <c r="B416" s="13"/>
      <c r="C416" s="13"/>
      <c r="D416" s="116"/>
      <c r="E416" s="13"/>
      <c r="F416" s="13"/>
      <c r="G416" s="13"/>
      <c r="AF416" s="134"/>
      <c r="AG416" s="134"/>
    </row>
    <row r="417" spans="1:33">
      <c r="A417" s="13"/>
      <c r="B417" s="13"/>
      <c r="C417" s="13"/>
      <c r="D417" s="116"/>
      <c r="E417" s="13"/>
      <c r="F417" s="13"/>
      <c r="G417" s="13"/>
      <c r="AF417" s="134"/>
      <c r="AG417" s="134"/>
    </row>
    <row r="418" spans="1:33">
      <c r="A418" s="13"/>
      <c r="B418" s="13"/>
      <c r="C418" s="13"/>
      <c r="D418" s="116"/>
      <c r="E418" s="13"/>
      <c r="F418" s="13"/>
      <c r="G418" s="13"/>
      <c r="AF418" s="134"/>
      <c r="AG418" s="134"/>
    </row>
    <row r="419" spans="1:33">
      <c r="A419" s="13"/>
      <c r="B419" s="13"/>
      <c r="C419" s="13"/>
      <c r="D419" s="116"/>
      <c r="E419" s="13"/>
      <c r="F419" s="13"/>
      <c r="G419" s="13"/>
      <c r="AF419" s="134"/>
      <c r="AG419" s="134"/>
    </row>
    <row r="420" spans="1:33">
      <c r="A420" s="13"/>
      <c r="B420" s="13"/>
      <c r="C420" s="13"/>
      <c r="D420" s="116"/>
      <c r="E420" s="13"/>
      <c r="F420" s="13"/>
      <c r="G420" s="13"/>
      <c r="AF420" s="134"/>
      <c r="AG420" s="134"/>
    </row>
    <row r="421" spans="1:33">
      <c r="A421" s="13"/>
      <c r="B421" s="13"/>
      <c r="C421" s="13"/>
      <c r="D421" s="116"/>
      <c r="E421" s="13"/>
      <c r="F421" s="13"/>
      <c r="G421" s="13"/>
      <c r="AF421" s="134"/>
      <c r="AG421" s="134"/>
    </row>
    <row r="422" spans="1:33">
      <c r="A422" s="13"/>
      <c r="B422" s="13"/>
      <c r="C422" s="13"/>
      <c r="D422" s="116"/>
      <c r="E422" s="13"/>
      <c r="F422" s="13"/>
      <c r="G422" s="13"/>
      <c r="AF422" s="134"/>
      <c r="AG422" s="134"/>
    </row>
    <row r="423" spans="1:33">
      <c r="A423" s="13"/>
      <c r="B423" s="13"/>
      <c r="C423" s="13"/>
      <c r="D423" s="116"/>
      <c r="E423" s="13"/>
      <c r="F423" s="13"/>
      <c r="G423" s="13"/>
      <c r="AF423" s="134"/>
      <c r="AG423" s="134"/>
    </row>
    <row r="424" spans="1:33">
      <c r="A424" s="13"/>
      <c r="B424" s="13"/>
      <c r="C424" s="13"/>
      <c r="D424" s="116"/>
      <c r="E424" s="13"/>
      <c r="F424" s="13"/>
      <c r="G424" s="13"/>
      <c r="AF424" s="134"/>
      <c r="AG424" s="134"/>
    </row>
    <row r="425" spans="1:33">
      <c r="A425" s="13"/>
      <c r="B425" s="13"/>
      <c r="C425" s="13"/>
      <c r="D425" s="116"/>
      <c r="E425" s="13"/>
      <c r="F425" s="13"/>
      <c r="G425" s="13"/>
      <c r="AF425" s="134"/>
      <c r="AG425" s="134"/>
    </row>
    <row r="426" spans="1:33">
      <c r="A426" s="13"/>
      <c r="B426" s="13"/>
      <c r="C426" s="13"/>
      <c r="D426" s="116"/>
      <c r="E426" s="13"/>
      <c r="F426" s="13"/>
      <c r="G426" s="13"/>
      <c r="AF426" s="134"/>
      <c r="AG426" s="134"/>
    </row>
    <row r="427" spans="1:33">
      <c r="A427" s="13"/>
      <c r="B427" s="13"/>
      <c r="C427" s="13"/>
      <c r="D427" s="116"/>
      <c r="E427" s="13"/>
      <c r="F427" s="13"/>
      <c r="G427" s="13"/>
      <c r="AF427" s="134"/>
      <c r="AG427" s="134"/>
    </row>
    <row r="428" spans="1:33">
      <c r="A428" s="13"/>
      <c r="B428" s="13"/>
      <c r="C428" s="13"/>
      <c r="D428" s="116"/>
      <c r="E428" s="13"/>
      <c r="F428" s="13"/>
      <c r="G428" s="13"/>
      <c r="AF428" s="134"/>
      <c r="AG428" s="134"/>
    </row>
    <row r="429" spans="1:33">
      <c r="A429" s="13"/>
      <c r="B429" s="13"/>
      <c r="C429" s="13"/>
      <c r="D429" s="116"/>
      <c r="E429" s="13"/>
      <c r="F429" s="13"/>
      <c r="G429" s="13"/>
      <c r="AF429" s="134"/>
      <c r="AG429" s="134"/>
    </row>
    <row r="430" spans="1:33">
      <c r="A430" s="13"/>
      <c r="B430" s="13"/>
      <c r="C430" s="13"/>
      <c r="D430" s="116"/>
      <c r="E430" s="13"/>
      <c r="F430" s="13"/>
      <c r="G430" s="13"/>
      <c r="AF430" s="134"/>
      <c r="AG430" s="134"/>
    </row>
    <row r="431" spans="1:33">
      <c r="A431" s="13"/>
      <c r="B431" s="13"/>
      <c r="C431" s="13"/>
      <c r="D431" s="116"/>
      <c r="E431" s="13"/>
      <c r="F431" s="13"/>
      <c r="G431" s="13"/>
      <c r="AF431" s="134"/>
      <c r="AG431" s="134"/>
    </row>
    <row r="432" spans="1:33">
      <c r="A432" s="13"/>
      <c r="B432" s="13"/>
      <c r="C432" s="13"/>
      <c r="D432" s="116"/>
      <c r="E432" s="13"/>
      <c r="F432" s="13"/>
      <c r="G432" s="13"/>
      <c r="AF432" s="134"/>
      <c r="AG432" s="134"/>
    </row>
    <row r="433" spans="1:33">
      <c r="A433" s="13"/>
      <c r="B433" s="13"/>
      <c r="C433" s="13"/>
      <c r="D433" s="116"/>
      <c r="E433" s="13"/>
      <c r="F433" s="13"/>
      <c r="G433" s="13"/>
      <c r="AF433" s="134"/>
      <c r="AG433" s="134"/>
    </row>
    <row r="434" spans="1:33">
      <c r="A434" s="13"/>
      <c r="B434" s="13"/>
      <c r="C434" s="13"/>
      <c r="D434" s="116"/>
      <c r="E434" s="13"/>
      <c r="F434" s="13"/>
      <c r="G434" s="13"/>
      <c r="AF434" s="134"/>
      <c r="AG434" s="134"/>
    </row>
    <row r="435" spans="1:33">
      <c r="A435" s="13"/>
      <c r="B435" s="13"/>
      <c r="C435" s="13"/>
      <c r="D435" s="116"/>
      <c r="E435" s="13"/>
      <c r="F435" s="13"/>
      <c r="G435" s="13"/>
      <c r="AF435" s="134"/>
      <c r="AG435" s="134"/>
    </row>
    <row r="436" spans="1:33">
      <c r="A436" s="13"/>
      <c r="B436" s="13"/>
      <c r="C436" s="13"/>
      <c r="D436" s="116"/>
      <c r="E436" s="13"/>
      <c r="F436" s="13"/>
      <c r="G436" s="13"/>
      <c r="AF436" s="134"/>
      <c r="AG436" s="134"/>
    </row>
    <row r="437" spans="1:33">
      <c r="A437" s="13"/>
      <c r="B437" s="13"/>
      <c r="C437" s="13"/>
      <c r="D437" s="116"/>
      <c r="E437" s="13"/>
      <c r="F437" s="13"/>
      <c r="G437" s="13"/>
      <c r="AF437" s="134"/>
      <c r="AG437" s="134"/>
    </row>
    <row r="438" spans="1:33">
      <c r="A438" s="13"/>
      <c r="B438" s="13"/>
      <c r="C438" s="13"/>
      <c r="D438" s="116"/>
      <c r="E438" s="13"/>
      <c r="F438" s="13"/>
      <c r="G438" s="13"/>
      <c r="AF438" s="134"/>
      <c r="AG438" s="134"/>
    </row>
    <row r="439" spans="1:33">
      <c r="A439" s="13"/>
      <c r="B439" s="13"/>
      <c r="C439" s="13"/>
      <c r="D439" s="116"/>
      <c r="E439" s="13"/>
      <c r="F439" s="13"/>
      <c r="G439" s="13"/>
      <c r="AF439" s="134"/>
      <c r="AG439" s="134"/>
    </row>
    <row r="440" spans="1:33">
      <c r="A440" s="13"/>
      <c r="B440" s="13"/>
      <c r="C440" s="13"/>
      <c r="D440" s="116"/>
      <c r="E440" s="13"/>
      <c r="F440" s="13"/>
      <c r="G440" s="13"/>
      <c r="AF440" s="134"/>
      <c r="AG440" s="134"/>
    </row>
    <row r="441" spans="1:33">
      <c r="A441" s="13"/>
      <c r="B441" s="13"/>
      <c r="C441" s="13"/>
      <c r="D441" s="116"/>
      <c r="E441" s="13"/>
      <c r="F441" s="13"/>
      <c r="G441" s="13"/>
      <c r="AF441" s="134"/>
      <c r="AG441" s="134"/>
    </row>
    <row r="442" spans="1:33">
      <c r="A442" s="13"/>
      <c r="B442" s="13"/>
      <c r="C442" s="13"/>
      <c r="D442" s="116"/>
      <c r="E442" s="13"/>
      <c r="F442" s="13"/>
      <c r="G442" s="13"/>
      <c r="AF442" s="134"/>
      <c r="AG442" s="134"/>
    </row>
    <row r="443" spans="1:33">
      <c r="A443" s="13"/>
      <c r="B443" s="13"/>
      <c r="C443" s="13"/>
      <c r="D443" s="116"/>
      <c r="E443" s="13"/>
      <c r="F443" s="13"/>
      <c r="G443" s="13"/>
      <c r="AF443" s="134"/>
      <c r="AG443" s="134"/>
    </row>
    <row r="444" spans="1:33">
      <c r="A444" s="13"/>
      <c r="B444" s="13"/>
      <c r="C444" s="13"/>
      <c r="D444" s="116"/>
      <c r="E444" s="13"/>
      <c r="F444" s="13"/>
      <c r="G444" s="13"/>
      <c r="AF444" s="134"/>
      <c r="AG444" s="134"/>
    </row>
    <row r="445" spans="1:33">
      <c r="A445" s="13"/>
      <c r="B445" s="13"/>
      <c r="C445" s="13"/>
      <c r="D445" s="116"/>
      <c r="E445" s="13"/>
      <c r="F445" s="13"/>
      <c r="G445" s="13"/>
      <c r="AF445" s="134"/>
      <c r="AG445" s="134"/>
    </row>
    <row r="446" spans="1:33">
      <c r="A446" s="13"/>
      <c r="B446" s="13"/>
      <c r="C446" s="13"/>
      <c r="D446" s="116"/>
      <c r="E446" s="13"/>
      <c r="F446" s="13"/>
      <c r="G446" s="13"/>
      <c r="AF446" s="134"/>
      <c r="AG446" s="134"/>
    </row>
    <row r="447" spans="1:33">
      <c r="A447" s="13"/>
      <c r="B447" s="13"/>
      <c r="C447" s="13"/>
      <c r="D447" s="116"/>
      <c r="E447" s="13"/>
      <c r="F447" s="13"/>
      <c r="G447" s="13"/>
      <c r="AF447" s="134"/>
      <c r="AG447" s="134"/>
    </row>
    <row r="448" spans="1:33">
      <c r="A448" s="13"/>
      <c r="B448" s="13"/>
      <c r="C448" s="13"/>
      <c r="D448" s="116"/>
      <c r="E448" s="13"/>
      <c r="F448" s="13"/>
      <c r="G448" s="13"/>
      <c r="AF448" s="134"/>
      <c r="AG448" s="134"/>
    </row>
    <row r="449" spans="1:33">
      <c r="A449" s="13"/>
      <c r="B449" s="13"/>
      <c r="C449" s="13"/>
      <c r="D449" s="116"/>
      <c r="E449" s="13"/>
      <c r="F449" s="13"/>
      <c r="G449" s="13"/>
      <c r="AF449" s="134"/>
      <c r="AG449" s="134"/>
    </row>
    <row r="450" spans="1:33">
      <c r="A450" s="13"/>
      <c r="B450" s="13"/>
      <c r="C450" s="13"/>
      <c r="D450" s="116"/>
      <c r="E450" s="13"/>
      <c r="F450" s="13"/>
      <c r="G450" s="13"/>
      <c r="AF450" s="134"/>
      <c r="AG450" s="134"/>
    </row>
    <row r="451" spans="1:33">
      <c r="A451" s="13"/>
      <c r="B451" s="13"/>
      <c r="C451" s="13"/>
      <c r="D451" s="116"/>
      <c r="E451" s="13"/>
      <c r="F451" s="13"/>
      <c r="G451" s="13"/>
      <c r="AF451" s="134"/>
      <c r="AG451" s="134"/>
    </row>
    <row r="452" spans="1:33">
      <c r="A452" s="13"/>
      <c r="B452" s="13"/>
      <c r="C452" s="13"/>
      <c r="D452" s="116"/>
      <c r="E452" s="13"/>
      <c r="F452" s="13"/>
      <c r="G452" s="13"/>
      <c r="AF452" s="134"/>
      <c r="AG452" s="134"/>
    </row>
    <row r="453" spans="1:33">
      <c r="A453" s="13"/>
      <c r="B453" s="13"/>
      <c r="C453" s="13"/>
      <c r="D453" s="116"/>
      <c r="E453" s="13"/>
      <c r="F453" s="13"/>
      <c r="G453" s="13"/>
      <c r="AF453" s="134"/>
      <c r="AG453" s="134"/>
    </row>
    <row r="454" spans="1:33">
      <c r="A454" s="13"/>
      <c r="B454" s="13"/>
      <c r="C454" s="13"/>
      <c r="D454" s="116"/>
      <c r="E454" s="13"/>
      <c r="F454" s="13"/>
      <c r="G454" s="13"/>
      <c r="AF454" s="134"/>
      <c r="AG454" s="134"/>
    </row>
    <row r="455" spans="1:33">
      <c r="A455" s="13"/>
      <c r="B455" s="13"/>
      <c r="C455" s="13"/>
      <c r="D455" s="116"/>
      <c r="E455" s="13"/>
      <c r="F455" s="13"/>
      <c r="G455" s="13"/>
      <c r="AF455" s="134"/>
      <c r="AG455" s="134"/>
    </row>
    <row r="456" spans="1:33">
      <c r="A456" s="13"/>
      <c r="B456" s="13"/>
      <c r="C456" s="13"/>
      <c r="D456" s="116"/>
      <c r="E456" s="13"/>
      <c r="F456" s="13"/>
      <c r="G456" s="13"/>
      <c r="AF456" s="134"/>
      <c r="AG456" s="134"/>
    </row>
    <row r="457" spans="1:33">
      <c r="A457" s="13"/>
      <c r="B457" s="13"/>
      <c r="C457" s="13"/>
      <c r="D457" s="116"/>
      <c r="E457" s="13"/>
      <c r="F457" s="13"/>
      <c r="G457" s="13"/>
      <c r="AF457" s="134"/>
      <c r="AG457" s="134"/>
    </row>
    <row r="458" spans="1:33">
      <c r="A458" s="13"/>
      <c r="B458" s="13"/>
      <c r="C458" s="13"/>
      <c r="D458" s="116"/>
      <c r="E458" s="13"/>
      <c r="F458" s="13"/>
      <c r="G458" s="13"/>
      <c r="AF458" s="134"/>
      <c r="AG458" s="134"/>
    </row>
    <row r="459" spans="1:33">
      <c r="A459" s="13"/>
      <c r="B459" s="13"/>
      <c r="C459" s="13"/>
      <c r="D459" s="116"/>
      <c r="E459" s="13"/>
      <c r="F459" s="13"/>
      <c r="G459" s="13"/>
      <c r="AF459" s="134"/>
      <c r="AG459" s="134"/>
    </row>
    <row r="460" spans="1:33">
      <c r="A460" s="13"/>
      <c r="B460" s="13"/>
      <c r="C460" s="13"/>
      <c r="D460" s="116"/>
      <c r="E460" s="13"/>
      <c r="F460" s="13"/>
      <c r="G460" s="13"/>
      <c r="AF460" s="134"/>
      <c r="AG460" s="134"/>
    </row>
    <row r="461" spans="1:33">
      <c r="A461" s="13"/>
      <c r="B461" s="13"/>
      <c r="C461" s="13"/>
      <c r="D461" s="116"/>
      <c r="E461" s="13"/>
      <c r="F461" s="13"/>
      <c r="G461" s="13"/>
      <c r="AF461" s="134"/>
      <c r="AG461" s="134"/>
    </row>
    <row r="462" spans="1:33">
      <c r="A462" s="13"/>
      <c r="B462" s="13"/>
      <c r="C462" s="13"/>
      <c r="D462" s="116"/>
      <c r="E462" s="13"/>
      <c r="F462" s="13"/>
      <c r="G462" s="13"/>
      <c r="AF462" s="134"/>
      <c r="AG462" s="134"/>
    </row>
    <row r="463" spans="1:33">
      <c r="A463" s="13"/>
      <c r="B463" s="13"/>
      <c r="C463" s="13"/>
      <c r="D463" s="116"/>
      <c r="E463" s="13"/>
      <c r="F463" s="13"/>
      <c r="G463" s="13"/>
      <c r="AF463" s="134"/>
      <c r="AG463" s="134"/>
    </row>
    <row r="464" spans="1:33">
      <c r="A464" s="13"/>
      <c r="B464" s="13"/>
      <c r="C464" s="13"/>
      <c r="D464" s="116"/>
      <c r="E464" s="13"/>
      <c r="F464" s="13"/>
      <c r="G464" s="13"/>
      <c r="AF464" s="134"/>
      <c r="AG464" s="134"/>
    </row>
    <row r="465" spans="1:33">
      <c r="A465" s="13"/>
      <c r="B465" s="13"/>
      <c r="C465" s="13"/>
      <c r="D465" s="116"/>
      <c r="E465" s="13"/>
      <c r="F465" s="13"/>
      <c r="G465" s="13"/>
      <c r="AF465" s="134"/>
      <c r="AG465" s="134"/>
    </row>
    <row r="466" spans="1:33">
      <c r="A466" s="13"/>
      <c r="B466" s="13"/>
      <c r="C466" s="13"/>
      <c r="D466" s="116"/>
      <c r="E466" s="13"/>
      <c r="F466" s="13"/>
      <c r="G466" s="13"/>
      <c r="AF466" s="134"/>
      <c r="AG466" s="134"/>
    </row>
    <row r="467" spans="1:33">
      <c r="A467" s="13"/>
      <c r="B467" s="13"/>
      <c r="C467" s="13"/>
      <c r="D467" s="116"/>
      <c r="E467" s="13"/>
      <c r="F467" s="13"/>
      <c r="G467" s="13"/>
      <c r="AF467" s="134"/>
      <c r="AG467" s="134"/>
    </row>
    <row r="468" spans="1:33">
      <c r="A468" s="13"/>
      <c r="B468" s="13"/>
      <c r="C468" s="13"/>
      <c r="D468" s="116"/>
      <c r="E468" s="13"/>
      <c r="F468" s="13"/>
      <c r="G468" s="13"/>
      <c r="AF468" s="134"/>
      <c r="AG468" s="134"/>
    </row>
    <row r="469" spans="1:33">
      <c r="A469" s="13"/>
      <c r="B469" s="13"/>
      <c r="C469" s="13"/>
      <c r="D469" s="116"/>
      <c r="E469" s="13"/>
      <c r="F469" s="13"/>
      <c r="G469" s="13"/>
      <c r="AF469" s="134"/>
      <c r="AG469" s="134"/>
    </row>
    <row r="470" spans="1:33">
      <c r="A470" s="13"/>
      <c r="B470" s="13"/>
      <c r="C470" s="13"/>
      <c r="D470" s="116"/>
      <c r="E470" s="13"/>
      <c r="F470" s="13"/>
      <c r="G470" s="13"/>
      <c r="AF470" s="134"/>
      <c r="AG470" s="134"/>
    </row>
    <row r="471" spans="1:33">
      <c r="D471" s="116"/>
      <c r="AF471" s="134"/>
      <c r="AG471" s="134"/>
    </row>
    <row r="472" spans="1:33">
      <c r="D472" s="116"/>
      <c r="AF472" s="134"/>
      <c r="AG472" s="134"/>
    </row>
    <row r="473" spans="1:33">
      <c r="D473" s="116"/>
      <c r="AF473" s="134"/>
      <c r="AG473" s="134"/>
    </row>
    <row r="474" spans="1:33">
      <c r="D474" s="116"/>
      <c r="AF474" s="134"/>
      <c r="AG474" s="134"/>
    </row>
    <row r="475" spans="1:33">
      <c r="D475" s="116"/>
      <c r="AF475" s="134"/>
      <c r="AG475" s="134"/>
    </row>
    <row r="476" spans="1:33">
      <c r="D476" s="116"/>
      <c r="AF476" s="134"/>
      <c r="AG476" s="134"/>
    </row>
    <row r="477" spans="1:33">
      <c r="D477" s="116"/>
      <c r="AF477" s="134"/>
      <c r="AG477" s="134"/>
    </row>
    <row r="478" spans="1:33">
      <c r="D478" s="116"/>
      <c r="AF478" s="134"/>
      <c r="AG478" s="134"/>
    </row>
    <row r="479" spans="1:33">
      <c r="D479" s="116"/>
      <c r="AF479" s="134"/>
      <c r="AG479" s="134"/>
    </row>
    <row r="480" spans="1:33">
      <c r="D480" s="116"/>
      <c r="AF480" s="134"/>
      <c r="AG480" s="134"/>
    </row>
    <row r="481" spans="4:33">
      <c r="D481" s="116"/>
      <c r="AF481" s="134"/>
      <c r="AG481" s="134"/>
    </row>
    <row r="482" spans="4:33">
      <c r="D482" s="116"/>
      <c r="AF482" s="134"/>
      <c r="AG482" s="134"/>
    </row>
    <row r="483" spans="4:33">
      <c r="D483" s="116"/>
      <c r="AF483" s="134"/>
      <c r="AG483" s="134"/>
    </row>
    <row r="484" spans="4:33">
      <c r="D484" s="116"/>
      <c r="AF484" s="134"/>
      <c r="AG484" s="134"/>
    </row>
    <row r="485" spans="4:33">
      <c r="D485" s="116"/>
      <c r="AF485" s="134"/>
      <c r="AG485" s="134"/>
    </row>
    <row r="486" spans="4:33">
      <c r="D486" s="116"/>
      <c r="AF486" s="134"/>
      <c r="AG486" s="134"/>
    </row>
    <row r="487" spans="4:33">
      <c r="D487" s="116"/>
      <c r="AF487" s="134"/>
      <c r="AG487" s="134"/>
    </row>
    <row r="488" spans="4:33">
      <c r="D488" s="116"/>
      <c r="AF488" s="134"/>
      <c r="AG488" s="134"/>
    </row>
    <row r="489" spans="4:33">
      <c r="D489" s="116"/>
      <c r="AF489" s="134"/>
      <c r="AG489" s="134"/>
    </row>
    <row r="490" spans="4:33">
      <c r="D490" s="116"/>
      <c r="AF490" s="134"/>
      <c r="AG490" s="134"/>
    </row>
    <row r="491" spans="4:33">
      <c r="D491" s="116"/>
      <c r="AF491" s="134"/>
      <c r="AG491" s="134"/>
    </row>
    <row r="492" spans="4:33">
      <c r="D492" s="116"/>
      <c r="AF492" s="134"/>
      <c r="AG492" s="134"/>
    </row>
    <row r="493" spans="4:33">
      <c r="D493" s="116"/>
      <c r="AF493" s="134"/>
      <c r="AG493" s="134"/>
    </row>
    <row r="494" spans="4:33">
      <c r="D494" s="116"/>
      <c r="AF494" s="134"/>
      <c r="AG494" s="134"/>
    </row>
    <row r="495" spans="4:33">
      <c r="D495" s="116"/>
      <c r="AF495" s="134"/>
      <c r="AG495" s="134"/>
    </row>
    <row r="496" spans="4:33">
      <c r="D496" s="116"/>
      <c r="AF496" s="134"/>
      <c r="AG496" s="134"/>
    </row>
    <row r="497" spans="4:33">
      <c r="D497" s="116"/>
      <c r="AF497" s="134"/>
      <c r="AG497" s="134"/>
    </row>
    <row r="498" spans="4:33">
      <c r="D498" s="116"/>
      <c r="AF498" s="134"/>
      <c r="AG498" s="134"/>
    </row>
    <row r="499" spans="4:33">
      <c r="D499" s="116"/>
      <c r="AF499" s="134"/>
      <c r="AG499" s="134"/>
    </row>
    <row r="500" spans="4:33">
      <c r="D500" s="116"/>
      <c r="AF500" s="134"/>
      <c r="AG500" s="134"/>
    </row>
    <row r="501" spans="4:33">
      <c r="D501" s="116"/>
      <c r="AF501" s="134"/>
      <c r="AG501" s="134"/>
    </row>
    <row r="502" spans="4:33">
      <c r="D502" s="116"/>
      <c r="AF502" s="134"/>
      <c r="AG502" s="134"/>
    </row>
    <row r="503" spans="4:33">
      <c r="D503" s="116"/>
      <c r="AF503" s="134"/>
      <c r="AG503" s="134"/>
    </row>
    <row r="504" spans="4:33">
      <c r="D504" s="116"/>
      <c r="AF504" s="134"/>
      <c r="AG504" s="134"/>
    </row>
    <row r="505" spans="4:33">
      <c r="D505" s="116"/>
      <c r="AF505" s="134"/>
      <c r="AG505" s="134"/>
    </row>
    <row r="506" spans="4:33">
      <c r="D506" s="116"/>
      <c r="AF506" s="134"/>
      <c r="AG506" s="134"/>
    </row>
    <row r="507" spans="4:33">
      <c r="D507" s="116"/>
      <c r="AF507" s="134"/>
      <c r="AG507" s="134"/>
    </row>
    <row r="508" spans="4:33">
      <c r="D508" s="116"/>
      <c r="AF508" s="134"/>
      <c r="AG508" s="134"/>
    </row>
    <row r="509" spans="4:33">
      <c r="D509" s="116"/>
      <c r="AF509" s="134"/>
      <c r="AG509" s="134"/>
    </row>
    <row r="510" spans="4:33">
      <c r="D510" s="116"/>
      <c r="AF510" s="134"/>
      <c r="AG510" s="134"/>
    </row>
    <row r="511" spans="4:33">
      <c r="D511" s="116"/>
      <c r="AF511" s="134"/>
      <c r="AG511" s="134"/>
    </row>
    <row r="512" spans="4:33">
      <c r="D512" s="116"/>
      <c r="AF512" s="134"/>
      <c r="AG512" s="134"/>
    </row>
    <row r="513" spans="4:33">
      <c r="D513" s="116"/>
      <c r="AF513" s="134"/>
      <c r="AG513" s="134"/>
    </row>
    <row r="514" spans="4:33">
      <c r="D514" s="116"/>
      <c r="AF514" s="134"/>
      <c r="AG514" s="134"/>
    </row>
    <row r="515" spans="4:33">
      <c r="D515" s="116"/>
      <c r="AF515" s="134"/>
      <c r="AG515" s="134"/>
    </row>
    <row r="516" spans="4:33">
      <c r="D516" s="116"/>
      <c r="AF516" s="134"/>
      <c r="AG516" s="134"/>
    </row>
    <row r="517" spans="4:33">
      <c r="D517" s="116"/>
      <c r="AF517" s="134"/>
      <c r="AG517" s="134"/>
    </row>
    <row r="518" spans="4:33">
      <c r="D518" s="116"/>
      <c r="AF518" s="134"/>
      <c r="AG518" s="134"/>
    </row>
    <row r="519" spans="4:33">
      <c r="D519" s="116"/>
      <c r="AF519" s="134"/>
      <c r="AG519" s="134"/>
    </row>
    <row r="520" spans="4:33">
      <c r="D520" s="116"/>
      <c r="AF520" s="134"/>
      <c r="AG520" s="134"/>
    </row>
    <row r="521" spans="4:33">
      <c r="D521" s="116"/>
      <c r="AF521" s="134"/>
      <c r="AG521" s="134"/>
    </row>
    <row r="522" spans="4:33">
      <c r="D522" s="116"/>
      <c r="AF522" s="134"/>
      <c r="AG522" s="134"/>
    </row>
    <row r="523" spans="4:33">
      <c r="D523" s="116"/>
      <c r="AF523" s="134"/>
      <c r="AG523" s="134"/>
    </row>
    <row r="524" spans="4:33">
      <c r="D524" s="116"/>
      <c r="AF524" s="134"/>
      <c r="AG524" s="134"/>
    </row>
    <row r="525" spans="4:33">
      <c r="D525" s="116"/>
      <c r="AF525" s="134"/>
      <c r="AG525" s="134"/>
    </row>
    <row r="526" spans="4:33">
      <c r="D526" s="116"/>
      <c r="AF526" s="134"/>
      <c r="AG526" s="134"/>
    </row>
    <row r="527" spans="4:33">
      <c r="D527" s="116"/>
      <c r="AF527" s="134"/>
      <c r="AG527" s="134"/>
    </row>
    <row r="528" spans="4:33">
      <c r="D528" s="116"/>
      <c r="AF528" s="134"/>
      <c r="AG528" s="134"/>
    </row>
    <row r="529" spans="4:33">
      <c r="D529" s="116"/>
      <c r="AF529" s="134"/>
      <c r="AG529" s="134"/>
    </row>
    <row r="530" spans="4:33">
      <c r="D530" s="116"/>
      <c r="AF530" s="134"/>
      <c r="AG530" s="134"/>
    </row>
    <row r="531" spans="4:33">
      <c r="D531" s="116"/>
      <c r="AF531" s="134"/>
      <c r="AG531" s="134"/>
    </row>
    <row r="532" spans="4:33">
      <c r="D532" s="116"/>
      <c r="AF532" s="134"/>
      <c r="AG532" s="134"/>
    </row>
    <row r="533" spans="4:33">
      <c r="D533" s="116"/>
      <c r="AF533" s="134"/>
      <c r="AG533" s="134"/>
    </row>
    <row r="534" spans="4:33">
      <c r="D534" s="116"/>
      <c r="AF534" s="134"/>
      <c r="AG534" s="134"/>
    </row>
  </sheetData>
  <dataConsolidate/>
  <mergeCells count="7">
    <mergeCell ref="AG1:AG2"/>
    <mergeCell ref="AD1:AF1"/>
    <mergeCell ref="AH1:AM1"/>
    <mergeCell ref="A1:G1"/>
    <mergeCell ref="J1:S1"/>
    <mergeCell ref="T1:V1"/>
    <mergeCell ref="W1:AC1"/>
  </mergeCells>
  <conditionalFormatting sqref="A2:S2">
    <cfRule type="cellIs" dxfId="40" priority="7" operator="notEqual">
      <formula>#REF!</formula>
    </cfRule>
    <cfRule type="cellIs" dxfId="39" priority="8" operator="notEqual">
      <formula>#REF!+#REF!</formula>
    </cfRule>
  </conditionalFormatting>
  <conditionalFormatting sqref="W2:AF2">
    <cfRule type="cellIs" dxfId="38" priority="5" operator="notEqual">
      <formula>#REF!</formula>
    </cfRule>
    <cfRule type="cellIs" dxfId="37" priority="6" operator="notEqual">
      <formula>#REF!+#REF!</formula>
    </cfRule>
  </conditionalFormatting>
  <conditionalFormatting sqref="AG1">
    <cfRule type="cellIs" dxfId="36" priority="3" operator="notEqual">
      <formula>#REF!</formula>
    </cfRule>
    <cfRule type="cellIs" dxfId="35" priority="4" operator="notEqual">
      <formula>#REF!+#REF!</formula>
    </cfRule>
  </conditionalFormatting>
  <conditionalFormatting sqref="AK2:AU2">
    <cfRule type="cellIs" dxfId="34" priority="1" operator="notEqual">
      <formula>#REF!</formula>
    </cfRule>
    <cfRule type="cellIs" dxfId="33" priority="2" operator="notEqual">
      <formula>#REF!+#REF!</formula>
    </cfRule>
  </conditionalFormatting>
  <dataValidations count="17">
    <dataValidation type="list" allowBlank="1" showInputMessage="1" showErrorMessage="1" sqref="E3:E108 E206:E1048576" xr:uid="{23318C41-9F6B-9447-B038-4F10988B3F8C}">
      <formula1>"0=School Environment, 1=After school Program"</formula1>
    </dataValidation>
    <dataValidation type="list" allowBlank="1" showInputMessage="1" showErrorMessage="1" sqref="T3:T108 T206:T1048576" xr:uid="{05921470-C523-8947-A010-196E6A9BC91A}">
      <formula1>"BAU, AC (other area),... ,c = code-based,  m = meaning-based, cm = combined coding + meaning "</formula1>
    </dataValidation>
    <dataValidation type="list" allowBlank="1" showInputMessage="1" showErrorMessage="1" sqref="AC3:AC75 AC77:AC108 AC206:AC1048576" xr:uid="{10E71A17-83AE-9D40-BAFC-6E2B09762371}">
      <formula1>"BAU, 0 = Not reported , 1 = Reported"</formula1>
    </dataValidation>
    <dataValidation type="list" allowBlank="1" showInputMessage="1" showErrorMessage="1" sqref="W3:W45 W46:X108 X110 W206:W1048576" xr:uid="{14DD8782-6D25-2A49-B59E-981481D7D7D9}">
      <formula1>"BAU, 0 = No / Not reported,  1 = Yes (Including CAI)"</formula1>
    </dataValidation>
    <dataValidation type="list" allowBlank="1" showInputMessage="1" showErrorMessage="1" sqref="Y206:Y1048576" xr:uid="{5E7C646A-83E0-DA4D-82F1-ED9926A2E0DA}">
      <formula1>"BAU, NA, 0 = Research Staff,  1 = School Staff,  2 =  CAI,  3 = 50% T and 50% R"</formula1>
    </dataValidation>
    <dataValidation type="list" allowBlank="1" showInputMessage="1" showErrorMessage="1" sqref="Y44 X94 X1:X45 X107 X105 X103 X58 X66 X71 X81 X83 X85 X87 X89 X110 X206:X1048576" xr:uid="{0EEF0723-1568-9543-B307-36AE4E39F798}">
      <formula1>"BAU, NA, 0 = classroom/ large group,  1 = small group (3–7 students),  2 = individual  (1–2 students)"</formula1>
    </dataValidation>
    <dataValidation type="list" allowBlank="1" showInputMessage="1" showErrorMessage="1" sqref="F3:F108 F206:F1048576" xr:uid="{3048FF58-9184-FE4A-8F3D-9520CAB51A49}">
      <formula1>" 0 = peer reviewed paper,   1 = disseration,   2 = report/chapter/others"</formula1>
    </dataValidation>
    <dataValidation type="list" allowBlank="1" showInputMessage="1" showErrorMessage="1" sqref="Y3:Y22" xr:uid="{4133AA3F-9C30-4E45-A6D8-91A76C5F8247}">
      <formula1>"BAU, NR = Not Reported, 0 = Research Staff,  1 = School Staff,  2 =  CAI,  3 = 50% T and 50% R"</formula1>
    </dataValidation>
    <dataValidation type="list" allowBlank="1" showInputMessage="1" showErrorMessage="1" sqref="V1:V108 V206:V1048576" xr:uid="{368A1BEE-C05F-F844-8EBC-8CE208FBF4E8}">
      <formula1>"0 = Researcher-developed curriculum,   1 = Published or Commercially available curriculum,  2 = District/State curriculum, NA (for BAU/AC Condition)"</formula1>
    </dataValidation>
    <dataValidation type="list" allowBlank="1" showInputMessage="1" showErrorMessage="1" sqref="Y23:Y43 Y45:Y89" xr:uid="{E7716E2D-73DB-D840-8EE9-6A9A95B1CE80}">
      <formula1>"BAU, NA, 0 = Research Staff, 1 = School Staff, 2 = CAI, 3 = 50% R and 50% T"</formula1>
    </dataValidation>
    <dataValidation type="list" allowBlank="1" showInputMessage="1" showErrorMessage="1" sqref="AU3:AU108 AU206:AU1048576" xr:uid="{46B2CD3D-6974-3543-B4EB-A6A99EF1446B}">
      <formula1>"0,1,2,3,4,5"</formula1>
    </dataValidation>
    <dataValidation type="list" allowBlank="1" showInputMessage="1" showErrorMessage="1" sqref="AT3:AT57 AT206:AT1048576" xr:uid="{5AD9E967-50C1-E24F-A98F-01F57B45086C}">
      <formula1>"cohen's d,  Hedges' g,  T test,  F test , z score,  Other types"</formula1>
    </dataValidation>
    <dataValidation type="list" allowBlank="1" showInputMessage="1" showErrorMessage="1" sqref="AE3:AE108 AE206:AE1048576" xr:uid="{52117751-440D-8548-BE5A-EB2B8DB6B0A4}">
      <formula1>"0 = NO - Not standardized,  1 = YES - standardized"</formula1>
    </dataValidation>
    <dataValidation type="list" allowBlank="1" showInputMessage="1" showErrorMessage="1" sqref="X108 X106 X104 X46:X57 X59:X65 X67:X70 X72:X80 X82 X84 X86 X88 X90:X93 X95:X102" xr:uid="{C619DEAD-EEA7-234A-A841-FA11A87C2473}">
      <formula1>"BAU, NA, 0 = classroom setting,  1 = small group (3–7 students),  2 = individual  (1–2 students)"</formula1>
    </dataValidation>
    <dataValidation type="list" allowBlank="1" showInputMessage="1" showErrorMessage="1" sqref="Y90:Y108" xr:uid="{8DFE6D99-FD7F-FB40-A361-0E809A1FC3D9}">
      <formula1>"BAU, NA, 0 = Research Staff, 1 = School Staff, 2 = CAI, 3 = 50% R and 50% T, Other"</formula1>
    </dataValidation>
    <dataValidation type="list" allowBlank="1" showInputMessage="1" showErrorMessage="1" sqref="T189:T205 AE189:AF205 AC189:AC205 V189:W205 Y189:Y205 X189:X198 X200:X202 X204:X205 E189:I205" xr:uid="{36BD55D9-9118-6448-B657-32EBC08D054B}">
      <formula1>E$3:E$8</formula1>
    </dataValidation>
    <dataValidation type="list" allowBlank="1" showInputMessage="1" showErrorMessage="1" sqref="G206:I1048576 G3:I108" xr:uid="{FD4D7314-4FC2-FE4D-950D-58459A197998}">
      <formula1>" 0 = RCT,   1 = QED with matched group  "</formula1>
    </dataValidation>
  </dataValidations>
  <pageMargins left="0.7" right="0.7" top="0.75" bottom="0.75" header="0.3" footer="0.3"/>
  <ignoredErrors>
    <ignoredError sqref="L58:L108" numberStoredAsText="1"/>
  </ignoredErrors>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1327B-79B6-CF46-8649-3493A89390BF}">
  <dimension ref="A1:AN205"/>
  <sheetViews>
    <sheetView zoomScale="109" zoomScaleNormal="125" workbookViewId="0">
      <pane xSplit="9" ySplit="2" topLeftCell="J189" activePane="bottomRight" state="frozen"/>
      <selection pane="topRight" activeCell="H1" sqref="H1"/>
      <selection pane="bottomLeft" activeCell="A3" sqref="A3"/>
      <selection pane="bottomRight" activeCell="K211" sqref="K211"/>
    </sheetView>
  </sheetViews>
  <sheetFormatPr baseColWidth="10" defaultColWidth="11.5" defaultRowHeight="15"/>
  <cols>
    <col min="1" max="1" width="17.83203125" style="11" customWidth="1"/>
    <col min="2" max="2" width="6.1640625" style="11" customWidth="1"/>
    <col min="3" max="4" width="6" style="11" customWidth="1"/>
    <col min="5" max="5" width="5.5" style="11" customWidth="1"/>
    <col min="6" max="6" width="4.5" style="11" customWidth="1"/>
    <col min="7" max="7" width="7.33203125" style="11" customWidth="1"/>
    <col min="8" max="8" width="9.33203125" style="11" customWidth="1"/>
    <col min="9" max="9" width="12.6640625" style="11" customWidth="1"/>
    <col min="10" max="10" width="6.5" style="11" customWidth="1"/>
    <col min="11" max="11" width="8.6640625" style="17" customWidth="1"/>
    <col min="12" max="12" width="14.33203125" style="17" customWidth="1"/>
    <col min="13" max="17" width="9.83203125" style="17" customWidth="1"/>
    <col min="18" max="18" width="15.6640625" style="11" customWidth="1"/>
    <col min="19" max="19" width="10.33203125" style="12" customWidth="1"/>
    <col min="20" max="20" width="16.33203125" style="11" customWidth="1"/>
    <col min="21" max="21" width="11.5" style="11" customWidth="1"/>
    <col min="22" max="22" width="13.83203125" style="11" customWidth="1"/>
    <col min="23" max="23" width="16.5" style="11" customWidth="1"/>
    <col min="24" max="25" width="13" style="11" customWidth="1"/>
    <col min="26" max="26" width="13.5" style="11" customWidth="1"/>
    <col min="27" max="27" width="11.5" style="11" customWidth="1"/>
    <col min="28" max="28" width="20.1640625" style="11" customWidth="1"/>
    <col min="29" max="29" width="12.5" style="11" customWidth="1"/>
    <col min="30" max="31" width="18.33203125" style="11" customWidth="1"/>
    <col min="32" max="34" width="12.33203125" style="11" customWidth="1"/>
    <col min="35" max="37" width="11.5" style="11"/>
    <col min="38" max="38" width="13.83203125" style="11" customWidth="1"/>
    <col min="39" max="39" width="20" style="11" customWidth="1"/>
    <col min="40" max="40" width="61.6640625" style="1" customWidth="1"/>
    <col min="41" max="16384" width="11.5" style="11"/>
  </cols>
  <sheetData>
    <row r="1" spans="1:40" ht="21" customHeight="1">
      <c r="A1" s="354" t="s">
        <v>0</v>
      </c>
      <c r="B1" s="354"/>
      <c r="C1" s="354"/>
      <c r="D1" s="354"/>
      <c r="E1" s="354"/>
      <c r="F1" s="354"/>
      <c r="G1" s="354"/>
      <c r="H1" s="355" t="s">
        <v>1</v>
      </c>
      <c r="I1" s="355"/>
      <c r="J1" s="355"/>
      <c r="K1" s="355"/>
      <c r="L1" s="355"/>
      <c r="M1" s="355"/>
      <c r="N1" s="355"/>
      <c r="O1" s="355"/>
      <c r="P1" s="355"/>
      <c r="Q1" s="355"/>
      <c r="R1" s="356" t="s">
        <v>2</v>
      </c>
      <c r="S1" s="356"/>
      <c r="T1" s="356"/>
      <c r="U1" s="357" t="s">
        <v>3</v>
      </c>
      <c r="V1" s="357"/>
      <c r="W1" s="357"/>
      <c r="X1" s="357"/>
      <c r="Y1" s="357"/>
      <c r="Z1" s="357"/>
      <c r="AA1" s="357"/>
      <c r="AB1" s="353" t="s">
        <v>4</v>
      </c>
      <c r="AC1" s="353"/>
      <c r="AD1" s="57"/>
      <c r="AE1" s="346" t="s">
        <v>451</v>
      </c>
      <c r="AF1" s="353" t="s">
        <v>5</v>
      </c>
      <c r="AG1" s="353"/>
      <c r="AH1" s="353"/>
      <c r="AI1" s="353"/>
      <c r="AJ1" s="353"/>
      <c r="AK1" s="353"/>
      <c r="AL1" s="14" t="s">
        <v>6</v>
      </c>
      <c r="AM1" s="14" t="s">
        <v>7</v>
      </c>
      <c r="AN1" s="1" t="s">
        <v>127</v>
      </c>
    </row>
    <row r="2" spans="1:40" ht="38" customHeight="1">
      <c r="A2" s="4" t="s">
        <v>10</v>
      </c>
      <c r="B2" s="4" t="s">
        <v>11</v>
      </c>
      <c r="C2" s="4" t="s">
        <v>12</v>
      </c>
      <c r="D2" s="159" t="s">
        <v>452</v>
      </c>
      <c r="E2" s="5" t="s">
        <v>13</v>
      </c>
      <c r="F2" s="5" t="s">
        <v>14</v>
      </c>
      <c r="G2" s="5" t="s">
        <v>15</v>
      </c>
      <c r="H2" s="6" t="s">
        <v>16</v>
      </c>
      <c r="I2" s="6" t="s">
        <v>17</v>
      </c>
      <c r="J2" s="6" t="s">
        <v>18</v>
      </c>
      <c r="K2" s="16" t="s">
        <v>19</v>
      </c>
      <c r="L2" s="6" t="s">
        <v>20</v>
      </c>
      <c r="M2" s="3" t="s">
        <v>21</v>
      </c>
      <c r="N2" s="3" t="s">
        <v>22</v>
      </c>
      <c r="O2" s="3" t="s">
        <v>23</v>
      </c>
      <c r="P2" s="3" t="s">
        <v>24</v>
      </c>
      <c r="Q2" s="3" t="s">
        <v>25</v>
      </c>
      <c r="R2" s="36" t="s">
        <v>26</v>
      </c>
      <c r="S2" s="37" t="s">
        <v>27</v>
      </c>
      <c r="T2" s="35" t="s">
        <v>28</v>
      </c>
      <c r="U2" s="8" t="s">
        <v>29</v>
      </c>
      <c r="V2" s="8" t="s">
        <v>30</v>
      </c>
      <c r="W2" s="8" t="s">
        <v>31</v>
      </c>
      <c r="X2" s="9" t="s">
        <v>446</v>
      </c>
      <c r="Y2" s="9" t="s">
        <v>445</v>
      </c>
      <c r="Z2" s="9" t="s">
        <v>447</v>
      </c>
      <c r="AA2" s="8" t="s">
        <v>34</v>
      </c>
      <c r="AB2" s="4" t="s">
        <v>35</v>
      </c>
      <c r="AC2" s="5" t="s">
        <v>36</v>
      </c>
      <c r="AD2" s="115" t="s">
        <v>453</v>
      </c>
      <c r="AE2" s="347"/>
      <c r="AF2" s="7" t="s">
        <v>38</v>
      </c>
      <c r="AG2" s="7" t="s">
        <v>39</v>
      </c>
      <c r="AH2" s="7" t="s">
        <v>40</v>
      </c>
      <c r="AI2" s="10" t="s">
        <v>41</v>
      </c>
      <c r="AJ2" s="10" t="s">
        <v>42</v>
      </c>
      <c r="AK2" s="10" t="s">
        <v>43</v>
      </c>
      <c r="AL2" s="15" t="s">
        <v>44</v>
      </c>
      <c r="AM2" s="15" t="s">
        <v>45</v>
      </c>
    </row>
    <row r="3" spans="1:40" s="20" customFormat="1" ht="17" hidden="1" customHeight="1">
      <c r="A3" s="20">
        <f>IF('1. Yixian'!A3="","",IF('1. Yixian'!A3='2. Nayoung'!A3,1,0))</f>
        <v>1</v>
      </c>
      <c r="B3" s="20">
        <f>IF('1. Yixian'!B3="","",IF(RIGHT('1. Yixian'!B3,2)=RIGHT('2. Nayoung'!B3,2),1,0))</f>
        <v>1</v>
      </c>
      <c r="C3" s="20">
        <f>IF('1. Yixian'!C3="","",IF('1. Yixian'!C3='2. Nayoung'!C3,1,0))</f>
        <v>1</v>
      </c>
      <c r="E3" s="20">
        <f>IF('1. Yixian'!E3="","",IF('1. Yixian'!E3='2. Nayoung'!E3,1,0))</f>
        <v>1</v>
      </c>
      <c r="F3" s="20">
        <f>IF('1. Yixian'!F3="","",IF('1. Yixian'!F3='2. Nayoung'!F3,1,0))</f>
        <v>1</v>
      </c>
      <c r="G3" s="20">
        <f>IF('1. Yixian'!G3="","",IF('1. Yixian'!G3='2. Nayoung'!G3,1,0))</f>
        <v>1</v>
      </c>
      <c r="H3" s="20">
        <f>IF('1. Yixian'!J3="","",IF(RIGHT('1. Yixian'!J3,3)=RIGHT('2. Nayoung'!J3,3),1,0))</f>
        <v>0</v>
      </c>
      <c r="I3" s="20">
        <f>IF(H3="","",IF(OR('2. Nayoung'!K3="", '1. Yixian'!K3 = ""),0,1))</f>
        <v>1</v>
      </c>
      <c r="J3" s="20">
        <f>IF('1. Yixian'!L3="","",IF('1. Yixian'!L3='2. Nayoung'!L3,1,0))</f>
        <v>1</v>
      </c>
      <c r="K3" s="20">
        <f>IF('1. Yixian'!M3="","",IF('1. Yixian'!M3='2. Nayoung'!M3,1,0))</f>
        <v>1</v>
      </c>
      <c r="L3" s="20">
        <f>IF('1. Yixian'!N3="","",IF('1. Yixian'!N3='2. Nayoung'!N3,1,0))</f>
        <v>1</v>
      </c>
      <c r="M3" s="20">
        <f>IF('1. Yixian'!O3="","",IF('1. Yixian'!O3='2. Nayoung'!O3,1,0))</f>
        <v>1</v>
      </c>
      <c r="N3" s="20">
        <f>IF('1. Yixian'!P3="","",IF('1. Yixian'!P3='2. Nayoung'!P3,1,0))</f>
        <v>1</v>
      </c>
      <c r="O3" s="20">
        <f>IF('1. Yixian'!Q3="","",IF('1. Yixian'!Q3='2. Nayoung'!Q3,1,0))</f>
        <v>1</v>
      </c>
      <c r="P3" s="20">
        <f>IF('1. Yixian'!R3="","",IF('1. Yixian'!R3='2. Nayoung'!R3,1,0))</f>
        <v>1</v>
      </c>
      <c r="Q3" s="20">
        <f>IF('1. Yixian'!S3="","",IF('1. Yixian'!S3='2. Nayoung'!S3,1,0))</f>
        <v>1</v>
      </c>
      <c r="R3" s="20">
        <f>IF('1. Yixian'!T3="","",IF('1. Yixian'!T3='2. Nayoung'!T3,1,0))</f>
        <v>1</v>
      </c>
      <c r="S3" s="20">
        <f>IF(R3="","",IF(OR('2. Nayoung'!U3="", '1. Yixian'!U3 = ""),0,1))</f>
        <v>1</v>
      </c>
      <c r="T3" s="20">
        <f>IF('1. Yixian'!V3="","",IF('1. Yixian'!V3='2. Nayoung'!V3,1,0))</f>
        <v>1</v>
      </c>
      <c r="U3" s="20">
        <f>IF('1. Yixian'!W3="","",IF('1. Yixian'!W3='2. Nayoung'!W3,1,0))</f>
        <v>1</v>
      </c>
      <c r="V3" s="20">
        <f>IF('1. Yixian'!X3="","",IF('1. Yixian'!X3='2. Nayoung'!X3,1,0))</f>
        <v>1</v>
      </c>
      <c r="W3" s="20">
        <f>IF('1. Yixian'!Y3="","",IF('1. Yixian'!Y3='2. Nayoung'!Y3,1,0))</f>
        <v>1</v>
      </c>
      <c r="X3" s="20">
        <f>IF('1. Yixian'!Z3="","",IF('1. Yixian'!Z3='2. Nayoung'!Z3,1,0))</f>
        <v>1</v>
      </c>
      <c r="Z3" s="20">
        <f>IF('1. Yixian'!AB3="","",IF('1. Yixian'!AB3='2. Nayoung'!AB3,1,0))</f>
        <v>1</v>
      </c>
      <c r="AA3" s="20">
        <f>IF('1. Yixian'!AC3="","",IF('1. Yixian'!AC3='2. Nayoung'!AC3,1,0))</f>
        <v>1</v>
      </c>
      <c r="AB3" s="20">
        <f>IF(OR('2. Nayoung'!AD3="", '1. Yixian'!AD3 = ""),0,1)</f>
        <v>1</v>
      </c>
      <c r="AC3" s="20">
        <f>IF('1. Yixian'!AE3="","",IF('1. Yixian'!AE3='2. Nayoung'!AE3,1,0))</f>
        <v>1</v>
      </c>
      <c r="AD3" s="20">
        <f>IF('1. Yixian'!AF3="","",IF('1. Yixian'!AF3='2. Nayoung'!AF3,1,0))</f>
        <v>0</v>
      </c>
      <c r="AF3" s="20">
        <f>IF('1. Yixian'!AH3="","",IF('1. Yixian'!AH3='2. Nayoung'!AH3,1,0))</f>
        <v>1</v>
      </c>
      <c r="AG3" s="20">
        <f>IF('1. Yixian'!AI3="","",IF('1. Yixian'!AI3='2. Nayoung'!AI3,1,0))</f>
        <v>1</v>
      </c>
      <c r="AH3" s="20">
        <f>IF('1. Yixian'!AJ3="","",IF('1. Yixian'!AJ3='2. Nayoung'!AJ3,1,0))</f>
        <v>1</v>
      </c>
      <c r="AI3" s="20">
        <f>IF('1. Yixian'!AK3="","",IF('1. Yixian'!AK3='2. Nayoung'!AK3,1,0))</f>
        <v>1</v>
      </c>
      <c r="AJ3" s="20">
        <f>IF('1. Yixian'!AL3="","",IF('1. Yixian'!AL3='2. Nayoung'!AL3,1,0))</f>
        <v>1</v>
      </c>
      <c r="AK3" s="20">
        <f>IF('1. Yixian'!AM3="","",IF('1. Yixian'!AM3='2. Nayoung'!AM3,1,0))</f>
        <v>1</v>
      </c>
      <c r="AL3" s="20">
        <f>IF('1. Yixian'!AT3='2. Nayoung'!AT3, 1, 0)</f>
        <v>1</v>
      </c>
      <c r="AM3" s="20">
        <f>IF('1. Yixian'!AU3='2. Nayoung'!AU3, 1, 0)</f>
        <v>1</v>
      </c>
      <c r="AN3" s="2"/>
    </row>
    <row r="4" spans="1:40" s="21" customFormat="1" ht="17" hidden="1" customHeight="1">
      <c r="A4" s="20" t="str">
        <f>IF('1. Yixian'!A4="","",IF('1. Yixian'!A4='2. Nayoung'!A4,1,0))</f>
        <v/>
      </c>
      <c r="B4" s="20" t="str">
        <f>IF('1. Yixian'!B4="","",IF(RIGHT('1. Yixian'!B4,2)=RIGHT('2. Nayoung'!B4,2),1,0))</f>
        <v/>
      </c>
      <c r="C4" s="20" t="str">
        <f>IF('1. Yixian'!C4="","",IF('1. Yixian'!C4='2. Nayoung'!C4,1,0))</f>
        <v/>
      </c>
      <c r="D4" s="20"/>
      <c r="E4" s="20" t="str">
        <f>IF('1. Yixian'!E4="","",IF('1. Yixian'!E4='2. Nayoung'!E4,1,0))</f>
        <v/>
      </c>
      <c r="F4" s="20" t="str">
        <f>IF('1. Yixian'!F4="","",IF('1. Yixian'!F4='2. Nayoung'!F4,1,0))</f>
        <v/>
      </c>
      <c r="G4" s="20" t="str">
        <f>IF('1. Yixian'!G4="","",IF('1. Yixian'!G4='2. Nayoung'!G4,1,0))</f>
        <v/>
      </c>
      <c r="H4" s="20">
        <f>IF('1. Yixian'!J4="","",IF(RIGHT('1. Yixian'!J4,3)=RIGHT('2. Nayoung'!J4,3),1,0))</f>
        <v>0</v>
      </c>
      <c r="I4" s="20">
        <f>IF(H4="","",IF(OR('2. Nayoung'!K4="", '1. Yixian'!K4 = ""),0,1))</f>
        <v>1</v>
      </c>
      <c r="J4" s="20">
        <f>IF('1. Yixian'!L4="","",IF('1. Yixian'!L4='2. Nayoung'!L4,1,0))</f>
        <v>1</v>
      </c>
      <c r="K4" s="20">
        <f>IF('1. Yixian'!M4="","",IF('1. Yixian'!M4='2. Nayoung'!M4,1,0))</f>
        <v>1</v>
      </c>
      <c r="L4" s="20">
        <f>IF('1. Yixian'!N4="","",IF('1. Yixian'!N4='2. Nayoung'!N4,1,0))</f>
        <v>1</v>
      </c>
      <c r="M4" s="20">
        <f>IF('1. Yixian'!O4="","",IF('1. Yixian'!O4='2. Nayoung'!O4,1,0))</f>
        <v>1</v>
      </c>
      <c r="N4" s="20">
        <f>IF('1. Yixian'!P4="","",IF('1. Yixian'!P4='2. Nayoung'!P4,1,0))</f>
        <v>1</v>
      </c>
      <c r="O4" s="20">
        <f>IF('1. Yixian'!Q4="","",IF('1. Yixian'!Q4='2. Nayoung'!Q4,1,0))</f>
        <v>1</v>
      </c>
      <c r="P4" s="20">
        <f>IF('1. Yixian'!R4="","",IF('1. Yixian'!R4='2. Nayoung'!R4,1,0))</f>
        <v>1</v>
      </c>
      <c r="Q4" s="20">
        <f>IF('1. Yixian'!S4="","",IF('1. Yixian'!S4='2. Nayoung'!S4,1,0))</f>
        <v>1</v>
      </c>
      <c r="R4" s="20">
        <f>IF('1. Yixian'!T4="","",IF('1. Yixian'!T4='2. Nayoung'!T4,1,0))</f>
        <v>1</v>
      </c>
      <c r="S4" s="20">
        <f>IF(R4="","",IF(OR('2. Nayoung'!U4="", '1. Yixian'!U4 = ""),0,1))</f>
        <v>1</v>
      </c>
      <c r="T4" s="20">
        <f>IF('1. Yixian'!V4="","",IF('1. Yixian'!V4='2. Nayoung'!V4,1,0))</f>
        <v>1</v>
      </c>
      <c r="U4" s="20">
        <f>IF('1. Yixian'!W4="","",IF('1. Yixian'!W4='2. Nayoung'!W4,1,0))</f>
        <v>1</v>
      </c>
      <c r="V4" s="20">
        <f>IF('1. Yixian'!X4="","",IF('1. Yixian'!X4='2. Nayoung'!X4,1,0))</f>
        <v>1</v>
      </c>
      <c r="W4" s="20">
        <f>IF('1. Yixian'!Y4="","",IF('1. Yixian'!Y4='2. Nayoung'!Y4,1,0))</f>
        <v>1</v>
      </c>
      <c r="X4" s="20">
        <f>IF('1. Yixian'!Z4="","",IF('1. Yixian'!Z4='2. Nayoung'!Z4,1,0))</f>
        <v>1</v>
      </c>
      <c r="Y4" s="20"/>
      <c r="Z4" s="20">
        <f>IF('1. Yixian'!AB4="","",IF('1. Yixian'!AB4='2. Nayoung'!AB4,1,0))</f>
        <v>1</v>
      </c>
      <c r="AA4" s="20">
        <f>IF('1. Yixian'!AC4="","",IF('1. Yixian'!AC4='2. Nayoung'!AC4,1,0))</f>
        <v>1</v>
      </c>
      <c r="AB4" s="20">
        <f>IF(OR('2. Nayoung'!AD4="", '1. Yixian'!AD4 = ""),0,1)</f>
        <v>1</v>
      </c>
      <c r="AC4" s="20">
        <f>IF('1. Yixian'!AE4="","",IF('1. Yixian'!AE4='2. Nayoung'!AE4,1,0))</f>
        <v>1</v>
      </c>
      <c r="AD4" s="20">
        <f>IF('1. Yixian'!AF4="","",IF('1. Yixian'!AF4='2. Nayoung'!AF4,1,0))</f>
        <v>0</v>
      </c>
      <c r="AE4" s="20"/>
      <c r="AF4" s="20">
        <f>IF('1. Yixian'!AH4="","",IF('1. Yixian'!AH4='2. Nayoung'!AH4,1,0))</f>
        <v>1</v>
      </c>
      <c r="AG4" s="20">
        <f>IF('1. Yixian'!AI4="","",IF('1. Yixian'!AI4='2. Nayoung'!AI4,1,0))</f>
        <v>1</v>
      </c>
      <c r="AH4" s="20">
        <f>IF('1. Yixian'!AJ4="","",IF('1. Yixian'!AJ4='2. Nayoung'!AJ4,1,0))</f>
        <v>1</v>
      </c>
      <c r="AI4" s="20">
        <f>IF('1. Yixian'!AK4="","",IF('1. Yixian'!AK4='2. Nayoung'!AK4,1,0))</f>
        <v>1</v>
      </c>
      <c r="AJ4" s="20">
        <f>IF('1. Yixian'!AL4="","",IF('1. Yixian'!AL4='2. Nayoung'!AL4,1,0))</f>
        <v>1</v>
      </c>
      <c r="AK4" s="20">
        <f>IF('1. Yixian'!AM4="","",IF('1. Yixian'!AM4='2. Nayoung'!AM4,1,0))</f>
        <v>1</v>
      </c>
      <c r="AL4" s="20">
        <f>IF('1. Yixian'!AT4='2. Nayoung'!AT4, 1, 0)</f>
        <v>1</v>
      </c>
      <c r="AM4" s="20">
        <f>IF('1. Yixian'!AU4='2. Nayoung'!AU4, 1, 0)</f>
        <v>1</v>
      </c>
      <c r="AN4" s="28"/>
    </row>
    <row r="5" spans="1:40" s="20" customFormat="1" ht="17" hidden="1" customHeight="1">
      <c r="A5" s="20">
        <f>IF('1. Yixian'!A5="","",IF('1. Yixian'!A5='2. Nayoung'!A5,1,0))</f>
        <v>1</v>
      </c>
      <c r="B5" s="20">
        <f>IF('1. Yixian'!B5="","",IF(RIGHT('1. Yixian'!B5,2)=RIGHT('2. Nayoung'!B5,2),1,0))</f>
        <v>1</v>
      </c>
      <c r="C5" s="20">
        <f>IF('1. Yixian'!C5="","",IF('1. Yixian'!C5='2. Nayoung'!C5,1,0))</f>
        <v>1</v>
      </c>
      <c r="E5" s="20">
        <f>IF('1. Yixian'!E5="","",IF('1. Yixian'!E5='2. Nayoung'!E5,1,0))</f>
        <v>1</v>
      </c>
      <c r="F5" s="20">
        <f>IF('1. Yixian'!F5="","",IF('1. Yixian'!F5='2. Nayoung'!F5,1,0))</f>
        <v>1</v>
      </c>
      <c r="G5" s="20">
        <f>IF('1. Yixian'!G5="","",IF('1. Yixian'!G5='2. Nayoung'!G5,1,0))</f>
        <v>1</v>
      </c>
      <c r="H5" s="20">
        <f>IF('1. Yixian'!J5="","",IF(RIGHT('1. Yixian'!J5,3)=RIGHT('2. Nayoung'!J5,3),1,0))</f>
        <v>0</v>
      </c>
      <c r="I5" s="20">
        <f>IF(H5="","",IF(OR('2. Nayoung'!K5="", '1. Yixian'!K5 = ""),0,1))</f>
        <v>1</v>
      </c>
      <c r="J5" s="20">
        <f>IF('1. Yixian'!L5="","",IF('1. Yixian'!L5='2. Nayoung'!L5,1,0))</f>
        <v>1</v>
      </c>
      <c r="K5" s="20">
        <f>IF('1. Yixian'!M5="","",IF('1. Yixian'!M5='2. Nayoung'!M5,1,0))</f>
        <v>1</v>
      </c>
      <c r="L5" s="20">
        <f>IF('1. Yixian'!N5="","",IF('1. Yixian'!N5='2. Nayoung'!N5,1,0))</f>
        <v>1</v>
      </c>
      <c r="M5" s="20">
        <f>IF('1. Yixian'!O5="","",IF('1. Yixian'!O5='2. Nayoung'!O5,1,0))</f>
        <v>1</v>
      </c>
      <c r="N5" s="20">
        <f>IF('1. Yixian'!P5="","",IF('1. Yixian'!P5='2. Nayoung'!P5,1,0))</f>
        <v>1</v>
      </c>
      <c r="O5" s="20">
        <f>IF('1. Yixian'!Q5="","",IF('1. Yixian'!Q5='2. Nayoung'!Q5,1,0))</f>
        <v>1</v>
      </c>
      <c r="P5" s="20">
        <f>IF('1. Yixian'!R5="","",IF('1. Yixian'!R5='2. Nayoung'!R5,1,0))</f>
        <v>1</v>
      </c>
      <c r="Q5" s="20">
        <f>IF('1. Yixian'!S5="","",IF('1. Yixian'!S5='2. Nayoung'!S5,1,0))</f>
        <v>1</v>
      </c>
      <c r="R5" s="20">
        <f>IF('1. Yixian'!T5="","",IF('1. Yixian'!T5='2. Nayoung'!T5,1,0))</f>
        <v>1</v>
      </c>
      <c r="S5" s="20">
        <f>IF(R5="","",IF(OR('2. Nayoung'!U5="", '1. Yixian'!U5 = ""),0,1))</f>
        <v>1</v>
      </c>
      <c r="T5" s="20">
        <f>IF('1. Yixian'!V5="","",IF('1. Yixian'!V5='2. Nayoung'!V5,1,0))</f>
        <v>1</v>
      </c>
      <c r="U5" s="20">
        <f>IF('1. Yixian'!W5="","",IF('1. Yixian'!W5='2. Nayoung'!W5,1,0))</f>
        <v>1</v>
      </c>
      <c r="V5" s="20">
        <f>IF('1. Yixian'!X5="","",IF('1. Yixian'!X5='2. Nayoung'!X5,1,0))</f>
        <v>1</v>
      </c>
      <c r="W5" s="20">
        <f>IF('1. Yixian'!Y5="","",IF('1. Yixian'!Y5='2. Nayoung'!Y5,1,0))</f>
        <v>1</v>
      </c>
      <c r="X5" s="20">
        <f>IF('1. Yixian'!Z5="","",IF('1. Yixian'!Z5='2. Nayoung'!Z5,1,0))</f>
        <v>1</v>
      </c>
      <c r="Z5" s="20">
        <f>IF('1. Yixian'!AB5="","",IF('1. Yixian'!AB5='2. Nayoung'!AB5,1,0))</f>
        <v>1</v>
      </c>
      <c r="AA5" s="20">
        <f>IF('1. Yixian'!AC5="","",IF('1. Yixian'!AC5='2. Nayoung'!AC5,1,0))</f>
        <v>1</v>
      </c>
      <c r="AB5" s="20">
        <f>IF(OR('2. Nayoung'!AD5="", '1. Yixian'!AD5 = ""),0,1)</f>
        <v>1</v>
      </c>
      <c r="AC5" s="20">
        <f>IF('1. Yixian'!AE5="","",IF('1. Yixian'!AE5='2. Nayoung'!AE5,1,0))</f>
        <v>1</v>
      </c>
      <c r="AD5" s="20">
        <f>IF('1. Yixian'!AF5="","",IF('1. Yixian'!AF5='2. Nayoung'!AF5,1,0))</f>
        <v>0</v>
      </c>
      <c r="AF5" s="20">
        <f>IF('1. Yixian'!AH5="","",IF('1. Yixian'!AH5='2. Nayoung'!AH5,1,0))</f>
        <v>1</v>
      </c>
      <c r="AG5" s="20">
        <f>IF('1. Yixian'!AI5="","",IF('1. Yixian'!AI5='2. Nayoung'!AI5,1,0))</f>
        <v>1</v>
      </c>
      <c r="AH5" s="20">
        <f>IF('1. Yixian'!AJ5="","",IF('1. Yixian'!AJ5='2. Nayoung'!AJ5,1,0))</f>
        <v>1</v>
      </c>
      <c r="AI5" s="20">
        <f>IF('1. Yixian'!AK5="","",IF('1. Yixian'!AK5='2. Nayoung'!AK5,1,0))</f>
        <v>1</v>
      </c>
      <c r="AJ5" s="20">
        <f>IF('1. Yixian'!AL5="","",IF('1. Yixian'!AL5='2. Nayoung'!AL5,1,0))</f>
        <v>1</v>
      </c>
      <c r="AK5" s="20">
        <f>IF('1. Yixian'!AM5="","",IF('1. Yixian'!AM5='2. Nayoung'!AM5,1,0))</f>
        <v>1</v>
      </c>
      <c r="AL5" s="20">
        <f>IF('1. Yixian'!AT5='2. Nayoung'!AT5, 1, 0)</f>
        <v>1</v>
      </c>
      <c r="AM5" s="20">
        <f>IF('1. Yixian'!AU5='2. Nayoung'!AU5, 1, 0)</f>
        <v>1</v>
      </c>
      <c r="AN5" s="2"/>
    </row>
    <row r="6" spans="1:40" s="20" customFormat="1" ht="17" hidden="1" customHeight="1">
      <c r="A6" s="20" t="str">
        <f>IF('1. Yixian'!A6="","",IF('1. Yixian'!A6='2. Nayoung'!A6,1,0))</f>
        <v/>
      </c>
      <c r="B6" s="20" t="str">
        <f>IF('1. Yixian'!B6="","",IF(RIGHT('1. Yixian'!B6,2)=RIGHT('2. Nayoung'!B6,2),1,0))</f>
        <v/>
      </c>
      <c r="C6" s="20" t="str">
        <f>IF('1. Yixian'!C6="","",IF('1. Yixian'!C6='2. Nayoung'!C6,1,0))</f>
        <v/>
      </c>
      <c r="E6" s="20" t="str">
        <f>IF('1. Yixian'!E6="","",IF('1. Yixian'!E6='2. Nayoung'!E6,1,0))</f>
        <v/>
      </c>
      <c r="F6" s="20" t="str">
        <f>IF('1. Yixian'!F6="","",IF('1. Yixian'!F6='2. Nayoung'!F6,1,0))</f>
        <v/>
      </c>
      <c r="G6" s="20" t="str">
        <f>IF('1. Yixian'!G6="","",IF('1. Yixian'!G6='2. Nayoung'!G6,1,0))</f>
        <v/>
      </c>
      <c r="H6" s="20" t="str">
        <f>IF('1. Yixian'!J6="","",IF(RIGHT('1. Yixian'!J6,3)=RIGHT('2. Nayoung'!J6,3),1,0))</f>
        <v/>
      </c>
      <c r="I6" s="20" t="str">
        <f>IF(H6="","",IF(OR('2. Nayoung'!K6="", '1. Yixian'!K6 = ""),0,1))</f>
        <v/>
      </c>
      <c r="J6" s="20" t="str">
        <f>IF('1. Yixian'!L6="","",IF('1. Yixian'!L6='2. Nayoung'!L6,1,0))</f>
        <v/>
      </c>
      <c r="K6" s="20" t="str">
        <f>IF('1. Yixian'!M6="","",IF('1. Yixian'!M6='2. Nayoung'!M6,1,0))</f>
        <v/>
      </c>
      <c r="L6" s="20" t="str">
        <f>IF('1. Yixian'!N6="","",IF('1. Yixian'!N6='2. Nayoung'!N6,1,0))</f>
        <v/>
      </c>
      <c r="M6" s="20" t="str">
        <f>IF('1. Yixian'!O6="","",IF('1. Yixian'!O6='2. Nayoung'!O6,1,0))</f>
        <v/>
      </c>
      <c r="N6" s="20" t="str">
        <f>IF('1. Yixian'!P6="","",IF('1. Yixian'!P6='2. Nayoung'!P6,1,0))</f>
        <v/>
      </c>
      <c r="O6" s="20" t="str">
        <f>IF('1. Yixian'!Q6="","",IF('1. Yixian'!Q6='2. Nayoung'!Q6,1,0))</f>
        <v/>
      </c>
      <c r="P6" s="20" t="str">
        <f>IF('1. Yixian'!R6="","",IF('1. Yixian'!R6='2. Nayoung'!R6,1,0))</f>
        <v/>
      </c>
      <c r="Q6" s="20" t="str">
        <f>IF('1. Yixian'!S6="","",IF('1. Yixian'!S6='2. Nayoung'!S6,1,0))</f>
        <v/>
      </c>
      <c r="R6" s="20" t="str">
        <f>IF('1. Yixian'!T6="","",IF('1. Yixian'!T6='2. Nayoung'!T6,1,0))</f>
        <v/>
      </c>
      <c r="S6" s="20" t="str">
        <f>IF(R6="","",IF(OR('2. Nayoung'!U6="", '1. Yixian'!U6 = ""),0,1))</f>
        <v/>
      </c>
      <c r="T6" s="20" t="str">
        <f>IF('1. Yixian'!V6="","",IF('1. Yixian'!V6='2. Nayoung'!V6,1,0))</f>
        <v/>
      </c>
      <c r="U6" s="20" t="str">
        <f>IF('1. Yixian'!W6="","",IF('1. Yixian'!W6='2. Nayoung'!W6,1,0))</f>
        <v/>
      </c>
      <c r="V6" s="20" t="str">
        <f>IF('1. Yixian'!X6="","",IF('1. Yixian'!X6='2. Nayoung'!X6,1,0))</f>
        <v/>
      </c>
      <c r="W6" s="20" t="str">
        <f>IF('1. Yixian'!Y6="","",IF('1. Yixian'!Y6='2. Nayoung'!Y6,1,0))</f>
        <v/>
      </c>
      <c r="X6" s="20" t="str">
        <f>IF('1. Yixian'!Z6="","",IF('1. Yixian'!Z6='2. Nayoung'!Z6,1,0))</f>
        <v/>
      </c>
      <c r="Z6" s="20" t="str">
        <f>IF('1. Yixian'!AB6="","",IF('1. Yixian'!AB6='2. Nayoung'!AB6,1,0))</f>
        <v/>
      </c>
      <c r="AA6" s="20" t="str">
        <f>IF('1. Yixian'!AC6="","",IF('1. Yixian'!AC6='2. Nayoung'!AC6,1,0))</f>
        <v/>
      </c>
      <c r="AB6" s="20">
        <f>IF(OR('2. Nayoung'!AD6="", '1. Yixian'!AD6 = ""),0,1)</f>
        <v>1</v>
      </c>
      <c r="AC6" s="20">
        <f>IF('1. Yixian'!AE6="","",IF('1. Yixian'!AE6='2. Nayoung'!AE6,1,0))</f>
        <v>1</v>
      </c>
      <c r="AD6" s="20">
        <f>IF('1. Yixian'!AF6="","",IF('1. Yixian'!AF6='2. Nayoung'!AF6,1,0))</f>
        <v>0</v>
      </c>
      <c r="AF6" s="20">
        <f>IF('1. Yixian'!AH6="","",IF('1. Yixian'!AH6='2. Nayoung'!AH6,1,0))</f>
        <v>1</v>
      </c>
      <c r="AG6" s="20">
        <f>IF('1. Yixian'!AI6="","",IF('1. Yixian'!AI6='2. Nayoung'!AI6,1,0))</f>
        <v>1</v>
      </c>
      <c r="AH6" s="20">
        <f>IF('1. Yixian'!AJ6="","",IF('1. Yixian'!AJ6='2. Nayoung'!AJ6,1,0))</f>
        <v>1</v>
      </c>
      <c r="AI6" s="20">
        <f>IF('1. Yixian'!AK6="","",IF('1. Yixian'!AK6='2. Nayoung'!AK6,1,0))</f>
        <v>1</v>
      </c>
      <c r="AJ6" s="20">
        <f>IF('1. Yixian'!AL6="","",IF('1. Yixian'!AL6='2. Nayoung'!AL6,1,0))</f>
        <v>1</v>
      </c>
      <c r="AK6" s="20">
        <f>IF('1. Yixian'!AM6="","",IF('1. Yixian'!AM6='2. Nayoung'!AM6,1,0))</f>
        <v>1</v>
      </c>
      <c r="AL6" s="20">
        <f>IF('1. Yixian'!AT6='2. Nayoung'!AT6, 1, 0)</f>
        <v>1</v>
      </c>
      <c r="AM6" s="20">
        <f>IF('1. Yixian'!AU6='2. Nayoung'!AU6, 1, 0)</f>
        <v>1</v>
      </c>
      <c r="AN6" s="2"/>
    </row>
    <row r="7" spans="1:40" s="20" customFormat="1" ht="17" hidden="1" customHeight="1">
      <c r="A7" s="20" t="str">
        <f>IF('1. Yixian'!A7="","",IF('1. Yixian'!A7='2. Nayoung'!A7,1,0))</f>
        <v/>
      </c>
      <c r="B7" s="20" t="str">
        <f>IF('1. Yixian'!B7="","",IF(RIGHT('1. Yixian'!B7,2)=RIGHT('2. Nayoung'!B7,2),1,0))</f>
        <v/>
      </c>
      <c r="C7" s="20" t="str">
        <f>IF('1. Yixian'!C7="","",IF('1. Yixian'!C7='2. Nayoung'!C7,1,0))</f>
        <v/>
      </c>
      <c r="E7" s="20" t="str">
        <f>IF('1. Yixian'!E7="","",IF('1. Yixian'!E7='2. Nayoung'!E7,1,0))</f>
        <v/>
      </c>
      <c r="F7" s="20" t="str">
        <f>IF('1. Yixian'!F7="","",IF('1. Yixian'!F7='2. Nayoung'!F7,1,0))</f>
        <v/>
      </c>
      <c r="G7" s="20" t="str">
        <f>IF('1. Yixian'!G7="","",IF('1. Yixian'!G7='2. Nayoung'!G7,1,0))</f>
        <v/>
      </c>
      <c r="H7" s="20">
        <f>IF('1. Yixian'!J7="","",IF(RIGHT('1. Yixian'!J7,3)=RIGHT('2. Nayoung'!J7,3),1,0))</f>
        <v>0</v>
      </c>
      <c r="I7" s="20">
        <f>IF(H7="","",IF(OR('2. Nayoung'!K7="", '1. Yixian'!K7 = ""),0,1))</f>
        <v>1</v>
      </c>
      <c r="J7" s="20">
        <f>IF('1. Yixian'!L7="","",IF('1. Yixian'!L7='2. Nayoung'!L7,1,0))</f>
        <v>1</v>
      </c>
      <c r="K7" s="20">
        <f>IF('1. Yixian'!M7="","",IF('1. Yixian'!M7='2. Nayoung'!M7,1,0))</f>
        <v>1</v>
      </c>
      <c r="L7" s="20">
        <f>IF('1. Yixian'!N7="","",IF('1. Yixian'!N7='2. Nayoung'!N7,1,0))</f>
        <v>1</v>
      </c>
      <c r="M7" s="20">
        <f>IF('1. Yixian'!O7="","",IF('1. Yixian'!O7='2. Nayoung'!O7,1,0))</f>
        <v>1</v>
      </c>
      <c r="N7" s="20">
        <f>IF('1. Yixian'!P7="","",IF('1. Yixian'!P7='2. Nayoung'!P7,1,0))</f>
        <v>1</v>
      </c>
      <c r="O7" s="20">
        <f>IF('1. Yixian'!Q7="","",IF('1. Yixian'!Q7='2. Nayoung'!Q7,1,0))</f>
        <v>1</v>
      </c>
      <c r="P7" s="20">
        <f>IF('1. Yixian'!R7="","",IF('1. Yixian'!R7='2. Nayoung'!R7,1,0))</f>
        <v>1</v>
      </c>
      <c r="Q7" s="20">
        <f>IF('1. Yixian'!S7="","",IF('1. Yixian'!S7='2. Nayoung'!S7,1,0))</f>
        <v>1</v>
      </c>
      <c r="R7" s="20">
        <f>IF('1. Yixian'!T7="","",IF('1. Yixian'!T7='2. Nayoung'!T7,1,0))</f>
        <v>1</v>
      </c>
      <c r="S7" s="20">
        <f>IF(R7="","",IF(OR('2. Nayoung'!U7="", '1. Yixian'!U7 = ""),0,1))</f>
        <v>1</v>
      </c>
      <c r="T7" s="20">
        <f>IF('1. Yixian'!V7="","",IF('1. Yixian'!V7='2. Nayoung'!V7,1,0))</f>
        <v>1</v>
      </c>
      <c r="U7" s="20">
        <f>IF('1. Yixian'!W7="","",IF('1. Yixian'!W7='2. Nayoung'!W7,1,0))</f>
        <v>1</v>
      </c>
      <c r="V7" s="20">
        <f>IF('1. Yixian'!X7="","",IF('1. Yixian'!X7='2. Nayoung'!X7,1,0))</f>
        <v>1</v>
      </c>
      <c r="W7" s="20">
        <f>IF('1. Yixian'!Y7="","",IF('1. Yixian'!Y7='2. Nayoung'!Y7,1,0))</f>
        <v>1</v>
      </c>
      <c r="X7" s="20">
        <f>IF('1. Yixian'!Z7="","",IF('1. Yixian'!Z7='2. Nayoung'!Z7,1,0))</f>
        <v>1</v>
      </c>
      <c r="Z7" s="20">
        <f>IF('1. Yixian'!AB7="","",IF('1. Yixian'!AB7='2. Nayoung'!AB7,1,0))</f>
        <v>1</v>
      </c>
      <c r="AA7" s="20">
        <f>IF('1. Yixian'!AC7="","",IF('1. Yixian'!AC7='2. Nayoung'!AC7,1,0))</f>
        <v>1</v>
      </c>
      <c r="AB7" s="20">
        <f>IF(OR('2. Nayoung'!AD7="", '1. Yixian'!AD7 = ""),0,1)</f>
        <v>1</v>
      </c>
      <c r="AC7" s="20">
        <f>IF('1. Yixian'!AE7="","",IF('1. Yixian'!AE7='2. Nayoung'!AE7,1,0))</f>
        <v>1</v>
      </c>
      <c r="AD7" s="20">
        <f>IF('1. Yixian'!AF7="","",IF('1. Yixian'!AF7='2. Nayoung'!AF7,1,0))</f>
        <v>0</v>
      </c>
      <c r="AF7" s="20">
        <f>IF('1. Yixian'!AH7="","",IF('1. Yixian'!AH7='2. Nayoung'!AH7,1,0))</f>
        <v>1</v>
      </c>
      <c r="AG7" s="20">
        <f>IF('1. Yixian'!AI7="","",IF('1. Yixian'!AI7='2. Nayoung'!AI7,1,0))</f>
        <v>1</v>
      </c>
      <c r="AH7" s="20">
        <f>IF('1. Yixian'!AJ7="","",IF('1. Yixian'!AJ7='2. Nayoung'!AJ7,1,0))</f>
        <v>1</v>
      </c>
      <c r="AI7" s="20">
        <f>IF('1. Yixian'!AK7="","",IF('1. Yixian'!AK7='2. Nayoung'!AK7,1,0))</f>
        <v>1</v>
      </c>
      <c r="AJ7" s="20">
        <f>IF('1. Yixian'!AL7="","",IF('1. Yixian'!AL7='2. Nayoung'!AL7,1,0))</f>
        <v>1</v>
      </c>
      <c r="AK7" s="20">
        <f>IF('1. Yixian'!AM7="","",IF('1. Yixian'!AM7='2. Nayoung'!AM7,1,0))</f>
        <v>1</v>
      </c>
      <c r="AL7" s="20">
        <f>IF('1. Yixian'!AT7='2. Nayoung'!AT7, 1, 0)</f>
        <v>1</v>
      </c>
      <c r="AM7" s="20">
        <f>IF('1. Yixian'!AU7='2. Nayoung'!AU7, 1, 0)</f>
        <v>1</v>
      </c>
      <c r="AN7" s="2"/>
    </row>
    <row r="8" spans="1:40" s="20" customFormat="1" ht="17" hidden="1" customHeight="1">
      <c r="A8" s="20" t="str">
        <f>IF('1. Yixian'!A8="","",IF('1. Yixian'!A8='2. Nayoung'!A8,1,0))</f>
        <v/>
      </c>
      <c r="B8" s="20" t="str">
        <f>IF('1. Yixian'!B8="","",IF(RIGHT('1. Yixian'!B8,2)=RIGHT('2. Nayoung'!B8,2),1,0))</f>
        <v/>
      </c>
      <c r="C8" s="20" t="str">
        <f>IF('1. Yixian'!C8="","",IF('1. Yixian'!C8='2. Nayoung'!C8,1,0))</f>
        <v/>
      </c>
      <c r="E8" s="20" t="str">
        <f>IF('1. Yixian'!E8="","",IF('1. Yixian'!E8='2. Nayoung'!E8,1,0))</f>
        <v/>
      </c>
      <c r="F8" s="20" t="str">
        <f>IF('1. Yixian'!F8="","",IF('1. Yixian'!F8='2. Nayoung'!F8,1,0))</f>
        <v/>
      </c>
      <c r="G8" s="20" t="str">
        <f>IF('1. Yixian'!G8="","",IF('1. Yixian'!G8='2. Nayoung'!G8,1,0))</f>
        <v/>
      </c>
      <c r="H8" s="20" t="str">
        <f>IF('1. Yixian'!J8="","",IF(RIGHT('1. Yixian'!J8,3)=RIGHT('2. Nayoung'!J8,3),1,0))</f>
        <v/>
      </c>
      <c r="I8" s="20" t="str">
        <f>IF(H8="","",IF(OR('2. Nayoung'!K8="", '1. Yixian'!K8 = ""),0,1))</f>
        <v/>
      </c>
      <c r="J8" s="20" t="str">
        <f>IF('1. Yixian'!L8="","",IF('1. Yixian'!L8='2. Nayoung'!L8,1,0))</f>
        <v/>
      </c>
      <c r="K8" s="20" t="str">
        <f>IF('1. Yixian'!M8="","",IF('1. Yixian'!M8='2. Nayoung'!M8,1,0))</f>
        <v/>
      </c>
      <c r="L8" s="20" t="str">
        <f>IF('1. Yixian'!N8="","",IF('1. Yixian'!N8='2. Nayoung'!N8,1,0))</f>
        <v/>
      </c>
      <c r="M8" s="20" t="str">
        <f>IF('1. Yixian'!O8="","",IF('1. Yixian'!O8='2. Nayoung'!O8,1,0))</f>
        <v/>
      </c>
      <c r="N8" s="20" t="str">
        <f>IF('1. Yixian'!P8="","",IF('1. Yixian'!P8='2. Nayoung'!P8,1,0))</f>
        <v/>
      </c>
      <c r="O8" s="20" t="str">
        <f>IF('1. Yixian'!Q8="","",IF('1. Yixian'!Q8='2. Nayoung'!Q8,1,0))</f>
        <v/>
      </c>
      <c r="P8" s="20" t="str">
        <f>IF('1. Yixian'!R8="","",IF('1. Yixian'!R8='2. Nayoung'!R8,1,0))</f>
        <v/>
      </c>
      <c r="Q8" s="20" t="str">
        <f>IF('1. Yixian'!S8="","",IF('1. Yixian'!S8='2. Nayoung'!S8,1,0))</f>
        <v/>
      </c>
      <c r="R8" s="20" t="str">
        <f>IF('1. Yixian'!T8="","",IF('1. Yixian'!T8='2. Nayoung'!T8,1,0))</f>
        <v/>
      </c>
      <c r="S8" s="20" t="str">
        <f>IF(R8="","",IF(OR('2. Nayoung'!U8="", '1. Yixian'!U8 = ""),0,1))</f>
        <v/>
      </c>
      <c r="T8" s="20" t="str">
        <f>IF('1. Yixian'!V8="","",IF('1. Yixian'!V8='2. Nayoung'!V8,1,0))</f>
        <v/>
      </c>
      <c r="U8" s="20" t="str">
        <f>IF('1. Yixian'!W8="","",IF('1. Yixian'!W8='2. Nayoung'!W8,1,0))</f>
        <v/>
      </c>
      <c r="V8" s="20" t="str">
        <f>IF('1. Yixian'!X8="","",IF('1. Yixian'!X8='2. Nayoung'!X8,1,0))</f>
        <v/>
      </c>
      <c r="W8" s="20" t="str">
        <f>IF('1. Yixian'!Y8="","",IF('1. Yixian'!Y8='2. Nayoung'!Y8,1,0))</f>
        <v/>
      </c>
      <c r="X8" s="20" t="str">
        <f>IF('1. Yixian'!Z8="","",IF('1. Yixian'!Z8='2. Nayoung'!Z8,1,0))</f>
        <v/>
      </c>
      <c r="Z8" s="20" t="str">
        <f>IF('1. Yixian'!AB8="","",IF('1. Yixian'!AB8='2. Nayoung'!AB8,1,0))</f>
        <v/>
      </c>
      <c r="AA8" s="20" t="str">
        <f>IF('1. Yixian'!AC8="","",IF('1. Yixian'!AC8='2. Nayoung'!AC8,1,0))</f>
        <v/>
      </c>
      <c r="AB8" s="20">
        <f>IF(OR('2. Nayoung'!AD8="", '1. Yixian'!AD8 = ""),0,1)</f>
        <v>1</v>
      </c>
      <c r="AC8" s="20">
        <f>IF('1. Yixian'!AE8="","",IF('1. Yixian'!AE8='2. Nayoung'!AE8,1,0))</f>
        <v>1</v>
      </c>
      <c r="AD8" s="20">
        <f>IF('1. Yixian'!AF8="","",IF('1. Yixian'!AF8='2. Nayoung'!AF8,1,0))</f>
        <v>0</v>
      </c>
      <c r="AF8" s="20">
        <f>IF('1. Yixian'!AH8="","",IF('1. Yixian'!AH8='2. Nayoung'!AH8,1,0))</f>
        <v>1</v>
      </c>
      <c r="AG8" s="20">
        <f>IF('1. Yixian'!AI8="","",IF('1. Yixian'!AI8='2. Nayoung'!AI8,1,0))</f>
        <v>1</v>
      </c>
      <c r="AH8" s="20">
        <f>IF('1. Yixian'!AJ8="","",IF('1. Yixian'!AJ8='2. Nayoung'!AJ8,1,0))</f>
        <v>1</v>
      </c>
      <c r="AI8" s="20">
        <f>IF('1. Yixian'!AK8="","",IF('1. Yixian'!AK8='2. Nayoung'!AK8,1,0))</f>
        <v>1</v>
      </c>
      <c r="AJ8" s="20">
        <f>IF('1. Yixian'!AL8="","",IF('1. Yixian'!AL8='2. Nayoung'!AL8,1,0))</f>
        <v>1</v>
      </c>
      <c r="AK8" s="20">
        <f>IF('1. Yixian'!AM8="","",IF('1. Yixian'!AM8='2. Nayoung'!AM8,1,0))</f>
        <v>1</v>
      </c>
      <c r="AL8" s="20">
        <f>IF('1. Yixian'!AT8='2. Nayoung'!AT8, 1, 0)</f>
        <v>1</v>
      </c>
      <c r="AM8" s="20">
        <f>IF('1. Yixian'!AU8='2. Nayoung'!AU8, 1, 0)</f>
        <v>1</v>
      </c>
      <c r="AN8" s="2"/>
    </row>
    <row r="9" spans="1:40" s="20" customFormat="1" ht="17" hidden="1" customHeight="1">
      <c r="A9" s="20" t="str">
        <f>IF('1. Yixian'!A9="","",IF('1. Yixian'!A9='2. Nayoung'!A9,1,0))</f>
        <v/>
      </c>
      <c r="B9" s="20" t="str">
        <f>IF('1. Yixian'!B9="","",IF(RIGHT('1. Yixian'!B9,2)=RIGHT('2. Nayoung'!B9,2),1,0))</f>
        <v/>
      </c>
      <c r="C9" s="20" t="str">
        <f>IF('1. Yixian'!C9="","",IF('1. Yixian'!C9='2. Nayoung'!C9,1,0))</f>
        <v/>
      </c>
      <c r="E9" s="20" t="str">
        <f>IF('1. Yixian'!E9="","",IF('1. Yixian'!E9='2. Nayoung'!E9,1,0))</f>
        <v/>
      </c>
      <c r="F9" s="20" t="str">
        <f>IF('1. Yixian'!F9="","",IF('1. Yixian'!F9='2. Nayoung'!F9,1,0))</f>
        <v/>
      </c>
      <c r="G9" s="20" t="str">
        <f>IF('1. Yixian'!G9="","",IF('1. Yixian'!G9='2. Nayoung'!G9,1,0))</f>
        <v/>
      </c>
      <c r="H9" s="20">
        <f>IF('1. Yixian'!J9="","",IF(RIGHT('1. Yixian'!J9,3)=RIGHT('2. Nayoung'!J9,3),1,0))</f>
        <v>0</v>
      </c>
      <c r="I9" s="20">
        <f>IF(H9="","",IF(OR('2. Nayoung'!K9="", '1. Yixian'!K9 = ""),0,1))</f>
        <v>1</v>
      </c>
      <c r="J9" s="20">
        <f>IF('1. Yixian'!L9="","",IF('1. Yixian'!L9='2. Nayoung'!L9,1,0))</f>
        <v>1</v>
      </c>
      <c r="K9" s="20">
        <f>IF('1. Yixian'!M9="","",IF('1. Yixian'!M9='2. Nayoung'!M9,1,0))</f>
        <v>1</v>
      </c>
      <c r="L9" s="20">
        <f>IF('1. Yixian'!N9="","",IF('1. Yixian'!N9='2. Nayoung'!N9,1,0))</f>
        <v>1</v>
      </c>
      <c r="M9" s="20">
        <f>IF('1. Yixian'!O9="","",IF('1. Yixian'!O9='2. Nayoung'!O9,1,0))</f>
        <v>1</v>
      </c>
      <c r="N9" s="20">
        <f>IF('1. Yixian'!P9="","",IF('1. Yixian'!P9='2. Nayoung'!P9,1,0))</f>
        <v>1</v>
      </c>
      <c r="O9" s="20">
        <f>IF('1. Yixian'!Q9="","",IF('1. Yixian'!Q9='2. Nayoung'!Q9,1,0))</f>
        <v>1</v>
      </c>
      <c r="P9" s="20">
        <f>IF('1. Yixian'!R9="","",IF('1. Yixian'!R9='2. Nayoung'!R9,1,0))</f>
        <v>1</v>
      </c>
      <c r="Q9" s="20">
        <f>IF('1. Yixian'!S9="","",IF('1. Yixian'!S9='2. Nayoung'!S9,1,0))</f>
        <v>1</v>
      </c>
      <c r="R9" s="20">
        <f>IF('1. Yixian'!T9="","",IF('1. Yixian'!T9='2. Nayoung'!T9,1,0))</f>
        <v>1</v>
      </c>
      <c r="S9" s="20">
        <f>IF(R9="","",IF(OR('2. Nayoung'!U9="", '1. Yixian'!U9 = ""),0,1))</f>
        <v>1</v>
      </c>
      <c r="T9" s="20">
        <f>IF('1. Yixian'!V9="","",IF('1. Yixian'!V9='2. Nayoung'!V9,1,0))</f>
        <v>1</v>
      </c>
      <c r="U9" s="20">
        <f>IF('1. Yixian'!W9="","",IF('1. Yixian'!W9='2. Nayoung'!W9,1,0))</f>
        <v>1</v>
      </c>
      <c r="V9" s="20">
        <f>IF('1. Yixian'!X9="","",IF('1. Yixian'!X9='2. Nayoung'!X9,1,0))</f>
        <v>1</v>
      </c>
      <c r="W9" s="20">
        <f>IF('1. Yixian'!Y9="","",IF('1. Yixian'!Y9='2. Nayoung'!Y9,1,0))</f>
        <v>1</v>
      </c>
      <c r="X9" s="20">
        <f>IF('1. Yixian'!Z9="","",IF('1. Yixian'!Z9='2. Nayoung'!Z9,1,0))</f>
        <v>1</v>
      </c>
      <c r="Z9" s="20">
        <f>IF('1. Yixian'!AB9="","",IF('1. Yixian'!AB9='2. Nayoung'!AB9,1,0))</f>
        <v>1</v>
      </c>
      <c r="AA9" s="20">
        <f>IF('1. Yixian'!AC9="","",IF('1. Yixian'!AC9='2. Nayoung'!AC9,1,0))</f>
        <v>1</v>
      </c>
      <c r="AB9" s="20">
        <f>IF(OR('2. Nayoung'!AD9="", '1. Yixian'!AD9 = ""),0,1)</f>
        <v>1</v>
      </c>
      <c r="AC9" s="20">
        <f>IF('1. Yixian'!AE9="","",IF('1. Yixian'!AE9='2. Nayoung'!AE9,1,0))</f>
        <v>1</v>
      </c>
      <c r="AD9" s="20">
        <f>IF('1. Yixian'!AF9="","",IF('1. Yixian'!AF9='2. Nayoung'!AF9,1,0))</f>
        <v>0</v>
      </c>
      <c r="AF9" s="20">
        <f>IF('1. Yixian'!AH9="","",IF('1. Yixian'!AH9='2. Nayoung'!AH9,1,0))</f>
        <v>1</v>
      </c>
      <c r="AG9" s="20">
        <f>IF('1. Yixian'!AI9="","",IF('1. Yixian'!AI9='2. Nayoung'!AI9,1,0))</f>
        <v>1</v>
      </c>
      <c r="AH9" s="20">
        <f>IF('1. Yixian'!AJ9="","",IF('1. Yixian'!AJ9='2. Nayoung'!AJ9,1,0))</f>
        <v>1</v>
      </c>
      <c r="AI9" s="20">
        <f>IF('1. Yixian'!AK9="","",IF('1. Yixian'!AK9='2. Nayoung'!AK9,1,0))</f>
        <v>1</v>
      </c>
      <c r="AJ9" s="20">
        <f>IF('1. Yixian'!AL9="","",IF('1. Yixian'!AL9='2. Nayoung'!AL9,1,0))</f>
        <v>1</v>
      </c>
      <c r="AK9" s="20">
        <f>IF('1. Yixian'!AM9="","",IF('1. Yixian'!AM9='2. Nayoung'!AM9,1,0))</f>
        <v>1</v>
      </c>
      <c r="AL9" s="20">
        <f>IF('1. Yixian'!AT9='2. Nayoung'!AT9, 1, 0)</f>
        <v>1</v>
      </c>
      <c r="AM9" s="20">
        <f>IF('1. Yixian'!AU9='2. Nayoung'!AU9, 1, 0)</f>
        <v>1</v>
      </c>
      <c r="AN9" s="2"/>
    </row>
    <row r="10" spans="1:40" s="21" customFormat="1" ht="17" hidden="1" customHeight="1">
      <c r="A10" s="20" t="str">
        <f>IF('1. Yixian'!A10="","",IF('1. Yixian'!A10='2. Nayoung'!A10,1,0))</f>
        <v/>
      </c>
      <c r="B10" s="20" t="str">
        <f>IF('1. Yixian'!B10="","",IF(RIGHT('1. Yixian'!B10,2)=RIGHT('2. Nayoung'!B10,2),1,0))</f>
        <v/>
      </c>
      <c r="C10" s="20" t="str">
        <f>IF('1. Yixian'!C10="","",IF('1. Yixian'!C10='2. Nayoung'!C10,1,0))</f>
        <v/>
      </c>
      <c r="D10" s="20"/>
      <c r="E10" s="20" t="str">
        <f>IF('1. Yixian'!E10="","",IF('1. Yixian'!E10='2. Nayoung'!E10,1,0))</f>
        <v/>
      </c>
      <c r="F10" s="20" t="str">
        <f>IF('1. Yixian'!F10="","",IF('1. Yixian'!F10='2. Nayoung'!F10,1,0))</f>
        <v/>
      </c>
      <c r="G10" s="20" t="str">
        <f>IF('1. Yixian'!G10="","",IF('1. Yixian'!G10='2. Nayoung'!G10,1,0))</f>
        <v/>
      </c>
      <c r="H10" s="20" t="str">
        <f>IF('1. Yixian'!J10="","",IF(RIGHT('1. Yixian'!J10,3)=RIGHT('2. Nayoung'!J10,3),1,0))</f>
        <v/>
      </c>
      <c r="I10" s="20" t="str">
        <f>IF(H10="","",IF(OR('2. Nayoung'!K10="", '1. Yixian'!K10 = ""),0,1))</f>
        <v/>
      </c>
      <c r="J10" s="20" t="str">
        <f>IF('1. Yixian'!L10="","",IF('1. Yixian'!L10='2. Nayoung'!L10,1,0))</f>
        <v/>
      </c>
      <c r="K10" s="20" t="str">
        <f>IF('1. Yixian'!M10="","",IF('1. Yixian'!M10='2. Nayoung'!M10,1,0))</f>
        <v/>
      </c>
      <c r="L10" s="20" t="str">
        <f>IF('1. Yixian'!N10="","",IF('1. Yixian'!N10='2. Nayoung'!N10,1,0))</f>
        <v/>
      </c>
      <c r="M10" s="20" t="str">
        <f>IF('1. Yixian'!O10="","",IF('1. Yixian'!O10='2. Nayoung'!O10,1,0))</f>
        <v/>
      </c>
      <c r="N10" s="20" t="str">
        <f>IF('1. Yixian'!P10="","",IF('1. Yixian'!P10='2. Nayoung'!P10,1,0))</f>
        <v/>
      </c>
      <c r="O10" s="20" t="str">
        <f>IF('1. Yixian'!Q10="","",IF('1. Yixian'!Q10='2. Nayoung'!Q10,1,0))</f>
        <v/>
      </c>
      <c r="P10" s="20" t="str">
        <f>IF('1. Yixian'!R10="","",IF('1. Yixian'!R10='2. Nayoung'!R10,1,0))</f>
        <v/>
      </c>
      <c r="Q10" s="20" t="str">
        <f>IF('1. Yixian'!S10="","",IF('1. Yixian'!S10='2. Nayoung'!S10,1,0))</f>
        <v/>
      </c>
      <c r="R10" s="20" t="str">
        <f>IF('1. Yixian'!T10="","",IF('1. Yixian'!T10='2. Nayoung'!T10,1,0))</f>
        <v/>
      </c>
      <c r="S10" s="20" t="str">
        <f>IF(R10="","",IF(OR('2. Nayoung'!U10="", '1. Yixian'!U10 = ""),0,1))</f>
        <v/>
      </c>
      <c r="T10" s="20" t="str">
        <f>IF('1. Yixian'!V10="","",IF('1. Yixian'!V10='2. Nayoung'!V10,1,0))</f>
        <v/>
      </c>
      <c r="U10" s="20" t="str">
        <f>IF('1. Yixian'!W10="","",IF('1. Yixian'!W10='2. Nayoung'!W10,1,0))</f>
        <v/>
      </c>
      <c r="V10" s="20" t="str">
        <f>IF('1. Yixian'!X10="","",IF('1. Yixian'!X10='2. Nayoung'!X10,1,0))</f>
        <v/>
      </c>
      <c r="W10" s="20" t="str">
        <f>IF('1. Yixian'!Y10="","",IF('1. Yixian'!Y10='2. Nayoung'!Y10,1,0))</f>
        <v/>
      </c>
      <c r="X10" s="20" t="str">
        <f>IF('1. Yixian'!Z10="","",IF('1. Yixian'!Z10='2. Nayoung'!Z10,1,0))</f>
        <v/>
      </c>
      <c r="Y10" s="20"/>
      <c r="Z10" s="20" t="str">
        <f>IF('1. Yixian'!AB10="","",IF('1. Yixian'!AB10='2. Nayoung'!AB10,1,0))</f>
        <v/>
      </c>
      <c r="AA10" s="20" t="str">
        <f>IF('1. Yixian'!AC10="","",IF('1. Yixian'!AC10='2. Nayoung'!AC10,1,0))</f>
        <v/>
      </c>
      <c r="AB10" s="20">
        <f>IF(OR('2. Nayoung'!AD10="", '1. Yixian'!AD10 = ""),0,1)</f>
        <v>1</v>
      </c>
      <c r="AC10" s="20">
        <f>IF('1. Yixian'!AE10="","",IF('1. Yixian'!AE10='2. Nayoung'!AE10,1,0))</f>
        <v>1</v>
      </c>
      <c r="AD10" s="20">
        <f>IF('1. Yixian'!AF10="","",IF('1. Yixian'!AF10='2. Nayoung'!AF10,1,0))</f>
        <v>0</v>
      </c>
      <c r="AE10" s="20"/>
      <c r="AF10" s="20">
        <f>IF('1. Yixian'!AH10="","",IF('1. Yixian'!AH10='2. Nayoung'!AH10,1,0))</f>
        <v>1</v>
      </c>
      <c r="AG10" s="20">
        <f>IF('1. Yixian'!AI10="","",IF('1. Yixian'!AI10='2. Nayoung'!AI10,1,0))</f>
        <v>1</v>
      </c>
      <c r="AH10" s="20">
        <f>IF('1. Yixian'!AJ10="","",IF('1. Yixian'!AJ10='2. Nayoung'!AJ10,1,0))</f>
        <v>1</v>
      </c>
      <c r="AI10" s="20">
        <f>IF('1. Yixian'!AK10="","",IF('1. Yixian'!AK10='2. Nayoung'!AK10,1,0))</f>
        <v>1</v>
      </c>
      <c r="AJ10" s="20">
        <f>IF('1. Yixian'!AL10="","",IF('1. Yixian'!AL10='2. Nayoung'!AL10,1,0))</f>
        <v>1</v>
      </c>
      <c r="AK10" s="20">
        <f>IF('1. Yixian'!AM10="","",IF('1. Yixian'!AM10='2. Nayoung'!AM10,1,0))</f>
        <v>1</v>
      </c>
      <c r="AL10" s="20">
        <f>IF('1. Yixian'!AT10='2. Nayoung'!AT10, 1, 0)</f>
        <v>1</v>
      </c>
      <c r="AM10" s="20">
        <f>IF('1. Yixian'!AU10='2. Nayoung'!AU10, 1, 0)</f>
        <v>1</v>
      </c>
      <c r="AN10" s="28"/>
    </row>
    <row r="11" spans="1:40" s="20" customFormat="1" ht="17" hidden="1" customHeight="1">
      <c r="A11" s="20">
        <f>IF('1. Yixian'!A11="","",IF('1. Yixian'!A11='2. Nayoung'!A11,1,0))</f>
        <v>1</v>
      </c>
      <c r="B11" s="20">
        <f>IF('1. Yixian'!B11="","",IF(RIGHT('1. Yixian'!B11,2)=RIGHT('2. Nayoung'!B11,2),1,0))</f>
        <v>1</v>
      </c>
      <c r="C11" s="20">
        <f>IF('1. Yixian'!C11="","",IF('1. Yixian'!C11='2. Nayoung'!C11,1,0))</f>
        <v>1</v>
      </c>
      <c r="E11" s="20">
        <f>IF('1. Yixian'!E11="","",IF('1. Yixian'!E11='2. Nayoung'!E11,1,0))</f>
        <v>1</v>
      </c>
      <c r="F11" s="20">
        <f>IF('1. Yixian'!F11="","",IF('1. Yixian'!F11='2. Nayoung'!F11,1,0))</f>
        <v>1</v>
      </c>
      <c r="G11" s="20">
        <f>IF('1. Yixian'!G11="","",IF('1. Yixian'!G11='2. Nayoung'!G11,1,0))</f>
        <v>1</v>
      </c>
      <c r="H11" s="20">
        <f>IF('1. Yixian'!J11="","",IF(RIGHT('1. Yixian'!J11,3)=RIGHT('2. Nayoung'!J11,3),1,0))</f>
        <v>0</v>
      </c>
      <c r="I11" s="20">
        <f>IF(H11="","",IF(OR('2. Nayoung'!K11="", '1. Yixian'!K11 = ""),0,1))</f>
        <v>1</v>
      </c>
      <c r="J11" s="20">
        <f>IF('1. Yixian'!L11="","",IF('1. Yixian'!L11='2. Nayoung'!L11,1,0))</f>
        <v>1</v>
      </c>
      <c r="K11" s="20">
        <f>IF('1. Yixian'!M11="","",IF('1. Yixian'!M11='2. Nayoung'!M11,1,0))</f>
        <v>1</v>
      </c>
      <c r="L11" s="20">
        <f>IF('1. Yixian'!N11="","",IF('1. Yixian'!N11='2. Nayoung'!N11,1,0))</f>
        <v>1</v>
      </c>
      <c r="M11" s="20">
        <f>IF('1. Yixian'!O11="","",IF('1. Yixian'!O11='2. Nayoung'!O11,1,0))</f>
        <v>1</v>
      </c>
      <c r="N11" s="20">
        <f>IF('1. Yixian'!P11="","",IF('1. Yixian'!P11='2. Nayoung'!P11,1,0))</f>
        <v>1</v>
      </c>
      <c r="O11" s="20">
        <f>IF('1. Yixian'!Q11="","",IF('1. Yixian'!Q11='2. Nayoung'!Q11,1,0))</f>
        <v>1</v>
      </c>
      <c r="P11" s="20">
        <f>IF('1. Yixian'!R11="","",IF('1. Yixian'!R11='2. Nayoung'!R11,1,0))</f>
        <v>1</v>
      </c>
      <c r="Q11" s="20">
        <f>IF('1. Yixian'!S11="","",IF('1. Yixian'!S11='2. Nayoung'!S11,1,0))</f>
        <v>1</v>
      </c>
      <c r="R11" s="20">
        <f>IF('1. Yixian'!T11="","",IF('1. Yixian'!T11='2. Nayoung'!T11,1,0))</f>
        <v>1</v>
      </c>
      <c r="S11" s="20">
        <f>IF(R11="","",IF(OR('2. Nayoung'!U11="", '1. Yixian'!U11 = ""),0,1))</f>
        <v>1</v>
      </c>
      <c r="T11" s="20">
        <f>IF('1. Yixian'!V11="","",IF('1. Yixian'!V11='2. Nayoung'!V11,1,0))</f>
        <v>1</v>
      </c>
      <c r="U11" s="20">
        <f>IF('1. Yixian'!W11="","",IF('1. Yixian'!W11='2. Nayoung'!W11,1,0))</f>
        <v>1</v>
      </c>
      <c r="V11" s="20">
        <f>IF('1. Yixian'!X11="","",IF('1. Yixian'!X11='2. Nayoung'!X11,1,0))</f>
        <v>1</v>
      </c>
      <c r="W11" s="20">
        <f>IF('1. Yixian'!Y11="","",IF('1. Yixian'!Y11='2. Nayoung'!Y11,1,0))</f>
        <v>1</v>
      </c>
      <c r="X11" s="20">
        <f>IF('1. Yixian'!Z11="","",IF('1. Yixian'!Z11='2. Nayoung'!Z11,1,0))</f>
        <v>1</v>
      </c>
      <c r="Z11" s="20">
        <f>IF('1. Yixian'!AB11="","",IF('1. Yixian'!AB11='2. Nayoung'!AB11,1,0))</f>
        <v>1</v>
      </c>
      <c r="AA11" s="20">
        <f>IF('1. Yixian'!AC11="","",IF('1. Yixian'!AC11='2. Nayoung'!AC11,1,0))</f>
        <v>1</v>
      </c>
      <c r="AB11" s="20">
        <f>IF(OR('2. Nayoung'!AD11="", '1. Yixian'!AD11 = ""),0,1)</f>
        <v>1</v>
      </c>
      <c r="AC11" s="20">
        <f>IF('1. Yixian'!AE11="","",IF('1. Yixian'!AE11='2. Nayoung'!AE11,1,0))</f>
        <v>1</v>
      </c>
      <c r="AD11" s="20">
        <f>IF('1. Yixian'!AF11="","",IF('1. Yixian'!AF11='2. Nayoung'!AF11,1,0))</f>
        <v>0</v>
      </c>
      <c r="AF11" s="20">
        <f>IF('1. Yixian'!AH11="","",IF('1. Yixian'!AH11='2. Nayoung'!AH11,1,0))</f>
        <v>1</v>
      </c>
      <c r="AG11" s="20">
        <f>IF('1. Yixian'!AI11="","",IF('1. Yixian'!AI11='2. Nayoung'!AI11,1,0))</f>
        <v>1</v>
      </c>
      <c r="AH11" s="20">
        <f>IF('1. Yixian'!AJ11="","",IF('1. Yixian'!AJ11='2. Nayoung'!AJ11,1,0))</f>
        <v>1</v>
      </c>
      <c r="AI11" s="20">
        <f>IF('1. Yixian'!AK11="","",IF('1. Yixian'!AK11='2. Nayoung'!AK11,1,0))</f>
        <v>1</v>
      </c>
      <c r="AJ11" s="20">
        <f>IF('1. Yixian'!AL11="","",IF('1. Yixian'!AL11='2. Nayoung'!AL11,1,0))</f>
        <v>1</v>
      </c>
      <c r="AK11" s="20">
        <f>IF('1. Yixian'!AM11="","",IF('1. Yixian'!AM11='2. Nayoung'!AM11,1,0))</f>
        <v>1</v>
      </c>
      <c r="AL11" s="20">
        <f>IF('1. Yixian'!AT11='2. Nayoung'!AT11, 1, 0)</f>
        <v>1</v>
      </c>
      <c r="AM11" s="20">
        <f>IF('1. Yixian'!AU11='2. Nayoung'!AU11, 1, 0)</f>
        <v>1</v>
      </c>
      <c r="AN11" s="2"/>
    </row>
    <row r="12" spans="1:40" s="20" customFormat="1" ht="17" hidden="1" customHeight="1">
      <c r="A12" s="20" t="str">
        <f>IF('1. Yixian'!A12="","",IF('1. Yixian'!A12='2. Nayoung'!A12,1,0))</f>
        <v/>
      </c>
      <c r="B12" s="20" t="str">
        <f>IF('1. Yixian'!B12="","",IF(RIGHT('1. Yixian'!B12,2)=RIGHT('2. Nayoung'!B12,2),1,0))</f>
        <v/>
      </c>
      <c r="C12" s="20" t="str">
        <f>IF('1. Yixian'!C12="","",IF('1. Yixian'!C12='2. Nayoung'!C12,1,0))</f>
        <v/>
      </c>
      <c r="E12" s="20" t="str">
        <f>IF('1. Yixian'!E12="","",IF('1. Yixian'!E12='2. Nayoung'!E12,1,0))</f>
        <v/>
      </c>
      <c r="F12" s="20" t="str">
        <f>IF('1. Yixian'!F12="","",IF('1. Yixian'!F12='2. Nayoung'!F12,1,0))</f>
        <v/>
      </c>
      <c r="G12" s="20" t="str">
        <f>IF('1. Yixian'!G12="","",IF('1. Yixian'!G12='2. Nayoung'!G12,1,0))</f>
        <v/>
      </c>
      <c r="H12" s="20">
        <f>IF('1. Yixian'!J12="","",IF(RIGHT('1. Yixian'!J12,3)=RIGHT('2. Nayoung'!J12,3),1,0))</f>
        <v>0</v>
      </c>
      <c r="I12" s="20">
        <f>IF(H12="","",IF(OR('2. Nayoung'!K12="", '1. Yixian'!K12 = ""),0,1))</f>
        <v>1</v>
      </c>
      <c r="J12" s="20">
        <f>IF('1. Yixian'!L12="","",IF('1. Yixian'!L12='2. Nayoung'!L12,1,0))</f>
        <v>1</v>
      </c>
      <c r="K12" s="20">
        <f>IF('1. Yixian'!M12="","",IF('1. Yixian'!M12='2. Nayoung'!M12,1,0))</f>
        <v>1</v>
      </c>
      <c r="L12" s="20">
        <f>IF('1. Yixian'!N12="","",IF('1. Yixian'!N12='2. Nayoung'!N12,1,0))</f>
        <v>1</v>
      </c>
      <c r="M12" s="20">
        <f>IF('1. Yixian'!O12="","",IF('1. Yixian'!O12='2. Nayoung'!O12,1,0))</f>
        <v>1</v>
      </c>
      <c r="N12" s="20">
        <f>IF('1. Yixian'!P12="","",IF('1. Yixian'!P12='2. Nayoung'!P12,1,0))</f>
        <v>1</v>
      </c>
      <c r="O12" s="20">
        <f>IF('1. Yixian'!Q12="","",IF('1. Yixian'!Q12='2. Nayoung'!Q12,1,0))</f>
        <v>1</v>
      </c>
      <c r="P12" s="20">
        <f>IF('1. Yixian'!R12="","",IF('1. Yixian'!R12='2. Nayoung'!R12,1,0))</f>
        <v>1</v>
      </c>
      <c r="Q12" s="20">
        <f>IF('1. Yixian'!S12="","",IF('1. Yixian'!S12='2. Nayoung'!S12,1,0))</f>
        <v>1</v>
      </c>
      <c r="R12" s="20">
        <f>IF('1. Yixian'!T12="","",IF('1. Yixian'!T12='2. Nayoung'!T12,1,0))</f>
        <v>1</v>
      </c>
      <c r="S12" s="20">
        <f>IF(R12="","",IF(OR('2. Nayoung'!U12="", '1. Yixian'!U12 = ""),0,1))</f>
        <v>1</v>
      </c>
      <c r="T12" s="20">
        <f>IF('1. Yixian'!V12="","",IF('1. Yixian'!V12='2. Nayoung'!V12,1,0))</f>
        <v>1</v>
      </c>
      <c r="U12" s="20">
        <f>IF('1. Yixian'!W12="","",IF('1. Yixian'!W12='2. Nayoung'!W12,1,0))</f>
        <v>1</v>
      </c>
      <c r="V12" s="20">
        <f>IF('1. Yixian'!X12="","",IF('1. Yixian'!X12='2. Nayoung'!X12,1,0))</f>
        <v>1</v>
      </c>
      <c r="W12" s="20">
        <f>IF('1. Yixian'!Y12="","",IF('1. Yixian'!Y12='2. Nayoung'!Y12,1,0))</f>
        <v>1</v>
      </c>
      <c r="X12" s="20">
        <f>IF('1. Yixian'!Z12="","",IF('1. Yixian'!Z12='2. Nayoung'!Z12,1,0))</f>
        <v>1</v>
      </c>
      <c r="Z12" s="20">
        <f>IF('1. Yixian'!AB12="","",IF('1. Yixian'!AB12='2. Nayoung'!AB12,1,0))</f>
        <v>1</v>
      </c>
      <c r="AA12" s="20">
        <f>IF('1. Yixian'!AC12="","",IF('1. Yixian'!AC12='2. Nayoung'!AC12,1,0))</f>
        <v>1</v>
      </c>
      <c r="AB12" s="20">
        <f>IF(OR('2. Nayoung'!AD12="", '1. Yixian'!AD12 = ""),0,1)</f>
        <v>1</v>
      </c>
      <c r="AC12" s="20">
        <f>IF('1. Yixian'!AE12="","",IF('1. Yixian'!AE12='2. Nayoung'!AE12,1,0))</f>
        <v>1</v>
      </c>
      <c r="AD12" s="20">
        <f>IF('1. Yixian'!AF12="","",IF('1. Yixian'!AF12='2. Nayoung'!AF12,1,0))</f>
        <v>0</v>
      </c>
      <c r="AF12" s="20">
        <f>IF('1. Yixian'!AH12="","",IF('1. Yixian'!AH12='2. Nayoung'!AH12,1,0))</f>
        <v>1</v>
      </c>
      <c r="AG12" s="20">
        <f>IF('1. Yixian'!AI12="","",IF('1. Yixian'!AI12='2. Nayoung'!AI12,1,0))</f>
        <v>1</v>
      </c>
      <c r="AH12" s="20">
        <f>IF('1. Yixian'!AJ12="","",IF('1. Yixian'!AJ12='2. Nayoung'!AJ12,1,0))</f>
        <v>1</v>
      </c>
      <c r="AI12" s="20">
        <f>IF('1. Yixian'!AK12="","",IF('1. Yixian'!AK12='2. Nayoung'!AK12,1,0))</f>
        <v>1</v>
      </c>
      <c r="AJ12" s="20">
        <f>IF('1. Yixian'!AL12="","",IF('1. Yixian'!AL12='2. Nayoung'!AL12,1,0))</f>
        <v>1</v>
      </c>
      <c r="AK12" s="20">
        <f>IF('1. Yixian'!AM12="","",IF('1. Yixian'!AM12='2. Nayoung'!AM12,1,0))</f>
        <v>1</v>
      </c>
      <c r="AL12" s="20">
        <f>IF('1. Yixian'!AT12='2. Nayoung'!AT12, 1, 0)</f>
        <v>1</v>
      </c>
      <c r="AM12" s="20">
        <f>IF('1. Yixian'!AU12='2. Nayoung'!AU12, 1, 0)</f>
        <v>1</v>
      </c>
      <c r="AN12" s="2"/>
    </row>
    <row r="13" spans="1:40" s="21" customFormat="1" ht="17" hidden="1" customHeight="1">
      <c r="A13" s="20" t="str">
        <f>IF('1. Yixian'!A13="","",IF('1. Yixian'!A13='2. Nayoung'!A13,1,0))</f>
        <v/>
      </c>
      <c r="B13" s="20" t="str">
        <f>IF('1. Yixian'!B13="","",IF(RIGHT('1. Yixian'!B13,2)=RIGHT('2. Nayoung'!B13,2),1,0))</f>
        <v/>
      </c>
      <c r="C13" s="20" t="str">
        <f>IF('1. Yixian'!C13="","",IF('1. Yixian'!C13='2. Nayoung'!C13,1,0))</f>
        <v/>
      </c>
      <c r="D13" s="20"/>
      <c r="E13" s="20" t="str">
        <f>IF('1. Yixian'!E13="","",IF('1. Yixian'!E13='2. Nayoung'!E13,1,0))</f>
        <v/>
      </c>
      <c r="F13" s="20" t="str">
        <f>IF('1. Yixian'!F13="","",IF('1. Yixian'!F13='2. Nayoung'!F13,1,0))</f>
        <v/>
      </c>
      <c r="G13" s="20" t="str">
        <f>IF('1. Yixian'!G13="","",IF('1. Yixian'!G13='2. Nayoung'!G13,1,0))</f>
        <v/>
      </c>
      <c r="H13" s="20">
        <f>IF('1. Yixian'!J13="","",IF(RIGHT('1. Yixian'!J13,3)=RIGHT('2. Nayoung'!J13,3),1,0))</f>
        <v>0</v>
      </c>
      <c r="I13" s="20">
        <f>IF(H13="","",IF(OR('2. Nayoung'!K13="", '1. Yixian'!K13 = ""),0,1))</f>
        <v>1</v>
      </c>
      <c r="J13" s="20">
        <f>IF('1. Yixian'!L13="","",IF('1. Yixian'!L13='2. Nayoung'!L13,1,0))</f>
        <v>1</v>
      </c>
      <c r="K13" s="20">
        <f>IF('1. Yixian'!M13="","",IF('1. Yixian'!M13='2. Nayoung'!M13,1,0))</f>
        <v>1</v>
      </c>
      <c r="L13" s="20">
        <f>IF('1. Yixian'!N13="","",IF('1. Yixian'!N13='2. Nayoung'!N13,1,0))</f>
        <v>1</v>
      </c>
      <c r="M13" s="20">
        <f>IF('1. Yixian'!O13="","",IF('1. Yixian'!O13='2. Nayoung'!O13,1,0))</f>
        <v>1</v>
      </c>
      <c r="N13" s="20">
        <f>IF('1. Yixian'!P13="","",IF('1. Yixian'!P13='2. Nayoung'!P13,1,0))</f>
        <v>1</v>
      </c>
      <c r="O13" s="20">
        <f>IF('1. Yixian'!Q13="","",IF('1. Yixian'!Q13='2. Nayoung'!Q13,1,0))</f>
        <v>1</v>
      </c>
      <c r="P13" s="20">
        <f>IF('1. Yixian'!R13="","",IF('1. Yixian'!R13='2. Nayoung'!R13,1,0))</f>
        <v>1</v>
      </c>
      <c r="Q13" s="20">
        <f>IF('1. Yixian'!S13="","",IF('1. Yixian'!S13='2. Nayoung'!S13,1,0))</f>
        <v>1</v>
      </c>
      <c r="R13" s="20">
        <f>IF('1. Yixian'!T13="","",IF('1. Yixian'!T13='2. Nayoung'!T13,1,0))</f>
        <v>1</v>
      </c>
      <c r="S13" s="20">
        <f>IF(R13="","",IF(OR('2. Nayoung'!U13="", '1. Yixian'!U13 = ""),0,1))</f>
        <v>1</v>
      </c>
      <c r="T13" s="20">
        <f>IF('1. Yixian'!V13="","",IF('1. Yixian'!V13='2. Nayoung'!V13,1,0))</f>
        <v>1</v>
      </c>
      <c r="U13" s="20">
        <f>IF('1. Yixian'!W13="","",IF('1. Yixian'!W13='2. Nayoung'!W13,1,0))</f>
        <v>1</v>
      </c>
      <c r="V13" s="20">
        <f>IF('1. Yixian'!X13="","",IF('1. Yixian'!X13='2. Nayoung'!X13,1,0))</f>
        <v>1</v>
      </c>
      <c r="W13" s="20">
        <f>IF('1. Yixian'!Y13="","",IF('1. Yixian'!Y13='2. Nayoung'!Y13,1,0))</f>
        <v>1</v>
      </c>
      <c r="X13" s="20">
        <f>IF('1. Yixian'!Z13="","",IF('1. Yixian'!Z13='2. Nayoung'!Z13,1,0))</f>
        <v>1</v>
      </c>
      <c r="Y13" s="20"/>
      <c r="Z13" s="20">
        <f>IF('1. Yixian'!AB13="","",IF('1. Yixian'!AB13='2. Nayoung'!AB13,1,0))</f>
        <v>1</v>
      </c>
      <c r="AA13" s="20">
        <f>IF('1. Yixian'!AC13="","",IF('1. Yixian'!AC13='2. Nayoung'!AC13,1,0))</f>
        <v>1</v>
      </c>
      <c r="AB13" s="20">
        <f>IF(OR('2. Nayoung'!AD13="", '1. Yixian'!AD13 = ""),0,1)</f>
        <v>1</v>
      </c>
      <c r="AC13" s="20">
        <f>IF('1. Yixian'!AE13="","",IF('1. Yixian'!AE13='2. Nayoung'!AE13,1,0))</f>
        <v>1</v>
      </c>
      <c r="AD13" s="20">
        <f>IF('1. Yixian'!AF13="","",IF('1. Yixian'!AF13='2. Nayoung'!AF13,1,0))</f>
        <v>0</v>
      </c>
      <c r="AE13" s="20"/>
      <c r="AF13" s="20">
        <f>IF('1. Yixian'!AH13="","",IF('1. Yixian'!AH13='2. Nayoung'!AH13,1,0))</f>
        <v>1</v>
      </c>
      <c r="AG13" s="20">
        <f>IF('1. Yixian'!AI13="","",IF('1. Yixian'!AI13='2. Nayoung'!AI13,1,0))</f>
        <v>1</v>
      </c>
      <c r="AH13" s="20">
        <f>IF('1. Yixian'!AJ13="","",IF('1. Yixian'!AJ13='2. Nayoung'!AJ13,1,0))</f>
        <v>1</v>
      </c>
      <c r="AI13" s="20">
        <f>IF('1. Yixian'!AK13="","",IF('1. Yixian'!AK13='2. Nayoung'!AK13,1,0))</f>
        <v>1</v>
      </c>
      <c r="AJ13" s="20">
        <f>IF('1. Yixian'!AL13="","",IF('1. Yixian'!AL13='2. Nayoung'!AL13,1,0))</f>
        <v>1</v>
      </c>
      <c r="AK13" s="20">
        <f>IF('1. Yixian'!AM13="","",IF('1. Yixian'!AM13='2. Nayoung'!AM13,1,0))</f>
        <v>1</v>
      </c>
      <c r="AL13" s="20">
        <f>IF('1. Yixian'!AT13='2. Nayoung'!AT13, 1, 0)</f>
        <v>1</v>
      </c>
      <c r="AM13" s="20">
        <f>IF('1. Yixian'!AU13='2. Nayoung'!AU13, 1, 0)</f>
        <v>1</v>
      </c>
      <c r="AN13" s="28"/>
    </row>
    <row r="14" spans="1:40" s="20" customFormat="1" ht="17" hidden="1" customHeight="1">
      <c r="A14" s="20">
        <f>IF('1. Yixian'!A14="","",IF('1. Yixian'!A14='2. Nayoung'!A14,1,0))</f>
        <v>1</v>
      </c>
      <c r="B14" s="20">
        <f>IF('1. Yixian'!B14="","",IF(RIGHT('1. Yixian'!B14,2)=RIGHT('2. Nayoung'!B14,2),1,0))</f>
        <v>1</v>
      </c>
      <c r="C14" s="20">
        <f>IF('1. Yixian'!C14="","",IF('1. Yixian'!C14='2. Nayoung'!C14,1,0))</f>
        <v>1</v>
      </c>
      <c r="E14" s="20">
        <f>IF('1. Yixian'!E14="","",IF('1. Yixian'!E14='2. Nayoung'!E14,1,0))</f>
        <v>1</v>
      </c>
      <c r="F14" s="20">
        <f>IF('1. Yixian'!F14="","",IF('1. Yixian'!F14='2. Nayoung'!F14,1,0))</f>
        <v>1</v>
      </c>
      <c r="G14" s="20">
        <f>IF('1. Yixian'!G14="","",IF('1. Yixian'!G14='2. Nayoung'!G14,1,0))</f>
        <v>1</v>
      </c>
      <c r="H14" s="20">
        <f>IF('1. Yixian'!J14="","",IF(RIGHT('1. Yixian'!J14,3)=RIGHT('2. Nayoung'!J14,3),1,0))</f>
        <v>0</v>
      </c>
      <c r="I14" s="20">
        <f>IF(H14="","",IF(OR('2. Nayoung'!K14="", '1. Yixian'!K14 = ""),0,1))</f>
        <v>1</v>
      </c>
      <c r="J14" s="20">
        <f>IF('1. Yixian'!L14="","",IF('1. Yixian'!L14='2. Nayoung'!L14,1,0))</f>
        <v>1</v>
      </c>
      <c r="K14" s="20">
        <f>IF('1. Yixian'!M14="","",IF('1. Yixian'!M14='2. Nayoung'!M14,1,0))</f>
        <v>1</v>
      </c>
      <c r="L14" s="20">
        <f>IF('1. Yixian'!N14="","",IF('1. Yixian'!N14='2. Nayoung'!N14,1,0))</f>
        <v>1</v>
      </c>
      <c r="M14" s="20">
        <f>IF('1. Yixian'!O14="","",IF('1. Yixian'!O14='2. Nayoung'!O14,1,0))</f>
        <v>1</v>
      </c>
      <c r="N14" s="20">
        <f>IF('1. Yixian'!P14="","",IF('1. Yixian'!P14='2. Nayoung'!P14,1,0))</f>
        <v>1</v>
      </c>
      <c r="O14" s="20">
        <f>IF('1. Yixian'!Q14="","",IF('1. Yixian'!Q14='2. Nayoung'!Q14,1,0))</f>
        <v>1</v>
      </c>
      <c r="P14" s="20">
        <f>IF('1. Yixian'!R14="","",IF('1. Yixian'!R14='2. Nayoung'!R14,1,0))</f>
        <v>1</v>
      </c>
      <c r="Q14" s="20">
        <f>IF('1. Yixian'!S14="","",IF('1. Yixian'!S14='2. Nayoung'!S14,1,0))</f>
        <v>1</v>
      </c>
      <c r="R14" s="20">
        <f>IF('1. Yixian'!T14="","",IF('1. Yixian'!T14='2. Nayoung'!T14,1,0))</f>
        <v>1</v>
      </c>
      <c r="S14" s="20">
        <f>IF(R14="","",IF(OR('2. Nayoung'!U14="", '1. Yixian'!U14 = ""),0,1))</f>
        <v>1</v>
      </c>
      <c r="T14" s="20">
        <f>IF('1. Yixian'!V14="","",IF('1. Yixian'!V14='2. Nayoung'!V14,1,0))</f>
        <v>1</v>
      </c>
      <c r="U14" s="20">
        <f>IF('1. Yixian'!W14="","",IF('1. Yixian'!W14='2. Nayoung'!W14,1,0))</f>
        <v>1</v>
      </c>
      <c r="V14" s="20">
        <f>IF('1. Yixian'!X14="","",IF('1. Yixian'!X14='2. Nayoung'!X14,1,0))</f>
        <v>1</v>
      </c>
      <c r="W14" s="20">
        <f>IF('1. Yixian'!Y14="","",IF('1. Yixian'!Y14='2. Nayoung'!Y14,1,0))</f>
        <v>1</v>
      </c>
      <c r="X14" s="20">
        <f>IF('1. Yixian'!Z14="","",IF('1. Yixian'!Z14='2. Nayoung'!Z14,1,0))</f>
        <v>1</v>
      </c>
      <c r="Z14" s="20">
        <f>IF('1. Yixian'!AB14="","",IF('1. Yixian'!AB14='2. Nayoung'!AB14,1,0))</f>
        <v>1</v>
      </c>
      <c r="AA14" s="20">
        <f>IF('1. Yixian'!AC14="","",IF('1. Yixian'!AC14='2. Nayoung'!AC14,1,0))</f>
        <v>1</v>
      </c>
      <c r="AB14" s="20">
        <f>IF(OR('2. Nayoung'!AD14="", '1. Yixian'!AD14 = ""),0,1)</f>
        <v>1</v>
      </c>
      <c r="AC14" s="20">
        <f>IF('1. Yixian'!AE14="","",IF('1. Yixian'!AE14='2. Nayoung'!AE14,1,0))</f>
        <v>1</v>
      </c>
      <c r="AD14" s="20">
        <f>IF('1. Yixian'!AF14="","",IF('1. Yixian'!AF14='2. Nayoung'!AF14,1,0))</f>
        <v>1</v>
      </c>
      <c r="AF14" s="20">
        <f>IF('1. Yixian'!AH14="","",IF('1. Yixian'!AH14='2. Nayoung'!AH14,1,0))</f>
        <v>1</v>
      </c>
      <c r="AG14" s="20">
        <f>IF('1. Yixian'!AI14="","",IF('1. Yixian'!AI14='2. Nayoung'!AI14,1,0))</f>
        <v>1</v>
      </c>
      <c r="AH14" s="20">
        <f>IF('1. Yixian'!AJ14="","",IF('1. Yixian'!AJ14='2. Nayoung'!AJ14,1,0))</f>
        <v>1</v>
      </c>
      <c r="AI14" s="20">
        <f>IF('1. Yixian'!AK14="","",IF('1. Yixian'!AK14='2. Nayoung'!AK14,1,0))</f>
        <v>1</v>
      </c>
      <c r="AJ14" s="20">
        <f>IF('1. Yixian'!AL14="","",IF('1. Yixian'!AL14='2. Nayoung'!AL14,1,0))</f>
        <v>1</v>
      </c>
      <c r="AK14" s="20">
        <f>IF('1. Yixian'!AM14="","",IF('1. Yixian'!AM14='2. Nayoung'!AM14,1,0))</f>
        <v>1</v>
      </c>
      <c r="AL14" s="20">
        <f>IF('1. Yixian'!AT14='2. Nayoung'!AT14, 1, 0)</f>
        <v>1</v>
      </c>
      <c r="AM14" s="20">
        <f>IF('1. Yixian'!AU14='2. Nayoung'!AU14, 1, 0)</f>
        <v>1</v>
      </c>
      <c r="AN14" s="2"/>
    </row>
    <row r="15" spans="1:40" s="20" customFormat="1" ht="17" hidden="1" customHeight="1">
      <c r="A15" s="20" t="str">
        <f>IF('1. Yixian'!A15="","",IF('1. Yixian'!A15='2. Nayoung'!A15,1,0))</f>
        <v/>
      </c>
      <c r="B15" s="20" t="str">
        <f>IF('1. Yixian'!B15="","",IF(RIGHT('1. Yixian'!B15,2)=RIGHT('2. Nayoung'!B15,2),1,0))</f>
        <v/>
      </c>
      <c r="C15" s="20" t="str">
        <f>IF('1. Yixian'!C15="","",IF('1. Yixian'!C15='2. Nayoung'!C15,1,0))</f>
        <v/>
      </c>
      <c r="E15" s="20" t="str">
        <f>IF('1. Yixian'!E15="","",IF('1. Yixian'!E15='2. Nayoung'!E15,1,0))</f>
        <v/>
      </c>
      <c r="F15" s="20" t="str">
        <f>IF('1. Yixian'!F15="","",IF('1. Yixian'!F15='2. Nayoung'!F15,1,0))</f>
        <v/>
      </c>
      <c r="G15" s="20" t="str">
        <f>IF('1. Yixian'!G15="","",IF('1. Yixian'!G15='2. Nayoung'!G15,1,0))</f>
        <v/>
      </c>
      <c r="H15" s="20" t="str">
        <f>IF('1. Yixian'!J15="","",IF(RIGHT('1. Yixian'!J15,3)=RIGHT('2. Nayoung'!J15,3),1,0))</f>
        <v/>
      </c>
      <c r="I15" s="20" t="str">
        <f>IF(H15="","",IF(OR('2. Nayoung'!K15="", '1. Yixian'!K15 = ""),0,1))</f>
        <v/>
      </c>
      <c r="J15" s="20" t="str">
        <f>IF('1. Yixian'!L15="","",IF('1. Yixian'!L15='2. Nayoung'!L15,1,0))</f>
        <v/>
      </c>
      <c r="K15" s="20" t="str">
        <f>IF('1. Yixian'!M15="","",IF('1. Yixian'!M15='2. Nayoung'!M15,1,0))</f>
        <v/>
      </c>
      <c r="L15" s="20" t="str">
        <f>IF('1. Yixian'!N15="","",IF('1. Yixian'!N15='2. Nayoung'!N15,1,0))</f>
        <v/>
      </c>
      <c r="M15" s="20" t="str">
        <f>IF('1. Yixian'!O15="","",IF('1. Yixian'!O15='2. Nayoung'!O15,1,0))</f>
        <v/>
      </c>
      <c r="N15" s="20" t="str">
        <f>IF('1. Yixian'!P15="","",IF('1. Yixian'!P15='2. Nayoung'!P15,1,0))</f>
        <v/>
      </c>
      <c r="O15" s="20" t="str">
        <f>IF('1. Yixian'!Q15="","",IF('1. Yixian'!Q15='2. Nayoung'!Q15,1,0))</f>
        <v/>
      </c>
      <c r="P15" s="20" t="str">
        <f>IF('1. Yixian'!R15="","",IF('1. Yixian'!R15='2. Nayoung'!R15,1,0))</f>
        <v/>
      </c>
      <c r="Q15" s="20" t="str">
        <f>IF('1. Yixian'!S15="","",IF('1. Yixian'!S15='2. Nayoung'!S15,1,0))</f>
        <v/>
      </c>
      <c r="R15" s="20" t="str">
        <f>IF('1. Yixian'!T15="","",IF('1. Yixian'!T15='2. Nayoung'!T15,1,0))</f>
        <v/>
      </c>
      <c r="S15" s="20" t="str">
        <f>IF(R15="","",IF(OR('2. Nayoung'!U15="", '1. Yixian'!U15 = ""),0,1))</f>
        <v/>
      </c>
      <c r="T15" s="20" t="str">
        <f>IF('1. Yixian'!V15="","",IF('1. Yixian'!V15='2. Nayoung'!V15,1,0))</f>
        <v/>
      </c>
      <c r="U15" s="20" t="str">
        <f>IF('1. Yixian'!W15="","",IF('1. Yixian'!W15='2. Nayoung'!W15,1,0))</f>
        <v/>
      </c>
      <c r="V15" s="20" t="str">
        <f>IF('1. Yixian'!X15="","",IF('1. Yixian'!X15='2. Nayoung'!X15,1,0))</f>
        <v/>
      </c>
      <c r="W15" s="20" t="str">
        <f>IF('1. Yixian'!Y15="","",IF('1. Yixian'!Y15='2. Nayoung'!Y15,1,0))</f>
        <v/>
      </c>
      <c r="X15" s="20" t="str">
        <f>IF('1. Yixian'!Z15="","",IF('1. Yixian'!Z15='2. Nayoung'!Z15,1,0))</f>
        <v/>
      </c>
      <c r="Z15" s="20" t="str">
        <f>IF('1. Yixian'!AB15="","",IF('1. Yixian'!AB15='2. Nayoung'!AB15,1,0))</f>
        <v/>
      </c>
      <c r="AA15" s="20" t="str">
        <f>IF('1. Yixian'!AC15="","",IF('1. Yixian'!AC15='2. Nayoung'!AC15,1,0))</f>
        <v/>
      </c>
      <c r="AB15" s="20">
        <f>IF(OR('2. Nayoung'!AD15="", '1. Yixian'!AD15 = ""),0,1)</f>
        <v>1</v>
      </c>
      <c r="AC15" s="20">
        <f>IF('1. Yixian'!AE15="","",IF('1. Yixian'!AE15='2. Nayoung'!AE15,1,0))</f>
        <v>1</v>
      </c>
      <c r="AD15" s="20">
        <f>IF('1. Yixian'!AF15="","",IF('1. Yixian'!AF15='2. Nayoung'!AF15,1,0))</f>
        <v>1</v>
      </c>
      <c r="AF15" s="20">
        <f>IF('1. Yixian'!AH15="","",IF('1. Yixian'!AH15='2. Nayoung'!AH15,1,0))</f>
        <v>1</v>
      </c>
      <c r="AG15" s="20">
        <f>IF('1. Yixian'!AI15="","",IF('1. Yixian'!AI15='2. Nayoung'!AI15,1,0))</f>
        <v>1</v>
      </c>
      <c r="AH15" s="20">
        <f>IF('1. Yixian'!AJ15="","",IF('1. Yixian'!AJ15='2. Nayoung'!AJ15,1,0))</f>
        <v>1</v>
      </c>
      <c r="AI15" s="20">
        <f>IF('1. Yixian'!AK15="","",IF('1. Yixian'!AK15='2. Nayoung'!AK15,1,0))</f>
        <v>1</v>
      </c>
      <c r="AJ15" s="20">
        <f>IF('1. Yixian'!AL15="","",IF('1. Yixian'!AL15='2. Nayoung'!AL15,1,0))</f>
        <v>1</v>
      </c>
      <c r="AK15" s="20">
        <f>IF('1. Yixian'!AM15="","",IF('1. Yixian'!AM15='2. Nayoung'!AM15,1,0))</f>
        <v>1</v>
      </c>
      <c r="AL15" s="20">
        <f>IF('1. Yixian'!AT15='2. Nayoung'!AT15, 1, 0)</f>
        <v>1</v>
      </c>
      <c r="AM15" s="20">
        <f>IF('1. Yixian'!AU15='2. Nayoung'!AU15, 1, 0)</f>
        <v>1</v>
      </c>
      <c r="AN15" s="2"/>
    </row>
    <row r="16" spans="1:40" s="20" customFormat="1" ht="17" hidden="1" customHeight="1">
      <c r="A16" s="20" t="str">
        <f>IF('1. Yixian'!A16="","",IF('1. Yixian'!A16='2. Nayoung'!A16,1,0))</f>
        <v/>
      </c>
      <c r="B16" s="20" t="str">
        <f>IF('1. Yixian'!B16="","",IF(RIGHT('1. Yixian'!B16,2)=RIGHT('2. Nayoung'!B16,2),1,0))</f>
        <v/>
      </c>
      <c r="C16" s="20" t="str">
        <f>IF('1. Yixian'!C16="","",IF('1. Yixian'!C16='2. Nayoung'!C16,1,0))</f>
        <v/>
      </c>
      <c r="E16" s="20" t="str">
        <f>IF('1. Yixian'!E16="","",IF('1. Yixian'!E16='2. Nayoung'!E16,1,0))</f>
        <v/>
      </c>
      <c r="F16" s="20" t="str">
        <f>IF('1. Yixian'!F16="","",IF('1. Yixian'!F16='2. Nayoung'!F16,1,0))</f>
        <v/>
      </c>
      <c r="G16" s="20" t="str">
        <f>IF('1. Yixian'!G16="","",IF('1. Yixian'!G16='2. Nayoung'!G16,1,0))</f>
        <v/>
      </c>
      <c r="H16" s="20">
        <f>IF('1. Yixian'!J16="","",IF(RIGHT('1. Yixian'!J16,3)=RIGHT('2. Nayoung'!J16,3),1,0))</f>
        <v>0</v>
      </c>
      <c r="I16" s="20">
        <f>IF(H16="","",IF(OR('2. Nayoung'!K16="", '1. Yixian'!K16 = ""),0,1))</f>
        <v>1</v>
      </c>
      <c r="J16" s="20">
        <f>IF('1. Yixian'!L16="","",IF('1. Yixian'!L16='2. Nayoung'!L16,1,0))</f>
        <v>1</v>
      </c>
      <c r="K16" s="20">
        <f>IF('1. Yixian'!M16="","",IF('1. Yixian'!M16='2. Nayoung'!M16,1,0))</f>
        <v>1</v>
      </c>
      <c r="L16" s="20">
        <f>IF('1. Yixian'!N16="","",IF('1. Yixian'!N16='2. Nayoung'!N16,1,0))</f>
        <v>1</v>
      </c>
      <c r="M16" s="20">
        <f>IF('1. Yixian'!O16="","",IF('1. Yixian'!O16='2. Nayoung'!O16,1,0))</f>
        <v>1</v>
      </c>
      <c r="N16" s="20">
        <f>IF('1. Yixian'!P16="","",IF('1. Yixian'!P16='2. Nayoung'!P16,1,0))</f>
        <v>1</v>
      </c>
      <c r="O16" s="20">
        <f>IF('1. Yixian'!Q16="","",IF('1. Yixian'!Q16='2. Nayoung'!Q16,1,0))</f>
        <v>1</v>
      </c>
      <c r="P16" s="20">
        <f>IF('1. Yixian'!R16="","",IF('1. Yixian'!R16='2. Nayoung'!R16,1,0))</f>
        <v>1</v>
      </c>
      <c r="Q16" s="20">
        <f>IF('1. Yixian'!S16="","",IF('1. Yixian'!S16='2. Nayoung'!S16,1,0))</f>
        <v>1</v>
      </c>
      <c r="R16" s="20">
        <f>IF('1. Yixian'!T16="","",IF('1. Yixian'!T16='2. Nayoung'!T16,1,0))</f>
        <v>1</v>
      </c>
      <c r="S16" s="20">
        <f>IF(R16="","",IF(OR('2. Nayoung'!U16="", '1. Yixian'!U16 = ""),0,1))</f>
        <v>1</v>
      </c>
      <c r="T16" s="20">
        <f>IF('1. Yixian'!V16="","",IF('1. Yixian'!V16='2. Nayoung'!V16,1,0))</f>
        <v>1</v>
      </c>
      <c r="U16" s="20">
        <f>IF('1. Yixian'!W16="","",IF('1. Yixian'!W16='2. Nayoung'!W16,1,0))</f>
        <v>1</v>
      </c>
      <c r="V16" s="20">
        <f>IF('1. Yixian'!X16="","",IF('1. Yixian'!X16='2. Nayoung'!X16,1,0))</f>
        <v>1</v>
      </c>
      <c r="W16" s="20">
        <f>IF('1. Yixian'!Y16="","",IF('1. Yixian'!Y16='2. Nayoung'!Y16,1,0))</f>
        <v>1</v>
      </c>
      <c r="X16" s="20">
        <f>IF('1. Yixian'!Z16="","",IF('1. Yixian'!Z16='2. Nayoung'!Z16,1,0))</f>
        <v>1</v>
      </c>
      <c r="Z16" s="20">
        <f>IF('1. Yixian'!AB16="","",IF('1. Yixian'!AB16='2. Nayoung'!AB16,1,0))</f>
        <v>1</v>
      </c>
      <c r="AA16" s="20">
        <f>IF('1. Yixian'!AC16="","",IF('1. Yixian'!AC16='2. Nayoung'!AC16,1,0))</f>
        <v>1</v>
      </c>
      <c r="AB16" s="20">
        <f>IF(OR('2. Nayoung'!AD16="", '1. Yixian'!AD16 = ""),0,1)</f>
        <v>1</v>
      </c>
      <c r="AC16" s="20">
        <f>IF('1. Yixian'!AE16="","",IF('1. Yixian'!AE16='2. Nayoung'!AE16,1,0))</f>
        <v>1</v>
      </c>
      <c r="AD16" s="20">
        <f>IF('1. Yixian'!AF16="","",IF('1. Yixian'!AF16='2. Nayoung'!AF16,1,0))</f>
        <v>0</v>
      </c>
      <c r="AF16" s="20">
        <f>IF('1. Yixian'!AH16="","",IF('1. Yixian'!AH16='2. Nayoung'!AH16,1,0))</f>
        <v>1</v>
      </c>
      <c r="AG16" s="20">
        <f>IF('1. Yixian'!AI16="","",IF('1. Yixian'!AI16='2. Nayoung'!AI16,1,0))</f>
        <v>1</v>
      </c>
      <c r="AH16" s="20">
        <f>IF('1. Yixian'!AJ16="","",IF('1. Yixian'!AJ16='2. Nayoung'!AJ16,1,0))</f>
        <v>1</v>
      </c>
      <c r="AI16" s="20">
        <f>IF('1. Yixian'!AK16="","",IF('1. Yixian'!AK16='2. Nayoung'!AK16,1,0))</f>
        <v>1</v>
      </c>
      <c r="AJ16" s="20">
        <f>IF('1. Yixian'!AL16="","",IF('1. Yixian'!AL16='2. Nayoung'!AL16,1,0))</f>
        <v>1</v>
      </c>
      <c r="AK16" s="20">
        <f>IF('1. Yixian'!AM16="","",IF('1. Yixian'!AM16='2. Nayoung'!AM16,1,0))</f>
        <v>1</v>
      </c>
      <c r="AL16" s="20">
        <f>IF('1. Yixian'!AT16='2. Nayoung'!AT16, 1, 0)</f>
        <v>1</v>
      </c>
      <c r="AM16" s="20">
        <f>IF('1. Yixian'!AU16='2. Nayoung'!AU16, 1, 0)</f>
        <v>1</v>
      </c>
      <c r="AN16" s="2"/>
    </row>
    <row r="17" spans="1:40" s="20" customFormat="1" ht="17" hidden="1" customHeight="1">
      <c r="A17" s="20" t="str">
        <f>IF('1. Yixian'!A17="","",IF('1. Yixian'!A17='2. Nayoung'!A17,1,0))</f>
        <v/>
      </c>
      <c r="B17" s="20" t="str">
        <f>IF('1. Yixian'!B17="","",IF(RIGHT('1. Yixian'!B17,2)=RIGHT('2. Nayoung'!B17,2),1,0))</f>
        <v/>
      </c>
      <c r="C17" s="20" t="str">
        <f>IF('1. Yixian'!C17="","",IF('1. Yixian'!C17='2. Nayoung'!C17,1,0))</f>
        <v/>
      </c>
      <c r="E17" s="20" t="str">
        <f>IF('1. Yixian'!E17="","",IF('1. Yixian'!E17='2. Nayoung'!E17,1,0))</f>
        <v/>
      </c>
      <c r="F17" s="20" t="str">
        <f>IF('1. Yixian'!F17="","",IF('1. Yixian'!F17='2. Nayoung'!F17,1,0))</f>
        <v/>
      </c>
      <c r="G17" s="20" t="str">
        <f>IF('1. Yixian'!G17="","",IF('1. Yixian'!G17='2. Nayoung'!G17,1,0))</f>
        <v/>
      </c>
      <c r="H17" s="20" t="str">
        <f>IF('1. Yixian'!J17="","",IF(RIGHT('1. Yixian'!J17,3)=RIGHT('2. Nayoung'!J17,3),1,0))</f>
        <v/>
      </c>
      <c r="I17" s="20" t="str">
        <f>IF(H17="","",IF(OR('2. Nayoung'!K17="", '1. Yixian'!K17 = ""),0,1))</f>
        <v/>
      </c>
      <c r="J17" s="20" t="str">
        <f>IF('1. Yixian'!L17="","",IF('1. Yixian'!L17='2. Nayoung'!L17,1,0))</f>
        <v/>
      </c>
      <c r="K17" s="20" t="str">
        <f>IF('1. Yixian'!M17="","",IF('1. Yixian'!M17='2. Nayoung'!M17,1,0))</f>
        <v/>
      </c>
      <c r="L17" s="20" t="str">
        <f>IF('1. Yixian'!N17="","",IF('1. Yixian'!N17='2. Nayoung'!N17,1,0))</f>
        <v/>
      </c>
      <c r="M17" s="20" t="str">
        <f>IF('1. Yixian'!O17="","",IF('1. Yixian'!O17='2. Nayoung'!O17,1,0))</f>
        <v/>
      </c>
      <c r="N17" s="20" t="str">
        <f>IF('1. Yixian'!P17="","",IF('1. Yixian'!P17='2. Nayoung'!P17,1,0))</f>
        <v/>
      </c>
      <c r="O17" s="20" t="str">
        <f>IF('1. Yixian'!Q17="","",IF('1. Yixian'!Q17='2. Nayoung'!Q17,1,0))</f>
        <v/>
      </c>
      <c r="P17" s="20" t="str">
        <f>IF('1. Yixian'!R17="","",IF('1. Yixian'!R17='2. Nayoung'!R17,1,0))</f>
        <v/>
      </c>
      <c r="Q17" s="20" t="str">
        <f>IF('1. Yixian'!S17="","",IF('1. Yixian'!S17='2. Nayoung'!S17,1,0))</f>
        <v/>
      </c>
      <c r="R17" s="20" t="str">
        <f>IF('1. Yixian'!T17="","",IF('1. Yixian'!T17='2. Nayoung'!T17,1,0))</f>
        <v/>
      </c>
      <c r="S17" s="20" t="str">
        <f>IF(R17="","",IF(OR('2. Nayoung'!U17="", '1. Yixian'!U17 = ""),0,1))</f>
        <v/>
      </c>
      <c r="T17" s="20" t="str">
        <f>IF('1. Yixian'!V17="","",IF('1. Yixian'!V17='2. Nayoung'!V17,1,0))</f>
        <v/>
      </c>
      <c r="U17" s="20" t="str">
        <f>IF('1. Yixian'!W17="","",IF('1. Yixian'!W17='2. Nayoung'!W17,1,0))</f>
        <v/>
      </c>
      <c r="V17" s="20" t="str">
        <f>IF('1. Yixian'!X17="","",IF('1. Yixian'!X17='2. Nayoung'!X17,1,0))</f>
        <v/>
      </c>
      <c r="W17" s="20" t="str">
        <f>IF('1. Yixian'!Y17="","",IF('1. Yixian'!Y17='2. Nayoung'!Y17,1,0))</f>
        <v/>
      </c>
      <c r="X17" s="20" t="str">
        <f>IF('1. Yixian'!Z17="","",IF('1. Yixian'!Z17='2. Nayoung'!Z17,1,0))</f>
        <v/>
      </c>
      <c r="Z17" s="20" t="str">
        <f>IF('1. Yixian'!AB17="","",IF('1. Yixian'!AB17='2. Nayoung'!AB17,1,0))</f>
        <v/>
      </c>
      <c r="AA17" s="20" t="str">
        <f>IF('1. Yixian'!AC17="","",IF('1. Yixian'!AC17='2. Nayoung'!AC17,1,0))</f>
        <v/>
      </c>
      <c r="AB17" s="20">
        <f>IF(OR('2. Nayoung'!AD17="", '1. Yixian'!AD17 = ""),0,1)</f>
        <v>1</v>
      </c>
      <c r="AC17" s="20">
        <f>IF('1. Yixian'!AE17="","",IF('1. Yixian'!AE17='2. Nayoung'!AE17,1,0))</f>
        <v>1</v>
      </c>
      <c r="AD17" s="20">
        <f>IF('1. Yixian'!AF17="","",IF('1. Yixian'!AF17='2. Nayoung'!AF17,1,0))</f>
        <v>0</v>
      </c>
      <c r="AF17" s="20">
        <f>IF('1. Yixian'!AH17="","",IF('1. Yixian'!AH17='2. Nayoung'!AH17,1,0))</f>
        <v>1</v>
      </c>
      <c r="AG17" s="20">
        <f>IF('1. Yixian'!AI17="","",IF('1. Yixian'!AI17='2. Nayoung'!AI17,1,0))</f>
        <v>1</v>
      </c>
      <c r="AH17" s="20">
        <f>IF('1. Yixian'!AJ17="","",IF('1. Yixian'!AJ17='2. Nayoung'!AJ17,1,0))</f>
        <v>1</v>
      </c>
      <c r="AI17" s="20">
        <f>IF('1. Yixian'!AK17="","",IF('1. Yixian'!AK17='2. Nayoung'!AK17,1,0))</f>
        <v>1</v>
      </c>
      <c r="AJ17" s="20">
        <f>IF('1. Yixian'!AL17="","",IF('1. Yixian'!AL17='2. Nayoung'!AL17,1,0))</f>
        <v>1</v>
      </c>
      <c r="AK17" s="20">
        <f>IF('1. Yixian'!AM17="","",IF('1. Yixian'!AM17='2. Nayoung'!AM17,1,0))</f>
        <v>1</v>
      </c>
      <c r="AL17" s="20">
        <f>IF('1. Yixian'!AT17='2. Nayoung'!AT17, 1, 0)</f>
        <v>1</v>
      </c>
      <c r="AM17" s="20">
        <f>IF('1. Yixian'!AU17='2. Nayoung'!AU17, 1, 0)</f>
        <v>1</v>
      </c>
      <c r="AN17" s="2"/>
    </row>
    <row r="18" spans="1:40" s="20" customFormat="1" ht="17" hidden="1" customHeight="1">
      <c r="A18" s="20" t="str">
        <f>IF('1. Yixian'!A18="","",IF('1. Yixian'!A18='2. Nayoung'!A18,1,0))</f>
        <v/>
      </c>
      <c r="B18" s="20" t="str">
        <f>IF('1. Yixian'!B18="","",IF(RIGHT('1. Yixian'!B18,2)=RIGHT('2. Nayoung'!B18,2),1,0))</f>
        <v/>
      </c>
      <c r="C18" s="20" t="str">
        <f>IF('1. Yixian'!C18="","",IF('1. Yixian'!C18='2. Nayoung'!C18,1,0))</f>
        <v/>
      </c>
      <c r="E18" s="20" t="str">
        <f>IF('1. Yixian'!E18="","",IF('1. Yixian'!E18='2. Nayoung'!E18,1,0))</f>
        <v/>
      </c>
      <c r="F18" s="20" t="str">
        <f>IF('1. Yixian'!F18="","",IF('1. Yixian'!F18='2. Nayoung'!F18,1,0))</f>
        <v/>
      </c>
      <c r="G18" s="20" t="str">
        <f>IF('1. Yixian'!G18="","",IF('1. Yixian'!G18='2. Nayoung'!G18,1,0))</f>
        <v/>
      </c>
      <c r="H18" s="20">
        <f>IF('1. Yixian'!J18="","",IF(RIGHT('1. Yixian'!J18,3)=RIGHT('2. Nayoung'!J18,3),1,0))</f>
        <v>0</v>
      </c>
      <c r="I18" s="20">
        <f>IF(H18="","",IF(OR('2. Nayoung'!K18="", '1. Yixian'!K18 = ""),0,1))</f>
        <v>1</v>
      </c>
      <c r="J18" s="20">
        <f>IF('1. Yixian'!L18="","",IF('1. Yixian'!L18='2. Nayoung'!L18,1,0))</f>
        <v>1</v>
      </c>
      <c r="K18" s="20">
        <f>IF('1. Yixian'!M18="","",IF('1. Yixian'!M18='2. Nayoung'!M18,1,0))</f>
        <v>1</v>
      </c>
      <c r="L18" s="20">
        <f>IF('1. Yixian'!N18="","",IF('1. Yixian'!N18='2. Nayoung'!N18,1,0))</f>
        <v>1</v>
      </c>
      <c r="M18" s="20">
        <f>IF('1. Yixian'!O18="","",IF('1. Yixian'!O18='2. Nayoung'!O18,1,0))</f>
        <v>1</v>
      </c>
      <c r="N18" s="20">
        <f>IF('1. Yixian'!P18="","",IF('1. Yixian'!P18='2. Nayoung'!P18,1,0))</f>
        <v>1</v>
      </c>
      <c r="O18" s="20">
        <f>IF('1. Yixian'!Q18="","",IF('1. Yixian'!Q18='2. Nayoung'!Q18,1,0))</f>
        <v>1</v>
      </c>
      <c r="P18" s="20">
        <f>IF('1. Yixian'!R18="","",IF('1. Yixian'!R18='2. Nayoung'!R18,1,0))</f>
        <v>1</v>
      </c>
      <c r="Q18" s="20">
        <f>IF('1. Yixian'!S18="","",IF('1. Yixian'!S18='2. Nayoung'!S18,1,0))</f>
        <v>1</v>
      </c>
      <c r="R18" s="20">
        <f>IF('1. Yixian'!T18="","",IF('1. Yixian'!T18='2. Nayoung'!T18,1,0))</f>
        <v>1</v>
      </c>
      <c r="S18" s="20">
        <f>IF(R18="","",IF(OR('2. Nayoung'!U18="", '1. Yixian'!U18 = ""),0,1))</f>
        <v>1</v>
      </c>
      <c r="T18" s="20">
        <f>IF('1. Yixian'!V18="","",IF('1. Yixian'!V18='2. Nayoung'!V18,1,0))</f>
        <v>1</v>
      </c>
      <c r="U18" s="20">
        <f>IF('1. Yixian'!W18="","",IF('1. Yixian'!W18='2. Nayoung'!W18,1,0))</f>
        <v>1</v>
      </c>
      <c r="V18" s="20">
        <f>IF('1. Yixian'!X18="","",IF('1. Yixian'!X18='2. Nayoung'!X18,1,0))</f>
        <v>1</v>
      </c>
      <c r="W18" s="20">
        <f>IF('1. Yixian'!Y18="","",IF('1. Yixian'!Y18='2. Nayoung'!Y18,1,0))</f>
        <v>1</v>
      </c>
      <c r="X18" s="20">
        <f>IF('1. Yixian'!Z18="","",IF('1. Yixian'!Z18='2. Nayoung'!Z18,1,0))</f>
        <v>1</v>
      </c>
      <c r="Z18" s="20">
        <f>IF('1. Yixian'!AB18="","",IF('1. Yixian'!AB18='2. Nayoung'!AB18,1,0))</f>
        <v>1</v>
      </c>
      <c r="AA18" s="20">
        <f>IF('1. Yixian'!AC18="","",IF('1. Yixian'!AC18='2. Nayoung'!AC18,1,0))</f>
        <v>1</v>
      </c>
      <c r="AB18" s="20">
        <f>IF(OR('2. Nayoung'!AD18="", '1. Yixian'!AD18 = ""),0,1)</f>
        <v>1</v>
      </c>
      <c r="AC18" s="20">
        <f>IF('1. Yixian'!AE18="","",IF('1. Yixian'!AE18='2. Nayoung'!AE18,1,0))</f>
        <v>1</v>
      </c>
      <c r="AD18" s="20">
        <f>IF('1. Yixian'!AF18="","",IF('1. Yixian'!AF18='2. Nayoung'!AF18,1,0))</f>
        <v>0</v>
      </c>
      <c r="AF18" s="20">
        <f>IF('1. Yixian'!AH18="","",IF('1. Yixian'!AH18='2. Nayoung'!AH18,1,0))</f>
        <v>1</v>
      </c>
      <c r="AG18" s="20">
        <f>IF('1. Yixian'!AI18="","",IF('1. Yixian'!AI18='2. Nayoung'!AI18,1,0))</f>
        <v>1</v>
      </c>
      <c r="AH18" s="20">
        <f>IF('1. Yixian'!AJ18="","",IF('1. Yixian'!AJ18='2. Nayoung'!AJ18,1,0))</f>
        <v>1</v>
      </c>
      <c r="AI18" s="20">
        <f>IF('1. Yixian'!AK18="","",IF('1. Yixian'!AK18='2. Nayoung'!AK18,1,0))</f>
        <v>1</v>
      </c>
      <c r="AJ18" s="20">
        <f>IF('1. Yixian'!AL18="","",IF('1. Yixian'!AL18='2. Nayoung'!AL18,1,0))</f>
        <v>1</v>
      </c>
      <c r="AK18" s="20">
        <f>IF('1. Yixian'!AM18="","",IF('1. Yixian'!AM18='2. Nayoung'!AM18,1,0))</f>
        <v>1</v>
      </c>
      <c r="AL18" s="20">
        <f>IF('1. Yixian'!AT18='2. Nayoung'!AT18, 1, 0)</f>
        <v>1</v>
      </c>
      <c r="AM18" s="20">
        <f>IF('1. Yixian'!AU18='2. Nayoung'!AU18, 1, 0)</f>
        <v>1</v>
      </c>
      <c r="AN18" s="2"/>
    </row>
    <row r="19" spans="1:40" s="21" customFormat="1" ht="17" hidden="1" customHeight="1">
      <c r="A19" s="20" t="str">
        <f>IF('1. Yixian'!A19="","",IF('1. Yixian'!A19='2. Nayoung'!A19,1,0))</f>
        <v/>
      </c>
      <c r="B19" s="20" t="str">
        <f>IF('1. Yixian'!B19="","",IF(RIGHT('1. Yixian'!B19,2)=RIGHT('2. Nayoung'!B19,2),1,0))</f>
        <v/>
      </c>
      <c r="C19" s="20" t="str">
        <f>IF('1. Yixian'!C19="","",IF('1. Yixian'!C19='2. Nayoung'!C19,1,0))</f>
        <v/>
      </c>
      <c r="D19" s="20"/>
      <c r="E19" s="20" t="str">
        <f>IF('1. Yixian'!E19="","",IF('1. Yixian'!E19='2. Nayoung'!E19,1,0))</f>
        <v/>
      </c>
      <c r="F19" s="20" t="str">
        <f>IF('1. Yixian'!F19="","",IF('1. Yixian'!F19='2. Nayoung'!F19,1,0))</f>
        <v/>
      </c>
      <c r="G19" s="20" t="str">
        <f>IF('1. Yixian'!G19="","",IF('1. Yixian'!G19='2. Nayoung'!G19,1,0))</f>
        <v/>
      </c>
      <c r="H19" s="20" t="str">
        <f>IF('1. Yixian'!J19="","",IF(RIGHT('1. Yixian'!J19,3)=RIGHT('2. Nayoung'!J19,3),1,0))</f>
        <v/>
      </c>
      <c r="I19" s="20" t="str">
        <f>IF(H19="","",IF(OR('2. Nayoung'!K19="", '1. Yixian'!K19 = ""),0,1))</f>
        <v/>
      </c>
      <c r="J19" s="20" t="str">
        <f>IF('1. Yixian'!L19="","",IF('1. Yixian'!L19='2. Nayoung'!L19,1,0))</f>
        <v/>
      </c>
      <c r="K19" s="20" t="str">
        <f>IF('1. Yixian'!M19="","",IF('1. Yixian'!M19='2. Nayoung'!M19,1,0))</f>
        <v/>
      </c>
      <c r="L19" s="20" t="str">
        <f>IF('1. Yixian'!N19="","",IF('1. Yixian'!N19='2. Nayoung'!N19,1,0))</f>
        <v/>
      </c>
      <c r="M19" s="20" t="str">
        <f>IF('1. Yixian'!O19="","",IF('1. Yixian'!O19='2. Nayoung'!O19,1,0))</f>
        <v/>
      </c>
      <c r="N19" s="20" t="str">
        <f>IF('1. Yixian'!P19="","",IF('1. Yixian'!P19='2. Nayoung'!P19,1,0))</f>
        <v/>
      </c>
      <c r="O19" s="20" t="str">
        <f>IF('1. Yixian'!Q19="","",IF('1. Yixian'!Q19='2. Nayoung'!Q19,1,0))</f>
        <v/>
      </c>
      <c r="P19" s="20" t="str">
        <f>IF('1. Yixian'!R19="","",IF('1. Yixian'!R19='2. Nayoung'!R19,1,0))</f>
        <v/>
      </c>
      <c r="Q19" s="20" t="str">
        <f>IF('1. Yixian'!S19="","",IF('1. Yixian'!S19='2. Nayoung'!S19,1,0))</f>
        <v/>
      </c>
      <c r="R19" s="20" t="str">
        <f>IF('1. Yixian'!T19="","",IF('1. Yixian'!T19='2. Nayoung'!T19,1,0))</f>
        <v/>
      </c>
      <c r="S19" s="20" t="str">
        <f>IF(R19="","",IF(OR('2. Nayoung'!U19="", '1. Yixian'!U19 = ""),0,1))</f>
        <v/>
      </c>
      <c r="T19" s="20" t="str">
        <f>IF('1. Yixian'!V19="","",IF('1. Yixian'!V19='2. Nayoung'!V19,1,0))</f>
        <v/>
      </c>
      <c r="U19" s="20" t="str">
        <f>IF('1. Yixian'!W19="","",IF('1. Yixian'!W19='2. Nayoung'!W19,1,0))</f>
        <v/>
      </c>
      <c r="V19" s="20" t="str">
        <f>IF('1. Yixian'!X19="","",IF('1. Yixian'!X19='2. Nayoung'!X19,1,0))</f>
        <v/>
      </c>
      <c r="W19" s="20" t="str">
        <f>IF('1. Yixian'!Y19="","",IF('1. Yixian'!Y19='2. Nayoung'!Y19,1,0))</f>
        <v/>
      </c>
      <c r="X19" s="20" t="str">
        <f>IF('1. Yixian'!Z19="","",IF('1. Yixian'!Z19='2. Nayoung'!Z19,1,0))</f>
        <v/>
      </c>
      <c r="Y19" s="20"/>
      <c r="Z19" s="20" t="str">
        <f>IF('1. Yixian'!AB19="","",IF('1. Yixian'!AB19='2. Nayoung'!AB19,1,0))</f>
        <v/>
      </c>
      <c r="AA19" s="20" t="str">
        <f>IF('1. Yixian'!AC19="","",IF('1. Yixian'!AC19='2. Nayoung'!AC19,1,0))</f>
        <v/>
      </c>
      <c r="AB19" s="20">
        <f>IF(OR('2. Nayoung'!AD19="", '1. Yixian'!AD19 = ""),0,1)</f>
        <v>1</v>
      </c>
      <c r="AC19" s="20">
        <f>IF('1. Yixian'!AE19="","",IF('1. Yixian'!AE19='2. Nayoung'!AE19,1,0))</f>
        <v>1</v>
      </c>
      <c r="AD19" s="20">
        <f>IF('1. Yixian'!AF19="","",IF('1. Yixian'!AF19='2. Nayoung'!AF19,1,0))</f>
        <v>0</v>
      </c>
      <c r="AE19" s="20"/>
      <c r="AF19" s="20">
        <f>IF('1. Yixian'!AH19="","",IF('1. Yixian'!AH19='2. Nayoung'!AH19,1,0))</f>
        <v>1</v>
      </c>
      <c r="AG19" s="20">
        <f>IF('1. Yixian'!AI19="","",IF('1. Yixian'!AI19='2. Nayoung'!AI19,1,0))</f>
        <v>1</v>
      </c>
      <c r="AH19" s="20">
        <f>IF('1. Yixian'!AJ19="","",IF('1. Yixian'!AJ19='2. Nayoung'!AJ19,1,0))</f>
        <v>1</v>
      </c>
      <c r="AI19" s="20">
        <f>IF('1. Yixian'!AK19="","",IF('1. Yixian'!AK19='2. Nayoung'!AK19,1,0))</f>
        <v>1</v>
      </c>
      <c r="AJ19" s="20">
        <f>IF('1. Yixian'!AL19="","",IF('1. Yixian'!AL19='2. Nayoung'!AL19,1,0))</f>
        <v>1</v>
      </c>
      <c r="AK19" s="20">
        <f>IF('1. Yixian'!AM19="","",IF('1. Yixian'!AM19='2. Nayoung'!AM19,1,0))</f>
        <v>1</v>
      </c>
      <c r="AL19" s="20">
        <f>IF('1. Yixian'!AT19='2. Nayoung'!AT19, 1, 0)</f>
        <v>1</v>
      </c>
      <c r="AM19" s="20">
        <f>IF('1. Yixian'!AU19='2. Nayoung'!AU19, 1, 0)</f>
        <v>1</v>
      </c>
      <c r="AN19" s="28"/>
    </row>
    <row r="20" spans="1:40" s="20" customFormat="1" ht="17" hidden="1" customHeight="1">
      <c r="A20" s="20">
        <f>IF('1. Yixian'!A20="","",IF('1. Yixian'!A20='2. Nayoung'!A20,1,0))</f>
        <v>1</v>
      </c>
      <c r="B20" s="20">
        <f>IF('1. Yixian'!B20="","",IF(RIGHT('1. Yixian'!B20,2)=RIGHT('2. Nayoung'!B20,2),1,0))</f>
        <v>1</v>
      </c>
      <c r="C20" s="20">
        <f>IF('1. Yixian'!C20="","",IF('1. Yixian'!C20='2. Nayoung'!C20,1,0))</f>
        <v>1</v>
      </c>
      <c r="E20" s="20">
        <f>IF('1. Yixian'!E20="","",IF('1. Yixian'!E20='2. Nayoung'!E20,1,0))</f>
        <v>1</v>
      </c>
      <c r="F20" s="20">
        <f>IF('1. Yixian'!F20="","",IF('1. Yixian'!F20='2. Nayoung'!F20,1,0))</f>
        <v>1</v>
      </c>
      <c r="G20" s="20">
        <f>IF('1. Yixian'!G20="","",IF('1. Yixian'!G20='2. Nayoung'!G20,1,0))</f>
        <v>1</v>
      </c>
      <c r="H20" s="20">
        <f>IF('1. Yixian'!J20="","",IF(RIGHT('1. Yixian'!J20,3)=RIGHT('2. Nayoung'!J20,3),1,0))</f>
        <v>0</v>
      </c>
      <c r="I20" s="20">
        <f>IF(H20="","",IF(OR('2. Nayoung'!K20="", '1. Yixian'!K20 = ""),0,1))</f>
        <v>1</v>
      </c>
      <c r="J20" s="20">
        <f>IF('1. Yixian'!L20="","",IF('1. Yixian'!L20='2. Nayoung'!L20,1,0))</f>
        <v>1</v>
      </c>
      <c r="K20" s="20">
        <f>IF('1. Yixian'!M20="","",IF('1. Yixian'!M20='2. Nayoung'!M20,1,0))</f>
        <v>1</v>
      </c>
      <c r="L20" s="20">
        <f>IF('1. Yixian'!N20="","",IF('1. Yixian'!N20='2. Nayoung'!N20,1,0))</f>
        <v>1</v>
      </c>
      <c r="M20" s="20">
        <f>IF('1. Yixian'!O20="","",IF('1. Yixian'!O20='2. Nayoung'!O20,1,0))</f>
        <v>1</v>
      </c>
      <c r="N20" s="20">
        <f>IF('1. Yixian'!P20="","",IF('1. Yixian'!P20='2. Nayoung'!P20,1,0))</f>
        <v>1</v>
      </c>
      <c r="O20" s="20">
        <f>IF('1. Yixian'!Q20="","",IF('1. Yixian'!Q20='2. Nayoung'!Q20,1,0))</f>
        <v>1</v>
      </c>
      <c r="P20" s="20">
        <f>IF('1. Yixian'!R20="","",IF('1. Yixian'!R20='2. Nayoung'!R20,1,0))</f>
        <v>1</v>
      </c>
      <c r="Q20" s="20">
        <f>IF('1. Yixian'!S20="","",IF('1. Yixian'!S20='2. Nayoung'!S20,1,0))</f>
        <v>1</v>
      </c>
      <c r="R20" s="20">
        <f>IF('1. Yixian'!T20="","",IF('1. Yixian'!T20='2. Nayoung'!T20,1,0))</f>
        <v>1</v>
      </c>
      <c r="S20" s="20">
        <f>IF(R20="","",IF(OR('2. Nayoung'!U20="", '1. Yixian'!U20 = ""),0,1))</f>
        <v>1</v>
      </c>
      <c r="T20" s="20">
        <f>IF('1. Yixian'!V20="","",IF('1. Yixian'!V20='2. Nayoung'!V20,1,0))</f>
        <v>1</v>
      </c>
      <c r="U20" s="20">
        <f>IF('1. Yixian'!W20="","",IF('1. Yixian'!W20='2. Nayoung'!W20,1,0))</f>
        <v>1</v>
      </c>
      <c r="V20" s="20">
        <f>IF('1. Yixian'!X20="","",IF('1. Yixian'!X20='2. Nayoung'!X20,1,0))</f>
        <v>1</v>
      </c>
      <c r="W20" s="20">
        <f>IF('1. Yixian'!Y20="","",IF('1. Yixian'!Y20='2. Nayoung'!Y20,1,0))</f>
        <v>1</v>
      </c>
      <c r="X20" s="20">
        <f>IF('1. Yixian'!Z20="","",IF('1. Yixian'!Z20='2. Nayoung'!Z20,1,0))</f>
        <v>1</v>
      </c>
      <c r="Z20" s="20">
        <f>IF('1. Yixian'!AB20="","",IF('1. Yixian'!AB20='2. Nayoung'!AB20,1,0))</f>
        <v>1</v>
      </c>
      <c r="AA20" s="20">
        <f>IF('1. Yixian'!AC20="","",IF('1. Yixian'!AC20='2. Nayoung'!AC20,1,0))</f>
        <v>1</v>
      </c>
      <c r="AB20" s="20">
        <f>IF(OR('2. Nayoung'!AD20="", '1. Yixian'!AD20 = ""),0,1)</f>
        <v>1</v>
      </c>
      <c r="AC20" s="20">
        <f>IF('1. Yixian'!AE20="","",IF('1. Yixian'!AE20='2. Nayoung'!AE20,1,0))</f>
        <v>1</v>
      </c>
      <c r="AD20" s="20">
        <f>IF('1. Yixian'!AF20="","",IF('1. Yixian'!AF20='2. Nayoung'!AF20,1,0))</f>
        <v>1</v>
      </c>
      <c r="AF20" s="20">
        <f>IF('1. Yixian'!AH20="","",IF('1. Yixian'!AH20='2. Nayoung'!AH20,1,0))</f>
        <v>1</v>
      </c>
      <c r="AG20" s="20">
        <f>IF('1. Yixian'!AI20="","",IF('1. Yixian'!AI20='2. Nayoung'!AI20,1,0))</f>
        <v>1</v>
      </c>
      <c r="AH20" s="20">
        <f>IF('1. Yixian'!AJ20="","",IF('1. Yixian'!AJ20='2. Nayoung'!AJ20,1,0))</f>
        <v>1</v>
      </c>
      <c r="AI20" s="20">
        <f>IF('1. Yixian'!AK20="","",IF('1. Yixian'!AK20='2. Nayoung'!AK20,1,0))</f>
        <v>1</v>
      </c>
      <c r="AJ20" s="20">
        <f>IF('1. Yixian'!AL20="","",IF('1. Yixian'!AL20='2. Nayoung'!AL20,1,0))</f>
        <v>1</v>
      </c>
      <c r="AK20" s="20">
        <f>IF('1. Yixian'!AM20="","",IF('1. Yixian'!AM20='2. Nayoung'!AM20,1,0))</f>
        <v>1</v>
      </c>
      <c r="AL20" s="20">
        <f>IF('1. Yixian'!AT20='2. Nayoung'!AT20, 1, 0)</f>
        <v>1</v>
      </c>
      <c r="AM20" s="20">
        <f>IF('1. Yixian'!AU20='2. Nayoung'!AU20, 1, 0)</f>
        <v>1</v>
      </c>
      <c r="AN20" s="2"/>
    </row>
    <row r="21" spans="1:40" s="20" customFormat="1" ht="17" hidden="1" customHeight="1">
      <c r="A21" s="20" t="str">
        <f>IF('1. Yixian'!A21="","",IF('1. Yixian'!A21='2. Nayoung'!A21,1,0))</f>
        <v/>
      </c>
      <c r="B21" s="20" t="str">
        <f>IF('1. Yixian'!B21="","",IF(RIGHT('1. Yixian'!B21,2)=RIGHT('2. Nayoung'!B21,2),1,0))</f>
        <v/>
      </c>
      <c r="C21" s="20" t="str">
        <f>IF('1. Yixian'!C21="","",IF('1. Yixian'!C21='2. Nayoung'!C21,1,0))</f>
        <v/>
      </c>
      <c r="E21" s="20" t="str">
        <f>IF('1. Yixian'!E21="","",IF('1. Yixian'!E21='2. Nayoung'!E21,1,0))</f>
        <v/>
      </c>
      <c r="F21" s="20" t="str">
        <f>IF('1. Yixian'!F21="","",IF('1. Yixian'!F21='2. Nayoung'!F21,1,0))</f>
        <v/>
      </c>
      <c r="G21" s="20" t="str">
        <f>IF('1. Yixian'!G21="","",IF('1. Yixian'!G21='2. Nayoung'!G21,1,0))</f>
        <v/>
      </c>
      <c r="H21" s="20">
        <f>IF('1. Yixian'!J21="","",IF(RIGHT('1. Yixian'!J21,3)=RIGHT('2. Nayoung'!J21,3),1,0))</f>
        <v>0</v>
      </c>
      <c r="I21" s="20">
        <f>IF(H21="","",IF(OR('2. Nayoung'!K21="", '1. Yixian'!K21 = ""),0,1))</f>
        <v>1</v>
      </c>
      <c r="J21" s="20">
        <f>IF('1. Yixian'!L21="","",IF('1. Yixian'!L21='2. Nayoung'!L21,1,0))</f>
        <v>1</v>
      </c>
      <c r="K21" s="20">
        <f>IF('1. Yixian'!M21="","",IF('1. Yixian'!M21='2. Nayoung'!M21,1,0))</f>
        <v>1</v>
      </c>
      <c r="L21" s="20">
        <f>IF('1. Yixian'!N21="","",IF('1. Yixian'!N21='2. Nayoung'!N21,1,0))</f>
        <v>1</v>
      </c>
      <c r="M21" s="20">
        <f>IF('1. Yixian'!O21="","",IF('1. Yixian'!O21='2. Nayoung'!O21,1,0))</f>
        <v>1</v>
      </c>
      <c r="N21" s="20">
        <f>IF('1. Yixian'!P21="","",IF('1. Yixian'!P21='2. Nayoung'!P21,1,0))</f>
        <v>1</v>
      </c>
      <c r="O21" s="20">
        <f>IF('1. Yixian'!Q21="","",IF('1. Yixian'!Q21='2. Nayoung'!Q21,1,0))</f>
        <v>1</v>
      </c>
      <c r="P21" s="20">
        <f>IF('1. Yixian'!R21="","",IF('1. Yixian'!R21='2. Nayoung'!R21,1,0))</f>
        <v>1</v>
      </c>
      <c r="Q21" s="20">
        <f>IF('1. Yixian'!S21="","",IF('1. Yixian'!S21='2. Nayoung'!S21,1,0))</f>
        <v>1</v>
      </c>
      <c r="R21" s="20">
        <f>IF('1. Yixian'!T21="","",IF('1. Yixian'!T21='2. Nayoung'!T21,1,0))</f>
        <v>1</v>
      </c>
      <c r="S21" s="20">
        <f>IF(R21="","",IF(OR('2. Nayoung'!U21="", '1. Yixian'!U21 = ""),0,1))</f>
        <v>1</v>
      </c>
      <c r="T21" s="20">
        <f>IF('1. Yixian'!V21="","",IF('1. Yixian'!V21='2. Nayoung'!V21,1,0))</f>
        <v>1</v>
      </c>
      <c r="U21" s="20">
        <f>IF('1. Yixian'!W21="","",IF('1. Yixian'!W21='2. Nayoung'!W21,1,0))</f>
        <v>1</v>
      </c>
      <c r="V21" s="20">
        <f>IF('1. Yixian'!X21="","",IF('1. Yixian'!X21='2. Nayoung'!X21,1,0))</f>
        <v>1</v>
      </c>
      <c r="W21" s="20">
        <f>IF('1. Yixian'!Y21="","",IF('1. Yixian'!Y21='2. Nayoung'!Y21,1,0))</f>
        <v>1</v>
      </c>
      <c r="X21" s="20">
        <f>IF('1. Yixian'!Z21="","",IF('1. Yixian'!Z21='2. Nayoung'!Z21,1,0))</f>
        <v>1</v>
      </c>
      <c r="Z21" s="20">
        <f>IF('1. Yixian'!AB21="","",IF('1. Yixian'!AB21='2. Nayoung'!AB21,1,0))</f>
        <v>1</v>
      </c>
      <c r="AA21" s="20">
        <f>IF('1. Yixian'!AC21="","",IF('1. Yixian'!AC21='2. Nayoung'!AC21,1,0))</f>
        <v>1</v>
      </c>
      <c r="AB21" s="20">
        <f>IF(OR('2. Nayoung'!AD21="", '1. Yixian'!AD21 = ""),0,1)</f>
        <v>1</v>
      </c>
      <c r="AC21" s="20">
        <f>IF('1. Yixian'!AE21="","",IF('1. Yixian'!AE21='2. Nayoung'!AE21,1,0))</f>
        <v>1</v>
      </c>
      <c r="AD21" s="20">
        <f>IF('1. Yixian'!AF21="","",IF('1. Yixian'!AF21='2. Nayoung'!AF21,1,0))</f>
        <v>0</v>
      </c>
      <c r="AF21" s="20">
        <f>IF('1. Yixian'!AH21="","",IF('1. Yixian'!AH21='2. Nayoung'!AH21,1,0))</f>
        <v>1</v>
      </c>
      <c r="AG21" s="20">
        <f>IF('1. Yixian'!AI21="","",IF('1. Yixian'!AI21='2. Nayoung'!AI21,1,0))</f>
        <v>1</v>
      </c>
      <c r="AH21" s="20">
        <f>IF('1. Yixian'!AJ21="","",IF('1. Yixian'!AJ21='2. Nayoung'!AJ21,1,0))</f>
        <v>1</v>
      </c>
      <c r="AI21" s="20">
        <f>IF('1. Yixian'!AK21="","",IF('1. Yixian'!AK21='2. Nayoung'!AK21,1,0))</f>
        <v>1</v>
      </c>
      <c r="AJ21" s="20">
        <f>IF('1. Yixian'!AL21="","",IF('1. Yixian'!AL21='2. Nayoung'!AL21,1,0))</f>
        <v>1</v>
      </c>
      <c r="AK21" s="20">
        <f>IF('1. Yixian'!AM21="","",IF('1. Yixian'!AM21='2. Nayoung'!AM21,1,0))</f>
        <v>1</v>
      </c>
      <c r="AL21" s="20">
        <f>IF('1. Yixian'!AT21='2. Nayoung'!AT21, 1, 0)</f>
        <v>1</v>
      </c>
      <c r="AM21" s="20">
        <f>IF('1. Yixian'!AU21='2. Nayoung'!AU21, 1, 0)</f>
        <v>1</v>
      </c>
      <c r="AN21" s="2"/>
    </row>
    <row r="22" spans="1:40" s="20" customFormat="1" ht="17" hidden="1" customHeight="1">
      <c r="A22" s="20" t="str">
        <f>IF('1. Yixian'!A22="","",IF('1. Yixian'!A22='2. Nayoung'!A22,1,0))</f>
        <v/>
      </c>
      <c r="B22" s="20" t="str">
        <f>IF('1. Yixian'!B22="","",IF(RIGHT('1. Yixian'!B22,2)=RIGHT('2. Nayoung'!B22,2),1,0))</f>
        <v/>
      </c>
      <c r="C22" s="20" t="str">
        <f>IF('1. Yixian'!C22="","",IF('1. Yixian'!C22='2. Nayoung'!C22,1,0))</f>
        <v/>
      </c>
      <c r="E22" s="20" t="str">
        <f>IF('1. Yixian'!E22="","",IF('1. Yixian'!E22='2. Nayoung'!E22,1,0))</f>
        <v/>
      </c>
      <c r="F22" s="20" t="str">
        <f>IF('1. Yixian'!F22="","",IF('1. Yixian'!F22='2. Nayoung'!F22,1,0))</f>
        <v/>
      </c>
      <c r="G22" s="20" t="str">
        <f>IF('1. Yixian'!G22="","",IF('1. Yixian'!G22='2. Nayoung'!G22,1,0))</f>
        <v/>
      </c>
      <c r="H22" s="20">
        <f>IF('1. Yixian'!J22="","",IF(RIGHT('1. Yixian'!J22,3)=RIGHT('2. Nayoung'!J22,3),1,0))</f>
        <v>0</v>
      </c>
      <c r="I22" s="20">
        <f>IF(H22="","",IF(OR('2. Nayoung'!K22="", '1. Yixian'!K22 = ""),0,1))</f>
        <v>1</v>
      </c>
      <c r="J22" s="20">
        <f>IF('1. Yixian'!L22="","",IF('1. Yixian'!L22='2. Nayoung'!L22,1,0))</f>
        <v>1</v>
      </c>
      <c r="K22" s="20">
        <f>IF('1. Yixian'!M22="","",IF('1. Yixian'!M22='2. Nayoung'!M22,1,0))</f>
        <v>1</v>
      </c>
      <c r="L22" s="20">
        <f>IF('1. Yixian'!N22="","",IF('1. Yixian'!N22='2. Nayoung'!N22,1,0))</f>
        <v>1</v>
      </c>
      <c r="M22" s="20">
        <f>IF('1. Yixian'!O22="","",IF('1. Yixian'!O22='2. Nayoung'!O22,1,0))</f>
        <v>1</v>
      </c>
      <c r="N22" s="20">
        <f>IF('1. Yixian'!P22="","",IF('1. Yixian'!P22='2. Nayoung'!P22,1,0))</f>
        <v>1</v>
      </c>
      <c r="O22" s="20">
        <f>IF('1. Yixian'!Q22="","",IF('1. Yixian'!Q22='2. Nayoung'!Q22,1,0))</f>
        <v>1</v>
      </c>
      <c r="P22" s="20">
        <f>IF('1. Yixian'!R22="","",IF('1. Yixian'!R22='2. Nayoung'!R22,1,0))</f>
        <v>1</v>
      </c>
      <c r="Q22" s="20">
        <f>IF('1. Yixian'!S22="","",IF('1. Yixian'!S22='2. Nayoung'!S22,1,0))</f>
        <v>1</v>
      </c>
      <c r="R22" s="20">
        <f>IF('1. Yixian'!T22="","",IF('1. Yixian'!T22='2. Nayoung'!T22,1,0))</f>
        <v>1</v>
      </c>
      <c r="S22" s="20">
        <f>IF(R22="","",IF(OR('2. Nayoung'!U22="", '1. Yixian'!U22 = ""),0,1))</f>
        <v>1</v>
      </c>
      <c r="T22" s="20">
        <f>IF('1. Yixian'!V22="","",IF('1. Yixian'!V22='2. Nayoung'!V22,1,0))</f>
        <v>1</v>
      </c>
      <c r="U22" s="20">
        <f>IF('1. Yixian'!W22="","",IF('1. Yixian'!W22='2. Nayoung'!W22,1,0))</f>
        <v>1</v>
      </c>
      <c r="V22" s="20">
        <f>IF('1. Yixian'!X22="","",IF('1. Yixian'!X22='2. Nayoung'!X22,1,0))</f>
        <v>1</v>
      </c>
      <c r="W22" s="20">
        <f>IF('1. Yixian'!Y22="","",IF('1. Yixian'!Y22='2. Nayoung'!Y22,1,0))</f>
        <v>1</v>
      </c>
      <c r="X22" s="20">
        <f>IF('1. Yixian'!Z22="","",IF('1. Yixian'!Z22='2. Nayoung'!Z22,1,0))</f>
        <v>1</v>
      </c>
      <c r="Z22" s="20">
        <f>IF('1. Yixian'!AB22="","",IF('1. Yixian'!AB22='2. Nayoung'!AB22,1,0))</f>
        <v>1</v>
      </c>
      <c r="AA22" s="20">
        <f>IF('1. Yixian'!AC22="","",IF('1. Yixian'!AC22='2. Nayoung'!AC22,1,0))</f>
        <v>1</v>
      </c>
      <c r="AB22" s="20">
        <f>IF(OR('2. Nayoung'!AD22="", '1. Yixian'!AD22 = ""),0,1)</f>
        <v>1</v>
      </c>
      <c r="AC22" s="20">
        <f>IF('1. Yixian'!AE22="","",IF('1. Yixian'!AE22='2. Nayoung'!AE22,1,0))</f>
        <v>1</v>
      </c>
      <c r="AD22" s="20">
        <f>IF('1. Yixian'!AF22="","",IF('1. Yixian'!AF22='2. Nayoung'!AF22,1,0))</f>
        <v>0</v>
      </c>
      <c r="AF22" s="20">
        <f>IF('1. Yixian'!AH22="","",IF('1. Yixian'!AH22='2. Nayoung'!AH22,1,0))</f>
        <v>1</v>
      </c>
      <c r="AG22" s="20">
        <f>IF('1. Yixian'!AI22="","",IF('1. Yixian'!AI22='2. Nayoung'!AI22,1,0))</f>
        <v>1</v>
      </c>
      <c r="AH22" s="20">
        <f>IF('1. Yixian'!AJ22="","",IF('1. Yixian'!AJ22='2. Nayoung'!AJ22,1,0))</f>
        <v>1</v>
      </c>
      <c r="AI22" s="20">
        <f>IF('1. Yixian'!AK22="","",IF('1. Yixian'!AK22='2. Nayoung'!AK22,1,0))</f>
        <v>1</v>
      </c>
      <c r="AJ22" s="20">
        <f>IF('1. Yixian'!AL22="","",IF('1. Yixian'!AL22='2. Nayoung'!AL22,1,0))</f>
        <v>1</v>
      </c>
      <c r="AK22" s="20">
        <f>IF('1. Yixian'!AM22="","",IF('1. Yixian'!AM22='2. Nayoung'!AM22,1,0))</f>
        <v>1</v>
      </c>
      <c r="AL22" s="20">
        <f>IF('1. Yixian'!AT22='2. Nayoung'!AT22, 1, 0)</f>
        <v>1</v>
      </c>
      <c r="AM22" s="20">
        <f>IF('1. Yixian'!AU22='2. Nayoung'!AU22, 1, 0)</f>
        <v>1</v>
      </c>
      <c r="AN22" s="2"/>
    </row>
    <row r="23" spans="1:40" s="20" customFormat="1" ht="17" hidden="1" customHeight="1">
      <c r="A23" s="20">
        <f>IF('1. Yixian'!A23="","",IF('1. Yixian'!A23='2. Nayoung'!A23,1,0))</f>
        <v>1</v>
      </c>
      <c r="B23" s="20">
        <f>IF('1. Yixian'!B23="","",IF(RIGHT('1. Yixian'!B23,2)=RIGHT('2. Nayoung'!B23,2),1,0))</f>
        <v>1</v>
      </c>
      <c r="C23" s="20">
        <f>IF('1. Yixian'!C23="","",IF('1. Yixian'!C23='2. Nayoung'!C23,1,0))</f>
        <v>1</v>
      </c>
      <c r="E23" s="20">
        <f>IF('1. Yixian'!E23="","",IF('1. Yixian'!E23='2. Nayoung'!E23,1,0))</f>
        <v>1</v>
      </c>
      <c r="F23" s="20">
        <f>IF('1. Yixian'!F23="","",IF('1. Yixian'!F23='2. Nayoung'!F23,1,0))</f>
        <v>1</v>
      </c>
      <c r="G23" s="20">
        <f>IF('1. Yixian'!G23="","",IF('1. Yixian'!G23='2. Nayoung'!G23,1,0))</f>
        <v>1</v>
      </c>
      <c r="H23" s="20">
        <f>IF('1. Yixian'!J23="","",IF(RIGHT('1. Yixian'!J23,3)=RIGHT('2. Nayoung'!J23,3),1,0))</f>
        <v>0</v>
      </c>
      <c r="I23" s="20">
        <f>IF(H23="","",IF(OR('2. Nayoung'!K23="", '1. Yixian'!K23 = ""),0,1))</f>
        <v>1</v>
      </c>
      <c r="J23" s="20">
        <f>IF('1. Yixian'!L23="","",IF('1. Yixian'!L23='2. Nayoung'!L23,1,0))</f>
        <v>1</v>
      </c>
      <c r="K23" s="20">
        <f>IF('1. Yixian'!M23="","",IF('1. Yixian'!M23='2. Nayoung'!M23,1,0))</f>
        <v>1</v>
      </c>
      <c r="L23" s="20">
        <f>IF('1. Yixian'!N23="","",IF('1. Yixian'!N23='2. Nayoung'!N23,1,0))</f>
        <v>1</v>
      </c>
      <c r="M23" s="20">
        <f>IF('1. Yixian'!O23="","",IF('1. Yixian'!O23='2. Nayoung'!O23,1,0))</f>
        <v>1</v>
      </c>
      <c r="N23" s="20">
        <f>IF('1. Yixian'!P23="","",IF('1. Yixian'!P23='2. Nayoung'!P23,1,0))</f>
        <v>1</v>
      </c>
      <c r="O23" s="20">
        <f>IF('1. Yixian'!Q23="","",IF('1. Yixian'!Q23='2. Nayoung'!Q23,1,0))</f>
        <v>1</v>
      </c>
      <c r="P23" s="20">
        <f>IF('1. Yixian'!R23="","",IF('1. Yixian'!R23='2. Nayoung'!R23,1,0))</f>
        <v>1</v>
      </c>
      <c r="Q23" s="20">
        <f>IF('1. Yixian'!S23="","",IF('1. Yixian'!S23='2. Nayoung'!S23,1,0))</f>
        <v>1</v>
      </c>
      <c r="R23" s="20">
        <f>IF('1. Yixian'!T23="","",IF('1. Yixian'!T23='2. Nayoung'!T23,1,0))</f>
        <v>1</v>
      </c>
      <c r="S23" s="20">
        <f>IF(R23="","",IF(OR('2. Nayoung'!U23="", '1. Yixian'!U23 = ""),0,1))</f>
        <v>1</v>
      </c>
      <c r="T23" s="20">
        <f>IF('1. Yixian'!V23="","",IF('1. Yixian'!V23='2. Nayoung'!V23,1,0))</f>
        <v>1</v>
      </c>
      <c r="U23" s="20">
        <f>IF('1. Yixian'!W23="","",IF('1. Yixian'!W23='2. Nayoung'!W23,1,0))</f>
        <v>1</v>
      </c>
      <c r="V23" s="20">
        <f>IF('1. Yixian'!X23="","",IF('1. Yixian'!X23='2. Nayoung'!X23,1,0))</f>
        <v>1</v>
      </c>
      <c r="W23" s="20">
        <f>IF('1. Yixian'!Y23="","",IF('1. Yixian'!Y23='2. Nayoung'!Y23,1,0))</f>
        <v>1</v>
      </c>
      <c r="X23" s="20">
        <f>IF('1. Yixian'!Z23="","",IF('1. Yixian'!Z23='2. Nayoung'!Z23,1,0))</f>
        <v>1</v>
      </c>
      <c r="Z23" s="20">
        <f>IF('1. Yixian'!AB23="","",IF('1. Yixian'!AB23='2. Nayoung'!AB23,1,0))</f>
        <v>1</v>
      </c>
      <c r="AA23" s="20">
        <f>IF('1. Yixian'!AC23="","",IF('1. Yixian'!AC23='2. Nayoung'!AC23,1,0))</f>
        <v>1</v>
      </c>
      <c r="AB23" s="20">
        <f>IF(OR('2. Nayoung'!AD23="", '1. Yixian'!AD23 = ""),0,1)</f>
        <v>1</v>
      </c>
      <c r="AC23" s="20">
        <f>IF('1. Yixian'!AE23="","",IF('1. Yixian'!AE23='2. Nayoung'!AE23,1,0))</f>
        <v>1</v>
      </c>
      <c r="AD23" s="20">
        <f>IF('1. Yixian'!AF23="","",IF('1. Yixian'!AF23='2. Nayoung'!AF23,1,0))</f>
        <v>1</v>
      </c>
      <c r="AF23" s="20">
        <f>IF('1. Yixian'!AH23="","",IF('1. Yixian'!AH23='2. Nayoung'!AH23,1,0))</f>
        <v>1</v>
      </c>
      <c r="AG23" s="20">
        <f>IF('1. Yixian'!AI23="","",IF('1. Yixian'!AI23='2. Nayoung'!AI23,1,0))</f>
        <v>1</v>
      </c>
      <c r="AH23" s="20">
        <f>IF('1. Yixian'!AJ23="","",IF('1. Yixian'!AJ23='2. Nayoung'!AJ23,1,0))</f>
        <v>1</v>
      </c>
      <c r="AI23" s="20">
        <f>IF('1. Yixian'!AK23="","",IF('1. Yixian'!AK23='2. Nayoung'!AK23,1,0))</f>
        <v>1</v>
      </c>
      <c r="AJ23" s="20">
        <f>IF('1. Yixian'!AL23="","",IF('1. Yixian'!AL23='2. Nayoung'!AL23,1,0))</f>
        <v>1</v>
      </c>
      <c r="AK23" s="20">
        <f>IF('1. Yixian'!AM23="","",IF('1. Yixian'!AM23='2. Nayoung'!AM23,1,0))</f>
        <v>1</v>
      </c>
      <c r="AL23" s="20">
        <f>IF('1. Yixian'!AT23='2. Nayoung'!AT23, 1, 0)</f>
        <v>1</v>
      </c>
      <c r="AM23" s="20">
        <f>IF('1. Yixian'!AU23='2. Nayoung'!AU23, 1, 0)</f>
        <v>1</v>
      </c>
      <c r="AN23" s="2"/>
    </row>
    <row r="24" spans="1:40" s="20" customFormat="1" ht="17" hidden="1" customHeight="1">
      <c r="A24" s="20" t="str">
        <f>IF('1. Yixian'!A24="","",IF('1. Yixian'!A24='2. Nayoung'!A24,1,0))</f>
        <v/>
      </c>
      <c r="B24" s="20" t="str">
        <f>IF('1. Yixian'!B24="","",IF(RIGHT('1. Yixian'!B24,2)=RIGHT('2. Nayoung'!B24,2),1,0))</f>
        <v/>
      </c>
      <c r="C24" s="20" t="str">
        <f>IF('1. Yixian'!C24="","",IF('1. Yixian'!C24='2. Nayoung'!C24,1,0))</f>
        <v/>
      </c>
      <c r="E24" s="20" t="str">
        <f>IF('1. Yixian'!E24="","",IF('1. Yixian'!E24='2. Nayoung'!E24,1,0))</f>
        <v/>
      </c>
      <c r="F24" s="20" t="str">
        <f>IF('1. Yixian'!F24="","",IF('1. Yixian'!F24='2. Nayoung'!F24,1,0))</f>
        <v/>
      </c>
      <c r="G24" s="20" t="str">
        <f>IF('1. Yixian'!G24="","",IF('1. Yixian'!G24='2. Nayoung'!G24,1,0))</f>
        <v/>
      </c>
      <c r="H24" s="20">
        <f>IF('1. Yixian'!J24="","",IF(RIGHT('1. Yixian'!J24,3)=RIGHT('2. Nayoung'!J24,3),1,0))</f>
        <v>0</v>
      </c>
      <c r="I24" s="20">
        <f>IF(H24="","",IF(OR('2. Nayoung'!K24="", '1. Yixian'!K24 = ""),0,1))</f>
        <v>1</v>
      </c>
      <c r="J24" s="20">
        <f>IF('1. Yixian'!L24="","",IF('1. Yixian'!L24='2. Nayoung'!L24,1,0))</f>
        <v>1</v>
      </c>
      <c r="K24" s="20">
        <f>IF('1. Yixian'!M24="","",IF('1. Yixian'!M24='2. Nayoung'!M24,1,0))</f>
        <v>1</v>
      </c>
      <c r="L24" s="20">
        <f>IF('1. Yixian'!N24="","",IF('1. Yixian'!N24='2. Nayoung'!N24,1,0))</f>
        <v>1</v>
      </c>
      <c r="M24" s="20">
        <f>IF('1. Yixian'!O24="","",IF('1. Yixian'!O24='2. Nayoung'!O24,1,0))</f>
        <v>1</v>
      </c>
      <c r="N24" s="20">
        <f>IF('1. Yixian'!P24="","",IF('1. Yixian'!P24='2. Nayoung'!P24,1,0))</f>
        <v>1</v>
      </c>
      <c r="O24" s="20">
        <f>IF('1. Yixian'!Q24="","",IF('1. Yixian'!Q24='2. Nayoung'!Q24,1,0))</f>
        <v>1</v>
      </c>
      <c r="P24" s="20">
        <f>IF('1. Yixian'!R24="","",IF('1. Yixian'!R24='2. Nayoung'!R24,1,0))</f>
        <v>1</v>
      </c>
      <c r="Q24" s="20">
        <f>IF('1. Yixian'!S24="","",IF('1. Yixian'!S24='2. Nayoung'!S24,1,0))</f>
        <v>1</v>
      </c>
      <c r="R24" s="20">
        <f>IF('1. Yixian'!T24="","",IF('1. Yixian'!T24='2. Nayoung'!T24,1,0))</f>
        <v>1</v>
      </c>
      <c r="S24" s="20">
        <f>IF(R24="","",IF(OR('2. Nayoung'!U24="", '1. Yixian'!U24 = ""),0,1))</f>
        <v>1</v>
      </c>
      <c r="T24" s="20">
        <f>IF('1. Yixian'!V24="","",IF('1. Yixian'!V24='2. Nayoung'!V24,1,0))</f>
        <v>1</v>
      </c>
      <c r="U24" s="20">
        <f>IF('1. Yixian'!W24="","",IF('1. Yixian'!W24='2. Nayoung'!W24,1,0))</f>
        <v>1</v>
      </c>
      <c r="V24" s="20">
        <f>IF('1. Yixian'!X24="","",IF('1. Yixian'!X24='2. Nayoung'!X24,1,0))</f>
        <v>1</v>
      </c>
      <c r="W24" s="20">
        <f>IF('1. Yixian'!Y24="","",IF('1. Yixian'!Y24='2. Nayoung'!Y24,1,0))</f>
        <v>1</v>
      </c>
      <c r="X24" s="20">
        <f>IF('1. Yixian'!Z24="","",IF('1. Yixian'!Z24='2. Nayoung'!Z24,1,0))</f>
        <v>1</v>
      </c>
      <c r="Z24" s="20">
        <f>IF('1. Yixian'!AB24="","",IF('1. Yixian'!AB24='2. Nayoung'!AB24,1,0))</f>
        <v>1</v>
      </c>
      <c r="AA24" s="20">
        <f>IF('1. Yixian'!AC24="","",IF('1. Yixian'!AC24='2. Nayoung'!AC24,1,0))</f>
        <v>1</v>
      </c>
      <c r="AB24" s="20">
        <f>IF(OR('2. Nayoung'!AD24="", '1. Yixian'!AD24 = ""),0,1)</f>
        <v>1</v>
      </c>
      <c r="AC24" s="20">
        <f>IF('1. Yixian'!AE24="","",IF('1. Yixian'!AE24='2. Nayoung'!AE24,1,0))</f>
        <v>1</v>
      </c>
      <c r="AD24" s="20">
        <f>IF('1. Yixian'!AF24="","",IF('1. Yixian'!AF24='2. Nayoung'!AF24,1,0))</f>
        <v>0</v>
      </c>
      <c r="AF24" s="20">
        <f>IF('1. Yixian'!AH24="","",IF('1. Yixian'!AH24='2. Nayoung'!AH24,1,0))</f>
        <v>1</v>
      </c>
      <c r="AG24" s="20">
        <f>IF('1. Yixian'!AI24="","",IF('1. Yixian'!AI24='2. Nayoung'!AI24,1,0))</f>
        <v>1</v>
      </c>
      <c r="AH24" s="20">
        <f>IF('1. Yixian'!AJ24="","",IF('1. Yixian'!AJ24='2. Nayoung'!AJ24,1,0))</f>
        <v>1</v>
      </c>
      <c r="AI24" s="20">
        <f>IF('1. Yixian'!AK24="","",IF('1. Yixian'!AK24='2. Nayoung'!AK24,1,0))</f>
        <v>1</v>
      </c>
      <c r="AJ24" s="20">
        <f>IF('1. Yixian'!AL24="","",IF('1. Yixian'!AL24='2. Nayoung'!AL24,1,0))</f>
        <v>1</v>
      </c>
      <c r="AK24" s="20">
        <f>IF('1. Yixian'!AM24="","",IF('1. Yixian'!AM24='2. Nayoung'!AM24,1,0))</f>
        <v>1</v>
      </c>
      <c r="AL24" s="20">
        <f>IF('1. Yixian'!AT24='2. Nayoung'!AT24, 1, 0)</f>
        <v>1</v>
      </c>
      <c r="AM24" s="20">
        <f>IF('1. Yixian'!AU24='2. Nayoung'!AU24, 1, 0)</f>
        <v>1</v>
      </c>
      <c r="AN24" s="2"/>
    </row>
    <row r="25" spans="1:40" s="20" customFormat="1" ht="17" hidden="1" customHeight="1">
      <c r="A25" s="20" t="str">
        <f>IF('1. Yixian'!A25="","",IF('1. Yixian'!A25='2. Nayoung'!A25,1,0))</f>
        <v/>
      </c>
      <c r="B25" s="20" t="str">
        <f>IF('1. Yixian'!B25="","",IF(RIGHT('1. Yixian'!B25,2)=RIGHT('2. Nayoung'!B25,2),1,0))</f>
        <v/>
      </c>
      <c r="C25" s="20" t="str">
        <f>IF('1. Yixian'!C25="","",IF('1. Yixian'!C25='2. Nayoung'!C25,1,0))</f>
        <v/>
      </c>
      <c r="E25" s="20" t="str">
        <f>IF('1. Yixian'!E25="","",IF('1. Yixian'!E25='2. Nayoung'!E25,1,0))</f>
        <v/>
      </c>
      <c r="F25" s="20" t="str">
        <f>IF('1. Yixian'!F25="","",IF('1. Yixian'!F25='2. Nayoung'!F25,1,0))</f>
        <v/>
      </c>
      <c r="G25" s="20" t="str">
        <f>IF('1. Yixian'!G25="","",IF('1. Yixian'!G25='2. Nayoung'!G25,1,0))</f>
        <v/>
      </c>
      <c r="H25" s="20">
        <f>IF('1. Yixian'!J25="","",IF(RIGHT('1. Yixian'!J25,3)=RIGHT('2. Nayoung'!J25,3),1,0))</f>
        <v>0</v>
      </c>
      <c r="I25" s="20">
        <f>IF(H25="","",IF(OR('2. Nayoung'!K25="", '1. Yixian'!K25 = ""),0,1))</f>
        <v>1</v>
      </c>
      <c r="J25" s="20">
        <f>IF('1. Yixian'!L25="","",IF('1. Yixian'!L25='2. Nayoung'!L25,1,0))</f>
        <v>1</v>
      </c>
      <c r="K25" s="20">
        <f>IF('1. Yixian'!M25="","",IF('1. Yixian'!M25='2. Nayoung'!M25,1,0))</f>
        <v>1</v>
      </c>
      <c r="L25" s="20">
        <f>IF('1. Yixian'!N25="","",IF('1. Yixian'!N25='2. Nayoung'!N25,1,0))</f>
        <v>1</v>
      </c>
      <c r="M25" s="20">
        <f>IF('1. Yixian'!O25="","",IF('1. Yixian'!O25='2. Nayoung'!O25,1,0))</f>
        <v>1</v>
      </c>
      <c r="N25" s="20">
        <f>IF('1. Yixian'!P25="","",IF('1. Yixian'!P25='2. Nayoung'!P25,1,0))</f>
        <v>1</v>
      </c>
      <c r="O25" s="20">
        <f>IF('1. Yixian'!Q25="","",IF('1. Yixian'!Q25='2. Nayoung'!Q25,1,0))</f>
        <v>1</v>
      </c>
      <c r="P25" s="20">
        <f>IF('1. Yixian'!R25="","",IF('1. Yixian'!R25='2. Nayoung'!R25,1,0))</f>
        <v>1</v>
      </c>
      <c r="Q25" s="20">
        <f>IF('1. Yixian'!S25="","",IF('1. Yixian'!S25='2. Nayoung'!S25,1,0))</f>
        <v>1</v>
      </c>
      <c r="R25" s="20">
        <f>IF('1. Yixian'!T25="","",IF('1. Yixian'!T25='2. Nayoung'!T25,1,0))</f>
        <v>1</v>
      </c>
      <c r="S25" s="20">
        <f>IF(R25="","",IF(OR('2. Nayoung'!U25="", '1. Yixian'!U25 = ""),0,1))</f>
        <v>1</v>
      </c>
      <c r="T25" s="20">
        <f>IF('1. Yixian'!V25="","",IF('1. Yixian'!V25='2. Nayoung'!V25,1,0))</f>
        <v>1</v>
      </c>
      <c r="U25" s="20">
        <f>IF('1. Yixian'!W25="","",IF('1. Yixian'!W25='2. Nayoung'!W25,1,0))</f>
        <v>1</v>
      </c>
      <c r="V25" s="20">
        <f>IF('1. Yixian'!X25="","",IF('1. Yixian'!X25='2. Nayoung'!X25,1,0))</f>
        <v>1</v>
      </c>
      <c r="W25" s="20">
        <f>IF('1. Yixian'!Y25="","",IF('1. Yixian'!Y25='2. Nayoung'!Y25,1,0))</f>
        <v>1</v>
      </c>
      <c r="X25" s="20">
        <f>IF('1. Yixian'!Z25="","",IF('1. Yixian'!Z25='2. Nayoung'!Z25,1,0))</f>
        <v>1</v>
      </c>
      <c r="Z25" s="20">
        <f>IF('1. Yixian'!AB25="","",IF('1. Yixian'!AB25='2. Nayoung'!AB25,1,0))</f>
        <v>1</v>
      </c>
      <c r="AA25" s="20">
        <f>IF('1. Yixian'!AC25="","",IF('1. Yixian'!AC25='2. Nayoung'!AC25,1,0))</f>
        <v>1</v>
      </c>
      <c r="AB25" s="20">
        <f>IF(OR('2. Nayoung'!AD25="", '1. Yixian'!AD25 = ""),0,1)</f>
        <v>1</v>
      </c>
      <c r="AC25" s="20">
        <f>IF('1. Yixian'!AE25="","",IF('1. Yixian'!AE25='2. Nayoung'!AE25,1,0))</f>
        <v>1</v>
      </c>
      <c r="AD25" s="20">
        <f>IF('1. Yixian'!AF25="","",IF('1. Yixian'!AF25='2. Nayoung'!AF25,1,0))</f>
        <v>0</v>
      </c>
      <c r="AF25" s="20">
        <f>IF('1. Yixian'!AH25="","",IF('1. Yixian'!AH25='2. Nayoung'!AH25,1,0))</f>
        <v>1</v>
      </c>
      <c r="AG25" s="20">
        <f>IF('1. Yixian'!AI25="","",IF('1. Yixian'!AI25='2. Nayoung'!AI25,1,0))</f>
        <v>1</v>
      </c>
      <c r="AH25" s="20">
        <f>IF('1. Yixian'!AJ25="","",IF('1. Yixian'!AJ25='2. Nayoung'!AJ25,1,0))</f>
        <v>1</v>
      </c>
      <c r="AI25" s="20">
        <f>IF('1. Yixian'!AK25="","",IF('1. Yixian'!AK25='2. Nayoung'!AK25,1,0))</f>
        <v>1</v>
      </c>
      <c r="AJ25" s="20">
        <f>IF('1. Yixian'!AL25="","",IF('1. Yixian'!AL25='2. Nayoung'!AL25,1,0))</f>
        <v>1</v>
      </c>
      <c r="AK25" s="20">
        <f>IF('1. Yixian'!AM25="","",IF('1. Yixian'!AM25='2. Nayoung'!AM25,1,0))</f>
        <v>1</v>
      </c>
      <c r="AL25" s="20">
        <f>IF('1. Yixian'!AT25='2. Nayoung'!AT25, 1, 0)</f>
        <v>1</v>
      </c>
      <c r="AM25" s="20">
        <f>IF('1. Yixian'!AU25='2. Nayoung'!AU25, 1, 0)</f>
        <v>1</v>
      </c>
      <c r="AN25" s="2"/>
    </row>
    <row r="26" spans="1:40" s="20" customFormat="1" ht="17" hidden="1" customHeight="1">
      <c r="A26" s="20">
        <f>IF('1. Yixian'!A26="","",IF('1. Yixian'!A26='2. Nayoung'!A26,1,0))</f>
        <v>1</v>
      </c>
      <c r="B26" s="20">
        <f>IF('1. Yixian'!B26="","",IF(RIGHT('1. Yixian'!B26,2)=RIGHT('2. Nayoung'!B26,2),1,0))</f>
        <v>1</v>
      </c>
      <c r="C26" s="20">
        <f>IF('1. Yixian'!C26="","",IF('1. Yixian'!C26='2. Nayoung'!C26,1,0))</f>
        <v>1</v>
      </c>
      <c r="E26" s="20">
        <f>IF('1. Yixian'!E26="","",IF('1. Yixian'!E26='2. Nayoung'!E26,1,0))</f>
        <v>1</v>
      </c>
      <c r="F26" s="20">
        <f>IF('1. Yixian'!F26="","",IF('1. Yixian'!F26='2. Nayoung'!F26,1,0))</f>
        <v>1</v>
      </c>
      <c r="G26" s="20">
        <f>IF('1. Yixian'!G26="","",IF('1. Yixian'!G26='2. Nayoung'!G26,1,0))</f>
        <v>1</v>
      </c>
      <c r="H26" s="20">
        <f>IF('1. Yixian'!J26="","",IF(RIGHT('1. Yixian'!J26,3)=RIGHT('2. Nayoung'!J26,3),1,0))</f>
        <v>0</v>
      </c>
      <c r="I26" s="20">
        <f>IF(H26="","",IF(OR('2. Nayoung'!K26="", '1. Yixian'!K26 = ""),0,1))</f>
        <v>1</v>
      </c>
      <c r="J26" s="20">
        <f>IF('1. Yixian'!L26="","",IF('1. Yixian'!L26='2. Nayoung'!L26,1,0))</f>
        <v>1</v>
      </c>
      <c r="K26" s="20">
        <f>IF('1. Yixian'!M26="","",IF('1. Yixian'!M26='2. Nayoung'!M26,1,0))</f>
        <v>1</v>
      </c>
      <c r="L26" s="20">
        <f>IF('1. Yixian'!N26="","",IF('1. Yixian'!N26='2. Nayoung'!N26,1,0))</f>
        <v>1</v>
      </c>
      <c r="M26" s="20">
        <f>IF('1. Yixian'!O26="","",IF('1. Yixian'!O26='2. Nayoung'!O26,1,0))</f>
        <v>1</v>
      </c>
      <c r="N26" s="20">
        <f>IF('1. Yixian'!P26="","",IF('1. Yixian'!P26='2. Nayoung'!P26,1,0))</f>
        <v>1</v>
      </c>
      <c r="O26" s="20">
        <f>IF('1. Yixian'!Q26="","",IF('1. Yixian'!Q26='2. Nayoung'!Q26,1,0))</f>
        <v>1</v>
      </c>
      <c r="P26" s="20">
        <f>IF('1. Yixian'!R26="","",IF('1. Yixian'!R26='2. Nayoung'!R26,1,0))</f>
        <v>1</v>
      </c>
      <c r="Q26" s="20">
        <f>IF('1. Yixian'!S26="","",IF('1. Yixian'!S26='2. Nayoung'!S26,1,0))</f>
        <v>1</v>
      </c>
      <c r="R26" s="20">
        <f>IF('1. Yixian'!T26="","",IF('1. Yixian'!T26='2. Nayoung'!T26,1,0))</f>
        <v>1</v>
      </c>
      <c r="S26" s="20">
        <f>IF(R26="","",IF(OR('2. Nayoung'!U26="", '1. Yixian'!U26 = ""),0,1))</f>
        <v>1</v>
      </c>
      <c r="T26" s="20">
        <f>IF('1. Yixian'!V26="","",IF('1. Yixian'!V26='2. Nayoung'!V26,1,0))</f>
        <v>1</v>
      </c>
      <c r="U26" s="20">
        <f>IF('1. Yixian'!W26="","",IF('1. Yixian'!W26='2. Nayoung'!W26,1,0))</f>
        <v>1</v>
      </c>
      <c r="V26" s="20">
        <f>IF('1. Yixian'!X26="","",IF('1. Yixian'!X26='2. Nayoung'!X26,1,0))</f>
        <v>1</v>
      </c>
      <c r="W26" s="20">
        <f>IF('1. Yixian'!Y26="","",IF('1. Yixian'!Y26='2. Nayoung'!Y26,1,0))</f>
        <v>1</v>
      </c>
      <c r="X26" s="62">
        <v>1</v>
      </c>
      <c r="Y26" s="62"/>
      <c r="Z26" s="20">
        <f>IF('1. Yixian'!AB26="","",IF('1. Yixian'!AB26='2. Nayoung'!AB26,1,0))</f>
        <v>1</v>
      </c>
      <c r="AA26" s="20">
        <f>IF('1. Yixian'!AC26="","",IF('1. Yixian'!AC26='2. Nayoung'!AC26,1,0))</f>
        <v>1</v>
      </c>
      <c r="AB26" s="20">
        <f>IF(OR('2. Nayoung'!AD26="", '1. Yixian'!AD26 = ""),0,1)</f>
        <v>1</v>
      </c>
      <c r="AC26" s="20">
        <f>IF('1. Yixian'!AE26="","",IF('1. Yixian'!AE26='2. Nayoung'!AE26,1,0))</f>
        <v>1</v>
      </c>
      <c r="AD26" s="20">
        <f>IF('1. Yixian'!AF26="","",IF('1. Yixian'!AF26='2. Nayoung'!AF26,1,0))</f>
        <v>1</v>
      </c>
      <c r="AF26" s="20">
        <f>IF('1. Yixian'!AH26="","",IF('1. Yixian'!AH26='2. Nayoung'!AH26,1,0))</f>
        <v>1</v>
      </c>
      <c r="AG26" s="20">
        <f>IF('1. Yixian'!AI26="","",IF('1. Yixian'!AI26='2. Nayoung'!AI26,1,0))</f>
        <v>1</v>
      </c>
      <c r="AH26" s="20">
        <f>IF('1. Yixian'!AJ26="","",IF('1. Yixian'!AJ26='2. Nayoung'!AJ26,1,0))</f>
        <v>1</v>
      </c>
      <c r="AI26" s="20">
        <f>IF('1. Yixian'!AK26="","",IF('1. Yixian'!AK26='2. Nayoung'!AK26,1,0))</f>
        <v>1</v>
      </c>
      <c r="AJ26" s="20">
        <f>IF('1. Yixian'!AL26="","",IF('1. Yixian'!AL26='2. Nayoung'!AL26,1,0))</f>
        <v>1</v>
      </c>
      <c r="AK26" s="20">
        <f>IF('1. Yixian'!AM26="","",IF('1. Yixian'!AM26='2. Nayoung'!AM26,1,0))</f>
        <v>1</v>
      </c>
      <c r="AL26" s="20">
        <f>IF('1. Yixian'!AT26='2. Nayoung'!AT26, 1, 0)</f>
        <v>1</v>
      </c>
      <c r="AM26" s="20">
        <f>IF('1. Yixian'!AU26='2. Nayoung'!AU26, 1, 0)</f>
        <v>1</v>
      </c>
      <c r="AN26" s="2"/>
    </row>
    <row r="27" spans="1:40" s="20" customFormat="1" ht="17" hidden="1" customHeight="1">
      <c r="A27" s="20" t="str">
        <f>IF('1. Yixian'!A27="","",IF('1. Yixian'!A27='2. Nayoung'!A27,1,0))</f>
        <v/>
      </c>
      <c r="B27" s="20" t="str">
        <f>IF('1. Yixian'!B27="","",IF(RIGHT('1. Yixian'!B27,2)=RIGHT('2. Nayoung'!B27,2),1,0))</f>
        <v/>
      </c>
      <c r="C27" s="20" t="str">
        <f>IF('1. Yixian'!C27="","",IF('1. Yixian'!C27='2. Nayoung'!C27,1,0))</f>
        <v/>
      </c>
      <c r="E27" s="20" t="str">
        <f>IF('1. Yixian'!E27="","",IF('1. Yixian'!E27='2. Nayoung'!E27,1,0))</f>
        <v/>
      </c>
      <c r="F27" s="20" t="str">
        <f>IF('1. Yixian'!F27="","",IF('1. Yixian'!F27='2. Nayoung'!F27,1,0))</f>
        <v/>
      </c>
      <c r="G27" s="20" t="str">
        <f>IF('1. Yixian'!G27="","",IF('1. Yixian'!G27='2. Nayoung'!G27,1,0))</f>
        <v/>
      </c>
      <c r="H27" s="20" t="str">
        <f>IF('1. Yixian'!J27="","",IF(RIGHT('1. Yixian'!J27,3)=RIGHT('2. Nayoung'!J27,3),1,0))</f>
        <v/>
      </c>
      <c r="I27" s="20" t="str">
        <f>IF(H27="","",IF(OR('2. Nayoung'!K27="", '1. Yixian'!K27 = ""),0,1))</f>
        <v/>
      </c>
      <c r="J27" s="20" t="str">
        <f>IF('1. Yixian'!L27="","",IF('1. Yixian'!L27='2. Nayoung'!L27,1,0))</f>
        <v/>
      </c>
      <c r="K27" s="20" t="str">
        <f>IF('1. Yixian'!M27="","",IF('1. Yixian'!M27='2. Nayoung'!M27,1,0))</f>
        <v/>
      </c>
      <c r="L27" s="20" t="str">
        <f>IF('1. Yixian'!N27="","",IF('1. Yixian'!N27='2. Nayoung'!N27,1,0))</f>
        <v/>
      </c>
      <c r="M27" s="20" t="str">
        <f>IF('1. Yixian'!O27="","",IF('1. Yixian'!O27='2. Nayoung'!O27,1,0))</f>
        <v/>
      </c>
      <c r="N27" s="20" t="str">
        <f>IF('1. Yixian'!P27="","",IF('1. Yixian'!P27='2. Nayoung'!P27,1,0))</f>
        <v/>
      </c>
      <c r="O27" s="20" t="str">
        <f>IF('1. Yixian'!Q27="","",IF('1. Yixian'!Q27='2. Nayoung'!Q27,1,0))</f>
        <v/>
      </c>
      <c r="P27" s="20" t="str">
        <f>IF('1. Yixian'!R27="","",IF('1. Yixian'!R27='2. Nayoung'!R27,1,0))</f>
        <v/>
      </c>
      <c r="Q27" s="20" t="str">
        <f>IF('1. Yixian'!S27="","",IF('1. Yixian'!S27='2. Nayoung'!S27,1,0))</f>
        <v/>
      </c>
      <c r="R27" s="20" t="str">
        <f>IF('1. Yixian'!T27="","",IF('1. Yixian'!T27='2. Nayoung'!T27,1,0))</f>
        <v/>
      </c>
      <c r="S27" s="20" t="str">
        <f>IF(R27="","",IF(OR('2. Nayoung'!U27="", '1. Yixian'!U27 = ""),0,1))</f>
        <v/>
      </c>
      <c r="T27" s="20" t="str">
        <f>IF('1. Yixian'!V27="","",IF('1. Yixian'!V27='2. Nayoung'!V27,1,0))</f>
        <v/>
      </c>
      <c r="U27" s="20" t="str">
        <f>IF('1. Yixian'!W27="","",IF('1. Yixian'!W27='2. Nayoung'!W27,1,0))</f>
        <v/>
      </c>
      <c r="V27" s="20" t="str">
        <f>IF('1. Yixian'!X27="","",IF('1. Yixian'!X27='2. Nayoung'!X27,1,0))</f>
        <v/>
      </c>
      <c r="W27" s="20" t="str">
        <f>IF('1. Yixian'!Y27="","",IF('1. Yixian'!Y27='2. Nayoung'!Y27,1,0))</f>
        <v/>
      </c>
      <c r="X27" s="20" t="str">
        <f>IF('1. Yixian'!Z27="","",IF('1. Yixian'!Z27='2. Nayoung'!Z27,1,0))</f>
        <v/>
      </c>
      <c r="Z27" s="20" t="str">
        <f>IF('1. Yixian'!AB27="","",IF('1. Yixian'!AB27='2. Nayoung'!AB27,1,0))</f>
        <v/>
      </c>
      <c r="AA27" s="20" t="str">
        <f>IF('1. Yixian'!AC27="","",IF('1. Yixian'!AC27='2. Nayoung'!AC27,1,0))</f>
        <v/>
      </c>
      <c r="AB27" s="20">
        <f>IF(OR('2. Nayoung'!AD27="", '1. Yixian'!AD27 = ""),0,1)</f>
        <v>1</v>
      </c>
      <c r="AC27" s="20">
        <f>IF('1. Yixian'!AE27="","",IF('1. Yixian'!AE27='2. Nayoung'!AE27,1,0))</f>
        <v>1</v>
      </c>
      <c r="AD27" s="20">
        <f>IF('1. Yixian'!AF27="","",IF('1. Yixian'!AF27='2. Nayoung'!AF27,1,0))</f>
        <v>0</v>
      </c>
      <c r="AF27" s="62">
        <v>1</v>
      </c>
      <c r="AG27" s="62">
        <v>1</v>
      </c>
      <c r="AH27" s="62">
        <v>1</v>
      </c>
      <c r="AI27" s="20">
        <f>IF('1. Yixian'!AK27="","",IF('1. Yixian'!AK27='2. Nayoung'!AK27,1,0))</f>
        <v>1</v>
      </c>
      <c r="AJ27" s="20">
        <f>IF('1. Yixian'!AL27="","",IF('1. Yixian'!AL27='2. Nayoung'!AL27,1,0))</f>
        <v>1</v>
      </c>
      <c r="AK27" s="20">
        <f>IF('1. Yixian'!AM27="","",IF('1. Yixian'!AM27='2. Nayoung'!AM27,1,0))</f>
        <v>1</v>
      </c>
      <c r="AL27" s="20">
        <f>IF('1. Yixian'!AT27='2. Nayoung'!AT27, 1, 0)</f>
        <v>1</v>
      </c>
      <c r="AM27" s="20">
        <f>IF('1. Yixian'!AU27='2. Nayoung'!AU27, 1, 0)</f>
        <v>1</v>
      </c>
      <c r="AN27" s="2"/>
    </row>
    <row r="28" spans="1:40" s="20" customFormat="1" ht="17" hidden="1" customHeight="1">
      <c r="A28" s="20" t="str">
        <f>IF('1. Yixian'!A28="","",IF('1. Yixian'!A28='2. Nayoung'!A28,1,0))</f>
        <v/>
      </c>
      <c r="B28" s="20" t="str">
        <f>IF('1. Yixian'!B28="","",IF(RIGHT('1. Yixian'!B28,2)=RIGHT('2. Nayoung'!B28,2),1,0))</f>
        <v/>
      </c>
      <c r="C28" s="20" t="str">
        <f>IF('1. Yixian'!C28="","",IF('1. Yixian'!C28='2. Nayoung'!C28,1,0))</f>
        <v/>
      </c>
      <c r="E28" s="20" t="str">
        <f>IF('1. Yixian'!E28="","",IF('1. Yixian'!E28='2. Nayoung'!E28,1,0))</f>
        <v/>
      </c>
      <c r="F28" s="20" t="str">
        <f>IF('1. Yixian'!F28="","",IF('1. Yixian'!F28='2. Nayoung'!F28,1,0))</f>
        <v/>
      </c>
      <c r="G28" s="20" t="str">
        <f>IF('1. Yixian'!G28="","",IF('1. Yixian'!G28='2. Nayoung'!G28,1,0))</f>
        <v/>
      </c>
      <c r="H28" s="20">
        <f>IF('1. Yixian'!J28="","",IF(RIGHT('1. Yixian'!J28,3)=RIGHT('2. Nayoung'!J28,3),1,0))</f>
        <v>0</v>
      </c>
      <c r="I28" s="20">
        <f>IF(H28="","",IF(OR('2. Nayoung'!K28="", '1. Yixian'!K28 = ""),0,1))</f>
        <v>1</v>
      </c>
      <c r="J28" s="20">
        <f>IF('1. Yixian'!L28="","",IF('1. Yixian'!L28='2. Nayoung'!L28,1,0))</f>
        <v>1</v>
      </c>
      <c r="K28" s="20">
        <f>IF('1. Yixian'!M28="","",IF('1. Yixian'!M28='2. Nayoung'!M28,1,0))</f>
        <v>1</v>
      </c>
      <c r="L28" s="20">
        <f>IF('1. Yixian'!N28="","",IF('1. Yixian'!N28='2. Nayoung'!N28,1,0))</f>
        <v>1</v>
      </c>
      <c r="M28" s="20">
        <f>IF('1. Yixian'!O28="","",IF('1. Yixian'!O28='2. Nayoung'!O28,1,0))</f>
        <v>1</v>
      </c>
      <c r="N28" s="20">
        <f>IF('1. Yixian'!P28="","",IF('1. Yixian'!P28='2. Nayoung'!P28,1,0))</f>
        <v>1</v>
      </c>
      <c r="O28" s="20">
        <f>IF('1. Yixian'!Q28="","",IF('1. Yixian'!Q28='2. Nayoung'!Q28,1,0))</f>
        <v>1</v>
      </c>
      <c r="P28" s="20">
        <f>IF('1. Yixian'!R28="","",IF('1. Yixian'!R28='2. Nayoung'!R28,1,0))</f>
        <v>1</v>
      </c>
      <c r="Q28" s="20">
        <f>IF('1. Yixian'!S28="","",IF('1. Yixian'!S28='2. Nayoung'!S28,1,0))</f>
        <v>1</v>
      </c>
      <c r="R28" s="20">
        <f>IF('1. Yixian'!T28="","",IF('1. Yixian'!T28='2. Nayoung'!T28,1,0))</f>
        <v>1</v>
      </c>
      <c r="S28" s="20">
        <f>IF(R28="","",IF(OR('2. Nayoung'!U28="", '1. Yixian'!U28 = ""),0,1))</f>
        <v>1</v>
      </c>
      <c r="T28" s="20">
        <f>IF('1. Yixian'!V28="","",IF('1. Yixian'!V28='2. Nayoung'!V28,1,0))</f>
        <v>1</v>
      </c>
      <c r="U28" s="20">
        <f>IF('1. Yixian'!W28="","",IF('1. Yixian'!W28='2. Nayoung'!W28,1,0))</f>
        <v>1</v>
      </c>
      <c r="V28" s="20">
        <f>IF('1. Yixian'!X28="","",IF('1. Yixian'!X28='2. Nayoung'!X28,1,0))</f>
        <v>1</v>
      </c>
      <c r="W28" s="20">
        <f>IF('1. Yixian'!Y28="","",IF('1. Yixian'!Y28='2. Nayoung'!Y28,1,0))</f>
        <v>1</v>
      </c>
      <c r="X28" s="62">
        <v>1</v>
      </c>
      <c r="Y28" s="62"/>
      <c r="Z28" s="20">
        <f>IF('1. Yixian'!AB28="","",IF('1. Yixian'!AB28='2. Nayoung'!AB28,1,0))</f>
        <v>1</v>
      </c>
      <c r="AA28" s="20">
        <f>IF('1. Yixian'!AC28="","",IF('1. Yixian'!AC28='2. Nayoung'!AC28,1,0))</f>
        <v>1</v>
      </c>
      <c r="AB28" s="20">
        <f>IF(OR('2. Nayoung'!AD28="", '1. Yixian'!AD28 = ""),0,1)</f>
        <v>1</v>
      </c>
      <c r="AC28" s="20">
        <f>IF('1. Yixian'!AE28="","",IF('1. Yixian'!AE28='2. Nayoung'!AE28,1,0))</f>
        <v>1</v>
      </c>
      <c r="AD28" s="20">
        <f>IF('1. Yixian'!AF28="","",IF('1. Yixian'!AF28='2. Nayoung'!AF28,1,0))</f>
        <v>0</v>
      </c>
      <c r="AF28" s="20">
        <f>IF('1. Yixian'!AH28="","",IF('1. Yixian'!AH28='2. Nayoung'!AH28,1,0))</f>
        <v>1</v>
      </c>
      <c r="AG28" s="20">
        <f>IF('1. Yixian'!AI28="","",IF('1. Yixian'!AI28='2. Nayoung'!AI28,1,0))</f>
        <v>1</v>
      </c>
      <c r="AH28" s="20">
        <f>IF('1. Yixian'!AJ28="","",IF('1. Yixian'!AJ28='2. Nayoung'!AJ28,1,0))</f>
        <v>1</v>
      </c>
      <c r="AI28" s="20">
        <f>IF('1. Yixian'!AK28="","",IF('1. Yixian'!AK28='2. Nayoung'!AK28,1,0))</f>
        <v>1</v>
      </c>
      <c r="AJ28" s="20">
        <f>IF('1. Yixian'!AL28="","",IF('1. Yixian'!AL28='2. Nayoung'!AL28,1,0))</f>
        <v>1</v>
      </c>
      <c r="AK28" s="20">
        <f>IF('1. Yixian'!AM28="","",IF('1. Yixian'!AM28='2. Nayoung'!AM28,1,0))</f>
        <v>1</v>
      </c>
      <c r="AL28" s="20">
        <f>IF('1. Yixian'!AT28='2. Nayoung'!AT28, 1, 0)</f>
        <v>1</v>
      </c>
      <c r="AM28" s="20">
        <f>IF('1. Yixian'!AU28='2. Nayoung'!AU28, 1, 0)</f>
        <v>1</v>
      </c>
      <c r="AN28" s="2"/>
    </row>
    <row r="29" spans="1:40" s="20" customFormat="1" ht="17" hidden="1" customHeight="1">
      <c r="A29" s="20" t="str">
        <f>IF('1. Yixian'!A29="","",IF('1. Yixian'!A29='2. Nayoung'!A29,1,0))</f>
        <v/>
      </c>
      <c r="B29" s="20" t="str">
        <f>IF('1. Yixian'!B29="","",IF(RIGHT('1. Yixian'!B29,2)=RIGHT('2. Nayoung'!B29,2),1,0))</f>
        <v/>
      </c>
      <c r="C29" s="20" t="str">
        <f>IF('1. Yixian'!C29="","",IF('1. Yixian'!C29='2. Nayoung'!C29,1,0))</f>
        <v/>
      </c>
      <c r="E29" s="20" t="str">
        <f>IF('1. Yixian'!E29="","",IF('1. Yixian'!E29='2. Nayoung'!E29,1,0))</f>
        <v/>
      </c>
      <c r="F29" s="20" t="str">
        <f>IF('1. Yixian'!F29="","",IF('1. Yixian'!F29='2. Nayoung'!F29,1,0))</f>
        <v/>
      </c>
      <c r="G29" s="20" t="str">
        <f>IF('1. Yixian'!G29="","",IF('1. Yixian'!G29='2. Nayoung'!G29,1,0))</f>
        <v/>
      </c>
      <c r="H29" s="20" t="str">
        <f>IF('1. Yixian'!J29="","",IF(RIGHT('1. Yixian'!J29,3)=RIGHT('2. Nayoung'!J29,3),1,0))</f>
        <v/>
      </c>
      <c r="I29" s="20" t="str">
        <f>IF(H29="","",IF(OR('2. Nayoung'!K29="", '1. Yixian'!K29 = ""),0,1))</f>
        <v/>
      </c>
      <c r="J29" s="20" t="str">
        <f>IF('1. Yixian'!L29="","",IF('1. Yixian'!L29='2. Nayoung'!L29,1,0))</f>
        <v/>
      </c>
      <c r="K29" s="20" t="str">
        <f>IF('1. Yixian'!M29="","",IF('1. Yixian'!M29='2. Nayoung'!M29,1,0))</f>
        <v/>
      </c>
      <c r="L29" s="20" t="str">
        <f>IF('1. Yixian'!N29="","",IF('1. Yixian'!N29='2. Nayoung'!N29,1,0))</f>
        <v/>
      </c>
      <c r="M29" s="20" t="str">
        <f>IF('1. Yixian'!O29="","",IF('1. Yixian'!O29='2. Nayoung'!O29,1,0))</f>
        <v/>
      </c>
      <c r="N29" s="20" t="str">
        <f>IF('1. Yixian'!P29="","",IF('1. Yixian'!P29='2. Nayoung'!P29,1,0))</f>
        <v/>
      </c>
      <c r="O29" s="20" t="str">
        <f>IF('1. Yixian'!Q29="","",IF('1. Yixian'!Q29='2. Nayoung'!Q29,1,0))</f>
        <v/>
      </c>
      <c r="P29" s="20" t="str">
        <f>IF('1. Yixian'!R29="","",IF('1. Yixian'!R29='2. Nayoung'!R29,1,0))</f>
        <v/>
      </c>
      <c r="Q29" s="20" t="str">
        <f>IF('1. Yixian'!S29="","",IF('1. Yixian'!S29='2. Nayoung'!S29,1,0))</f>
        <v/>
      </c>
      <c r="R29" s="20" t="str">
        <f>IF('1. Yixian'!T29="","",IF('1. Yixian'!T29='2. Nayoung'!T29,1,0))</f>
        <v/>
      </c>
      <c r="S29" s="20" t="str">
        <f>IF(R29="","",IF(OR('2. Nayoung'!U29="", '1. Yixian'!U29 = ""),0,1))</f>
        <v/>
      </c>
      <c r="T29" s="20" t="str">
        <f>IF('1. Yixian'!V29="","",IF('1. Yixian'!V29='2. Nayoung'!V29,1,0))</f>
        <v/>
      </c>
      <c r="U29" s="20" t="str">
        <f>IF('1. Yixian'!W29="","",IF('1. Yixian'!W29='2. Nayoung'!W29,1,0))</f>
        <v/>
      </c>
      <c r="V29" s="20" t="str">
        <f>IF('1. Yixian'!X29="","",IF('1. Yixian'!X29='2. Nayoung'!X29,1,0))</f>
        <v/>
      </c>
      <c r="W29" s="20" t="str">
        <f>IF('1. Yixian'!Y29="","",IF('1. Yixian'!Y29='2. Nayoung'!Y29,1,0))</f>
        <v/>
      </c>
      <c r="X29" s="20" t="str">
        <f>IF('1. Yixian'!Z29="","",IF('1. Yixian'!Z29='2. Nayoung'!Z29,1,0))</f>
        <v/>
      </c>
      <c r="Z29" s="20" t="str">
        <f>IF('1. Yixian'!AB29="","",IF('1. Yixian'!AB29='2. Nayoung'!AB29,1,0))</f>
        <v/>
      </c>
      <c r="AA29" s="20" t="str">
        <f>IF('1. Yixian'!AC29="","",IF('1. Yixian'!AC29='2. Nayoung'!AC29,1,0))</f>
        <v/>
      </c>
      <c r="AB29" s="20">
        <f>IF(OR('2. Nayoung'!AD29="", '1. Yixian'!AD29 = ""),0,1)</f>
        <v>1</v>
      </c>
      <c r="AC29" s="20">
        <f>IF('1. Yixian'!AE29="","",IF('1. Yixian'!AE29='2. Nayoung'!AE29,1,0))</f>
        <v>1</v>
      </c>
      <c r="AD29" s="20">
        <f>IF('1. Yixian'!AF29="","",IF('1. Yixian'!AF29='2. Nayoung'!AF29,1,0))</f>
        <v>0</v>
      </c>
      <c r="AF29" s="62">
        <v>1</v>
      </c>
      <c r="AG29" s="62">
        <v>1</v>
      </c>
      <c r="AH29" s="62">
        <v>1</v>
      </c>
      <c r="AI29" s="20">
        <f>IF('1. Yixian'!AK29="","",IF('1. Yixian'!AK29='2. Nayoung'!AK29,1,0))</f>
        <v>1</v>
      </c>
      <c r="AJ29" s="20">
        <f>IF('1. Yixian'!AL29="","",IF('1. Yixian'!AL29='2. Nayoung'!AL29,1,0))</f>
        <v>1</v>
      </c>
      <c r="AK29" s="20">
        <f>IF('1. Yixian'!AM29="","",IF('1. Yixian'!AM29='2. Nayoung'!AM29,1,0))</f>
        <v>1</v>
      </c>
      <c r="AL29" s="20">
        <f>IF('1. Yixian'!AT29='2. Nayoung'!AT29, 1, 0)</f>
        <v>1</v>
      </c>
      <c r="AM29" s="20">
        <f>IF('1. Yixian'!AU29='2. Nayoung'!AU29, 1, 0)</f>
        <v>1</v>
      </c>
      <c r="AN29" s="2"/>
    </row>
    <row r="30" spans="1:40" s="20" customFormat="1" ht="17" hidden="1" customHeight="1">
      <c r="A30" s="20" t="str">
        <f>IF('1. Yixian'!A30="","",IF('1. Yixian'!A30='2. Nayoung'!A30,1,0))</f>
        <v/>
      </c>
      <c r="B30" s="20" t="str">
        <f>IF('1. Yixian'!B30="","",IF(RIGHT('1. Yixian'!B30,2)=RIGHT('2. Nayoung'!B30,2),1,0))</f>
        <v/>
      </c>
      <c r="C30" s="20" t="str">
        <f>IF('1. Yixian'!C30="","",IF('1. Yixian'!C30='2. Nayoung'!C30,1,0))</f>
        <v/>
      </c>
      <c r="E30" s="20" t="str">
        <f>IF('1. Yixian'!E30="","",IF('1. Yixian'!E30='2. Nayoung'!E30,1,0))</f>
        <v/>
      </c>
      <c r="F30" s="20" t="str">
        <f>IF('1. Yixian'!F30="","",IF('1. Yixian'!F30='2. Nayoung'!F30,1,0))</f>
        <v/>
      </c>
      <c r="G30" s="20" t="str">
        <f>IF('1. Yixian'!G30="","",IF('1. Yixian'!G30='2. Nayoung'!G30,1,0))</f>
        <v/>
      </c>
      <c r="H30" s="20">
        <f>IF('1. Yixian'!J30="","",IF(RIGHT('1. Yixian'!J30,3)=RIGHT('2. Nayoung'!J30,3),1,0))</f>
        <v>0</v>
      </c>
      <c r="I30" s="20">
        <f>IF(H30="","",IF(OR('2. Nayoung'!K30="", '1. Yixian'!K30 = ""),0,1))</f>
        <v>1</v>
      </c>
      <c r="J30" s="20">
        <f>IF('1. Yixian'!L30="","",IF('1. Yixian'!L30='2. Nayoung'!L30,1,0))</f>
        <v>1</v>
      </c>
      <c r="K30" s="20">
        <f>IF('1. Yixian'!M30="","",IF('1. Yixian'!M30='2. Nayoung'!M30,1,0))</f>
        <v>1</v>
      </c>
      <c r="L30" s="20">
        <f>IF('1. Yixian'!N30="","",IF('1. Yixian'!N30='2. Nayoung'!N30,1,0))</f>
        <v>1</v>
      </c>
      <c r="M30" s="20">
        <f>IF('1. Yixian'!O30="","",IF('1. Yixian'!O30='2. Nayoung'!O30,1,0))</f>
        <v>1</v>
      </c>
      <c r="N30" s="20">
        <f>IF('1. Yixian'!P30="","",IF('1. Yixian'!P30='2. Nayoung'!P30,1,0))</f>
        <v>1</v>
      </c>
      <c r="O30" s="20">
        <f>IF('1. Yixian'!Q30="","",IF('1. Yixian'!Q30='2. Nayoung'!Q30,1,0))</f>
        <v>1</v>
      </c>
      <c r="P30" s="20">
        <f>IF('1. Yixian'!R30="","",IF('1. Yixian'!R30='2. Nayoung'!R30,1,0))</f>
        <v>1</v>
      </c>
      <c r="Q30" s="20">
        <f>IF('1. Yixian'!S30="","",IF('1. Yixian'!S30='2. Nayoung'!S30,1,0))</f>
        <v>1</v>
      </c>
      <c r="R30" s="20">
        <f>IF('1. Yixian'!T30="","",IF('1. Yixian'!T30='2. Nayoung'!T30,1,0))</f>
        <v>1</v>
      </c>
      <c r="S30" s="20">
        <f>IF(R30="","",IF(OR('2. Nayoung'!U30="", '1. Yixian'!U30 = ""),0,1))</f>
        <v>1</v>
      </c>
      <c r="T30" s="20">
        <f>IF('1. Yixian'!V30="","",IF('1. Yixian'!V30='2. Nayoung'!V30,1,0))</f>
        <v>1</v>
      </c>
      <c r="U30" s="20">
        <f>IF('1. Yixian'!W30="","",IF('1. Yixian'!W30='2. Nayoung'!W30,1,0))</f>
        <v>1</v>
      </c>
      <c r="V30" s="20">
        <f>IF('1. Yixian'!X30="","",IF('1. Yixian'!X30='2. Nayoung'!X30,1,0))</f>
        <v>1</v>
      </c>
      <c r="W30" s="20">
        <f>IF('1. Yixian'!Y30="","",IF('1. Yixian'!Y30='2. Nayoung'!Y30,1,0))</f>
        <v>1</v>
      </c>
      <c r="X30" s="62">
        <v>1</v>
      </c>
      <c r="Y30" s="62"/>
      <c r="Z30" s="20">
        <f>IF('1. Yixian'!AB30="","",IF('1. Yixian'!AB30='2. Nayoung'!AB30,1,0))</f>
        <v>1</v>
      </c>
      <c r="AA30" s="20">
        <f>IF('1. Yixian'!AC30="","",IF('1. Yixian'!AC30='2. Nayoung'!AC30,1,0))</f>
        <v>1</v>
      </c>
      <c r="AB30" s="20">
        <f>IF(OR('2. Nayoung'!AD30="", '1. Yixian'!AD30 = ""),0,1)</f>
        <v>1</v>
      </c>
      <c r="AC30" s="20">
        <f>IF('1. Yixian'!AE30="","",IF('1. Yixian'!AE30='2. Nayoung'!AE30,1,0))</f>
        <v>1</v>
      </c>
      <c r="AD30" s="20">
        <f>IF('1. Yixian'!AF30="","",IF('1. Yixian'!AF30='2. Nayoung'!AF30,1,0))</f>
        <v>0</v>
      </c>
      <c r="AF30" s="20">
        <f>IF('1. Yixian'!AH30="","",IF('1. Yixian'!AH30='2. Nayoung'!AH30,1,0))</f>
        <v>1</v>
      </c>
      <c r="AG30" s="20">
        <f>IF('1. Yixian'!AI30="","",IF('1. Yixian'!AI30='2. Nayoung'!AI30,1,0))</f>
        <v>1</v>
      </c>
      <c r="AH30" s="20">
        <f>IF('1. Yixian'!AJ30="","",IF('1. Yixian'!AJ30='2. Nayoung'!AJ30,1,0))</f>
        <v>1</v>
      </c>
      <c r="AI30" s="20">
        <f>IF('1. Yixian'!AK30="","",IF('1. Yixian'!AK30='2. Nayoung'!AK30,1,0))</f>
        <v>1</v>
      </c>
      <c r="AJ30" s="20">
        <f>IF('1. Yixian'!AL30="","",IF('1. Yixian'!AL30='2. Nayoung'!AL30,1,0))</f>
        <v>1</v>
      </c>
      <c r="AK30" s="20">
        <f>IF('1. Yixian'!AM30="","",IF('1. Yixian'!AM30='2. Nayoung'!AM30,1,0))</f>
        <v>1</v>
      </c>
      <c r="AL30" s="20">
        <f>IF('1. Yixian'!AT30='2. Nayoung'!AT30, 1, 0)</f>
        <v>1</v>
      </c>
      <c r="AM30" s="20">
        <f>IF('1. Yixian'!AU30='2. Nayoung'!AU30, 1, 0)</f>
        <v>1</v>
      </c>
      <c r="AN30" s="2"/>
    </row>
    <row r="31" spans="1:40" s="20" customFormat="1" ht="17" hidden="1" customHeight="1">
      <c r="A31" s="20" t="str">
        <f>IF('1. Yixian'!A31="","",IF('1. Yixian'!A31='2. Nayoung'!A31,1,0))</f>
        <v/>
      </c>
      <c r="B31" s="20" t="str">
        <f>IF('1. Yixian'!B31="","",IF(RIGHT('1. Yixian'!B31,2)=RIGHT('2. Nayoung'!B31,2),1,0))</f>
        <v/>
      </c>
      <c r="C31" s="20" t="str">
        <f>IF('1. Yixian'!C31="","",IF('1. Yixian'!C31='2. Nayoung'!C31,1,0))</f>
        <v/>
      </c>
      <c r="E31" s="20" t="str">
        <f>IF('1. Yixian'!E31="","",IF('1. Yixian'!E31='2. Nayoung'!E31,1,0))</f>
        <v/>
      </c>
      <c r="F31" s="20" t="str">
        <f>IF('1. Yixian'!F31="","",IF('1. Yixian'!F31='2. Nayoung'!F31,1,0))</f>
        <v/>
      </c>
      <c r="G31" s="20" t="str">
        <f>IF('1. Yixian'!G31="","",IF('1. Yixian'!G31='2. Nayoung'!G31,1,0))</f>
        <v/>
      </c>
      <c r="H31" s="20" t="str">
        <f>IF('1. Yixian'!J31="","",IF(RIGHT('1. Yixian'!J31,3)=RIGHT('2. Nayoung'!J31,3),1,0))</f>
        <v/>
      </c>
      <c r="I31" s="20" t="str">
        <f>IF(H31="","",IF(OR('2. Nayoung'!K31="", '1. Yixian'!K31 = ""),0,1))</f>
        <v/>
      </c>
      <c r="J31" s="20" t="str">
        <f>IF('1. Yixian'!L31="","",IF('1. Yixian'!L31='2. Nayoung'!L31,1,0))</f>
        <v/>
      </c>
      <c r="K31" s="20" t="str">
        <f>IF('1. Yixian'!M31="","",IF('1. Yixian'!M31='2. Nayoung'!M31,1,0))</f>
        <v/>
      </c>
      <c r="L31" s="20" t="str">
        <f>IF('1. Yixian'!N31="","",IF('1. Yixian'!N31='2. Nayoung'!N31,1,0))</f>
        <v/>
      </c>
      <c r="M31" s="20" t="str">
        <f>IF('1. Yixian'!O31="","",IF('1. Yixian'!O31='2. Nayoung'!O31,1,0))</f>
        <v/>
      </c>
      <c r="N31" s="20" t="str">
        <f>IF('1. Yixian'!P31="","",IF('1. Yixian'!P31='2. Nayoung'!P31,1,0))</f>
        <v/>
      </c>
      <c r="O31" s="20" t="str">
        <f>IF('1. Yixian'!Q31="","",IF('1. Yixian'!Q31='2. Nayoung'!Q31,1,0))</f>
        <v/>
      </c>
      <c r="P31" s="20" t="str">
        <f>IF('1. Yixian'!R31="","",IF('1. Yixian'!R31='2. Nayoung'!R31,1,0))</f>
        <v/>
      </c>
      <c r="Q31" s="20" t="str">
        <f>IF('1. Yixian'!S31="","",IF('1. Yixian'!S31='2. Nayoung'!S31,1,0))</f>
        <v/>
      </c>
      <c r="R31" s="20" t="str">
        <f>IF('1. Yixian'!T31="","",IF('1. Yixian'!T31='2. Nayoung'!T31,1,0))</f>
        <v/>
      </c>
      <c r="S31" s="20" t="str">
        <f>IF(R31="","",IF(OR('2. Nayoung'!U31="", '1. Yixian'!U31 = ""),0,1))</f>
        <v/>
      </c>
      <c r="T31" s="20" t="str">
        <f>IF('1. Yixian'!V31="","",IF('1. Yixian'!V31='2. Nayoung'!V31,1,0))</f>
        <v/>
      </c>
      <c r="U31" s="20" t="str">
        <f>IF('1. Yixian'!W31="","",IF('1. Yixian'!W31='2. Nayoung'!W31,1,0))</f>
        <v/>
      </c>
      <c r="V31" s="20" t="str">
        <f>IF('1. Yixian'!X31="","",IF('1. Yixian'!X31='2. Nayoung'!X31,1,0))</f>
        <v/>
      </c>
      <c r="W31" s="20" t="str">
        <f>IF('1. Yixian'!Y31="","",IF('1. Yixian'!Y31='2. Nayoung'!Y31,1,0))</f>
        <v/>
      </c>
      <c r="X31" s="20" t="str">
        <f>IF('1. Yixian'!Z31="","",IF('1. Yixian'!Z31='2. Nayoung'!Z31,1,0))</f>
        <v/>
      </c>
      <c r="Z31" s="20" t="str">
        <f>IF('1. Yixian'!AB31="","",IF('1. Yixian'!AB31='2. Nayoung'!AB31,1,0))</f>
        <v/>
      </c>
      <c r="AA31" s="20" t="str">
        <f>IF('1. Yixian'!AC31="","",IF('1. Yixian'!AC31='2. Nayoung'!AC31,1,0))</f>
        <v/>
      </c>
      <c r="AB31" s="20">
        <f>IF(OR('2. Nayoung'!AD31="", '1. Yixian'!AD31 = ""),0,1)</f>
        <v>1</v>
      </c>
      <c r="AC31" s="20">
        <f>IF('1. Yixian'!AE31="","",IF('1. Yixian'!AE31='2. Nayoung'!AE31,1,0))</f>
        <v>1</v>
      </c>
      <c r="AD31" s="20">
        <f>IF('1. Yixian'!AF31="","",IF('1. Yixian'!AF31='2. Nayoung'!AF31,1,0))</f>
        <v>0</v>
      </c>
      <c r="AF31" s="62">
        <v>1</v>
      </c>
      <c r="AG31" s="62">
        <v>1</v>
      </c>
      <c r="AH31" s="62">
        <v>1</v>
      </c>
      <c r="AI31" s="20">
        <f>IF('1. Yixian'!AK31="","",IF('1. Yixian'!AK31='2. Nayoung'!AK31,1,0))</f>
        <v>1</v>
      </c>
      <c r="AJ31" s="20">
        <f>IF('1. Yixian'!AL31="","",IF('1. Yixian'!AL31='2. Nayoung'!AL31,1,0))</f>
        <v>1</v>
      </c>
      <c r="AK31" s="20">
        <f>IF('1. Yixian'!AM31="","",IF('1. Yixian'!AM31='2. Nayoung'!AM31,1,0))</f>
        <v>1</v>
      </c>
      <c r="AL31" s="20">
        <f>IF('1. Yixian'!AT31='2. Nayoung'!AT31, 1, 0)</f>
        <v>1</v>
      </c>
      <c r="AM31" s="20">
        <f>IF('1. Yixian'!AU31='2. Nayoung'!AU31, 1, 0)</f>
        <v>1</v>
      </c>
      <c r="AN31" s="2"/>
    </row>
    <row r="32" spans="1:40" s="20" customFormat="1" ht="17" hidden="1" customHeight="1">
      <c r="A32" s="20" t="str">
        <f>IF('1. Yixian'!A32="","",IF('1. Yixian'!A32='2. Nayoung'!A32,1,0))</f>
        <v/>
      </c>
      <c r="B32" s="20" t="str">
        <f>IF('1. Yixian'!B32="","",IF(RIGHT('1. Yixian'!B32,2)=RIGHT('2. Nayoung'!B32,2),1,0))</f>
        <v/>
      </c>
      <c r="C32" s="20" t="str">
        <f>IF('1. Yixian'!C32="","",IF('1. Yixian'!C32='2. Nayoung'!C32,1,0))</f>
        <v/>
      </c>
      <c r="E32" s="20" t="str">
        <f>IF('1. Yixian'!E32="","",IF('1. Yixian'!E32='2. Nayoung'!E32,1,0))</f>
        <v/>
      </c>
      <c r="F32" s="20" t="str">
        <f>IF('1. Yixian'!F32="","",IF('1. Yixian'!F32='2. Nayoung'!F32,1,0))</f>
        <v/>
      </c>
      <c r="G32" s="20" t="str">
        <f>IF('1. Yixian'!G32="","",IF('1. Yixian'!G32='2. Nayoung'!G32,1,0))</f>
        <v/>
      </c>
      <c r="H32" s="20">
        <f>IF('1. Yixian'!J32="","",IF(RIGHT('1. Yixian'!J32,3)=RIGHT('2. Nayoung'!J32,3),1,0))</f>
        <v>0</v>
      </c>
      <c r="I32" s="20">
        <f>IF(H32="","",IF(OR('2. Nayoung'!K32="", '1. Yixian'!K32 = ""),0,1))</f>
        <v>1</v>
      </c>
      <c r="J32" s="20">
        <f>IF('1. Yixian'!L32="","",IF('1. Yixian'!L32='2. Nayoung'!L32,1,0))</f>
        <v>1</v>
      </c>
      <c r="K32" s="20">
        <f>IF('1. Yixian'!M32="","",IF('1. Yixian'!M32='2. Nayoung'!M32,1,0))</f>
        <v>1</v>
      </c>
      <c r="L32" s="20">
        <f>IF('1. Yixian'!N32="","",IF('1. Yixian'!N32='2. Nayoung'!N32,1,0))</f>
        <v>1</v>
      </c>
      <c r="M32" s="20">
        <f>IF('1. Yixian'!O32="","",IF('1. Yixian'!O32='2. Nayoung'!O32,1,0))</f>
        <v>1</v>
      </c>
      <c r="N32" s="20">
        <f>IF('1. Yixian'!P32="","",IF('1. Yixian'!P32='2. Nayoung'!P32,1,0))</f>
        <v>1</v>
      </c>
      <c r="O32" s="20">
        <f>IF('1. Yixian'!Q32="","",IF('1. Yixian'!Q32='2. Nayoung'!Q32,1,0))</f>
        <v>1</v>
      </c>
      <c r="P32" s="20">
        <f>IF('1. Yixian'!R32="","",IF('1. Yixian'!R32='2. Nayoung'!R32,1,0))</f>
        <v>1</v>
      </c>
      <c r="Q32" s="20">
        <f>IF('1. Yixian'!S32="","",IF('1. Yixian'!S32='2. Nayoung'!S32,1,0))</f>
        <v>1</v>
      </c>
      <c r="R32" s="20">
        <f>IF('1. Yixian'!T32="","",IF('1. Yixian'!T32='2. Nayoung'!T32,1,0))</f>
        <v>1</v>
      </c>
      <c r="S32" s="20">
        <f>IF(R32="","",IF(OR('2. Nayoung'!U32="", '1. Yixian'!U32 = ""),0,1))</f>
        <v>1</v>
      </c>
      <c r="T32" s="20">
        <f>IF('1. Yixian'!V32="","",IF('1. Yixian'!V32='2. Nayoung'!V32,1,0))</f>
        <v>1</v>
      </c>
      <c r="U32" s="20">
        <f>IF('1. Yixian'!W32="","",IF('1. Yixian'!W32='2. Nayoung'!W32,1,0))</f>
        <v>1</v>
      </c>
      <c r="V32" s="20">
        <f>IF('1. Yixian'!X32="","",IF('1. Yixian'!X32='2. Nayoung'!X32,1,0))</f>
        <v>1</v>
      </c>
      <c r="W32" s="20">
        <f>IF('1. Yixian'!Y32="","",IF('1. Yixian'!Y32='2. Nayoung'!Y32,1,0))</f>
        <v>1</v>
      </c>
      <c r="X32" s="62">
        <v>1</v>
      </c>
      <c r="Y32" s="62"/>
      <c r="Z32" s="20">
        <f>IF('1. Yixian'!AB32="","",IF('1. Yixian'!AB32='2. Nayoung'!AB32,1,0))</f>
        <v>1</v>
      </c>
      <c r="AA32" s="20">
        <f>IF('1. Yixian'!AC32="","",IF('1. Yixian'!AC32='2. Nayoung'!AC32,1,0))</f>
        <v>1</v>
      </c>
      <c r="AB32" s="20">
        <f>IF(OR('2. Nayoung'!AD32="", '1. Yixian'!AD32 = ""),0,1)</f>
        <v>1</v>
      </c>
      <c r="AC32" s="20">
        <f>IF('1. Yixian'!AE32="","",IF('1. Yixian'!AE32='2. Nayoung'!AE32,1,0))</f>
        <v>1</v>
      </c>
      <c r="AD32" s="20">
        <f>IF('1. Yixian'!AF32="","",IF('1. Yixian'!AF32='2. Nayoung'!AF32,1,0))</f>
        <v>0</v>
      </c>
      <c r="AF32" s="20">
        <f>IF('1. Yixian'!AH32="","",IF('1. Yixian'!AH32='2. Nayoung'!AH32,1,0))</f>
        <v>1</v>
      </c>
      <c r="AG32" s="20">
        <f>IF('1. Yixian'!AI32="","",IF('1. Yixian'!AI32='2. Nayoung'!AI32,1,0))</f>
        <v>1</v>
      </c>
      <c r="AH32" s="20">
        <f>IF('1. Yixian'!AJ32="","",IF('1. Yixian'!AJ32='2. Nayoung'!AJ32,1,0))</f>
        <v>1</v>
      </c>
      <c r="AI32" s="20">
        <f>IF('1. Yixian'!AK32="","",IF('1. Yixian'!AK32='2. Nayoung'!AK32,1,0))</f>
        <v>1</v>
      </c>
      <c r="AJ32" s="20">
        <f>IF('1. Yixian'!AL32="","",IF('1. Yixian'!AL32='2. Nayoung'!AL32,1,0))</f>
        <v>1</v>
      </c>
      <c r="AK32" s="20">
        <f>IF('1. Yixian'!AM32="","",IF('1. Yixian'!AM32='2. Nayoung'!AM32,1,0))</f>
        <v>1</v>
      </c>
      <c r="AL32" s="20">
        <f>IF('1. Yixian'!AT32='2. Nayoung'!AT32, 1, 0)</f>
        <v>1</v>
      </c>
      <c r="AM32" s="20">
        <f>IF('1. Yixian'!AU32='2. Nayoung'!AU32, 1, 0)</f>
        <v>1</v>
      </c>
      <c r="AN32" s="2"/>
    </row>
    <row r="33" spans="1:40" s="20" customFormat="1" ht="17" hidden="1" customHeight="1">
      <c r="A33" s="20" t="str">
        <f>IF('1. Yixian'!A33="","",IF('1. Yixian'!A33='2. Nayoung'!A33,1,0))</f>
        <v/>
      </c>
      <c r="B33" s="20" t="str">
        <f>IF('1. Yixian'!B33="","",IF(RIGHT('1. Yixian'!B33,2)=RIGHT('2. Nayoung'!B33,2),1,0))</f>
        <v/>
      </c>
      <c r="C33" s="20" t="str">
        <f>IF('1. Yixian'!C33="","",IF('1. Yixian'!C33='2. Nayoung'!C33,1,0))</f>
        <v/>
      </c>
      <c r="E33" s="20" t="str">
        <f>IF('1. Yixian'!E33="","",IF('1. Yixian'!E33='2. Nayoung'!E33,1,0))</f>
        <v/>
      </c>
      <c r="F33" s="20" t="str">
        <f>IF('1. Yixian'!F33="","",IF('1. Yixian'!F33='2. Nayoung'!F33,1,0))</f>
        <v/>
      </c>
      <c r="G33" s="20" t="str">
        <f>IF('1. Yixian'!G33="","",IF('1. Yixian'!G33='2. Nayoung'!G33,1,0))</f>
        <v/>
      </c>
      <c r="H33" s="20" t="str">
        <f>IF('1. Yixian'!J33="","",IF(RIGHT('1. Yixian'!J33,3)=RIGHT('2. Nayoung'!J33,3),1,0))</f>
        <v/>
      </c>
      <c r="I33" s="20" t="str">
        <f>IF(H33="","",IF(OR('2. Nayoung'!K33="", '1. Yixian'!K33 = ""),0,1))</f>
        <v/>
      </c>
      <c r="J33" s="20" t="str">
        <f>IF('1. Yixian'!L33="","",IF('1. Yixian'!L33='2. Nayoung'!L33,1,0))</f>
        <v/>
      </c>
      <c r="K33" s="20" t="str">
        <f>IF('1. Yixian'!M33="","",IF('1. Yixian'!M33='2. Nayoung'!M33,1,0))</f>
        <v/>
      </c>
      <c r="L33" s="20" t="str">
        <f>IF('1. Yixian'!N33="","",IF('1. Yixian'!N33='2. Nayoung'!N33,1,0))</f>
        <v/>
      </c>
      <c r="M33" s="20" t="str">
        <f>IF('1. Yixian'!O33="","",IF('1. Yixian'!O33='2. Nayoung'!O33,1,0))</f>
        <v/>
      </c>
      <c r="N33" s="20" t="str">
        <f>IF('1. Yixian'!P33="","",IF('1. Yixian'!P33='2. Nayoung'!P33,1,0))</f>
        <v/>
      </c>
      <c r="O33" s="20" t="str">
        <f>IF('1. Yixian'!Q33="","",IF('1. Yixian'!Q33='2. Nayoung'!Q33,1,0))</f>
        <v/>
      </c>
      <c r="P33" s="20" t="str">
        <f>IF('1. Yixian'!R33="","",IF('1. Yixian'!R33='2. Nayoung'!R33,1,0))</f>
        <v/>
      </c>
      <c r="Q33" s="20" t="str">
        <f>IF('1. Yixian'!S33="","",IF('1. Yixian'!S33='2. Nayoung'!S33,1,0))</f>
        <v/>
      </c>
      <c r="R33" s="20" t="str">
        <f>IF('1. Yixian'!T33="","",IF('1. Yixian'!T33='2. Nayoung'!T33,1,0))</f>
        <v/>
      </c>
      <c r="S33" s="20" t="str">
        <f>IF(R33="","",IF(OR('2. Nayoung'!U33="", '1. Yixian'!U33 = ""),0,1))</f>
        <v/>
      </c>
      <c r="T33" s="20" t="str">
        <f>IF('1. Yixian'!V33="","",IF('1. Yixian'!V33='2. Nayoung'!V33,1,0))</f>
        <v/>
      </c>
      <c r="U33" s="20" t="str">
        <f>IF('1. Yixian'!W33="","",IF('1. Yixian'!W33='2. Nayoung'!W33,1,0))</f>
        <v/>
      </c>
      <c r="V33" s="20" t="str">
        <f>IF('1. Yixian'!X33="","",IF('1. Yixian'!X33='2. Nayoung'!X33,1,0))</f>
        <v/>
      </c>
      <c r="W33" s="20" t="str">
        <f>IF('1. Yixian'!Y33="","",IF('1. Yixian'!Y33='2. Nayoung'!Y33,1,0))</f>
        <v/>
      </c>
      <c r="X33" s="20" t="str">
        <f>IF('1. Yixian'!Z33="","",IF('1. Yixian'!Z33='2. Nayoung'!Z33,1,0))</f>
        <v/>
      </c>
      <c r="Z33" s="20" t="str">
        <f>IF('1. Yixian'!AB33="","",IF('1. Yixian'!AB33='2. Nayoung'!AB33,1,0))</f>
        <v/>
      </c>
      <c r="AA33" s="20" t="str">
        <f>IF('1. Yixian'!AC33="","",IF('1. Yixian'!AC33='2. Nayoung'!AC33,1,0))</f>
        <v/>
      </c>
      <c r="AB33" s="20">
        <f>IF(OR('2. Nayoung'!AD33="", '1. Yixian'!AD33 = ""),0,1)</f>
        <v>1</v>
      </c>
      <c r="AC33" s="20">
        <f>IF('1. Yixian'!AE33="","",IF('1. Yixian'!AE33='2. Nayoung'!AE33,1,0))</f>
        <v>1</v>
      </c>
      <c r="AD33" s="20">
        <f>IF('1. Yixian'!AF33="","",IF('1. Yixian'!AF33='2. Nayoung'!AF33,1,0))</f>
        <v>0</v>
      </c>
      <c r="AF33" s="62">
        <v>1</v>
      </c>
      <c r="AG33" s="62">
        <v>1</v>
      </c>
      <c r="AH33" s="62">
        <v>1</v>
      </c>
      <c r="AI33" s="20">
        <f>IF('1. Yixian'!AK33="","",IF('1. Yixian'!AK33='2. Nayoung'!AK33,1,0))</f>
        <v>1</v>
      </c>
      <c r="AJ33" s="20">
        <f>IF('1. Yixian'!AL33="","",IF('1. Yixian'!AL33='2. Nayoung'!AL33,1,0))</f>
        <v>1</v>
      </c>
      <c r="AK33" s="20">
        <f>IF('1. Yixian'!AM33="","",IF('1. Yixian'!AM33='2. Nayoung'!AM33,1,0))</f>
        <v>1</v>
      </c>
      <c r="AL33" s="20">
        <f>IF('1. Yixian'!AT33='2. Nayoung'!AT33, 1, 0)</f>
        <v>1</v>
      </c>
      <c r="AM33" s="20">
        <f>IF('1. Yixian'!AU33='2. Nayoung'!AU33, 1, 0)</f>
        <v>1</v>
      </c>
      <c r="AN33" s="2"/>
    </row>
    <row r="34" spans="1:40" s="20" customFormat="1" ht="17" hidden="1" customHeight="1">
      <c r="A34" s="20">
        <f>IF('1. Yixian'!A34="","",IF('1. Yixian'!A34='2. Nayoung'!A34,1,0))</f>
        <v>1</v>
      </c>
      <c r="B34" s="20">
        <f>IF('1. Yixian'!B34="","",IF(RIGHT('1. Yixian'!B34,2)=RIGHT('2. Nayoung'!B34,2),1,0))</f>
        <v>1</v>
      </c>
      <c r="C34" s="20">
        <f>IF('1. Yixian'!C34="","",IF('1. Yixian'!C34='2. Nayoung'!C34,1,0))</f>
        <v>1</v>
      </c>
      <c r="E34" s="20">
        <f>IF('1. Yixian'!E34="","",IF('1. Yixian'!E34='2. Nayoung'!E34,1,0))</f>
        <v>1</v>
      </c>
      <c r="F34" s="20">
        <f>IF('1. Yixian'!F34="","",IF('1. Yixian'!F34='2. Nayoung'!F34,1,0))</f>
        <v>1</v>
      </c>
      <c r="G34" s="20">
        <f>IF('1. Yixian'!G34="","",IF('1. Yixian'!G34='2. Nayoung'!G34,1,0))</f>
        <v>1</v>
      </c>
      <c r="H34" s="20">
        <f>IF('1. Yixian'!J34="","",IF(RIGHT('1. Yixian'!J34,3)=RIGHT('2. Nayoung'!J34,3),1,0))</f>
        <v>0</v>
      </c>
      <c r="I34" s="20">
        <f>IF(H34="","",IF(OR('2. Nayoung'!K34="", '1. Yixian'!K34 = ""),0,1))</f>
        <v>1</v>
      </c>
      <c r="J34" s="20">
        <f>IF('1. Yixian'!L34="","",IF('1. Yixian'!L34='2. Nayoung'!L34,1,0))</f>
        <v>1</v>
      </c>
      <c r="K34" s="20">
        <f>IF('1. Yixian'!M34="","",IF('1. Yixian'!M34='2. Nayoung'!M34,1,0))</f>
        <v>1</v>
      </c>
      <c r="L34" s="20">
        <f>IF('1. Yixian'!N34="","",IF('1. Yixian'!N34='2. Nayoung'!N34,1,0))</f>
        <v>1</v>
      </c>
      <c r="M34" s="20">
        <f>IF('1. Yixian'!O34="","",IF('1. Yixian'!O34='2. Nayoung'!O34,1,0))</f>
        <v>1</v>
      </c>
      <c r="N34" s="20">
        <f>IF('1. Yixian'!P34="","",IF('1. Yixian'!P34='2. Nayoung'!P34,1,0))</f>
        <v>1</v>
      </c>
      <c r="O34" s="20">
        <f>IF('1. Yixian'!Q34="","",IF('1. Yixian'!Q34='2. Nayoung'!Q34,1,0))</f>
        <v>1</v>
      </c>
      <c r="P34" s="20">
        <f>IF('1. Yixian'!R34="","",IF('1. Yixian'!R34='2. Nayoung'!R34,1,0))</f>
        <v>1</v>
      </c>
      <c r="Q34" s="20">
        <f>IF('1. Yixian'!S34="","",IF('1. Yixian'!S34='2. Nayoung'!S34,1,0))</f>
        <v>1</v>
      </c>
      <c r="R34" s="20">
        <f>IF('1. Yixian'!T34="","",IF('1. Yixian'!T34='2. Nayoung'!T34,1,0))</f>
        <v>1</v>
      </c>
      <c r="S34" s="20">
        <f>IF(R34="","",IF(OR('2. Nayoung'!U34="", '1. Yixian'!U34 = ""),0,1))</f>
        <v>1</v>
      </c>
      <c r="T34" s="20">
        <f>IF('1. Yixian'!V34="","",IF('1. Yixian'!V34='2. Nayoung'!V34,1,0))</f>
        <v>1</v>
      </c>
      <c r="U34" s="20">
        <f>IF('1. Yixian'!W34="","",IF('1. Yixian'!W34='2. Nayoung'!W34,1,0))</f>
        <v>1</v>
      </c>
      <c r="V34" s="20">
        <f>IF('1. Yixian'!X34="","",IF('1. Yixian'!X34='2. Nayoung'!X34,1,0))</f>
        <v>1</v>
      </c>
      <c r="W34" s="20">
        <f>IF('1. Yixian'!Y34="","",IF('1. Yixian'!Y34='2. Nayoung'!Y34,1,0))</f>
        <v>1</v>
      </c>
      <c r="X34" s="20">
        <f>IF('1. Yixian'!Z34="","",IF('1. Yixian'!Z34='2. Nayoung'!Z34,1,0))</f>
        <v>1</v>
      </c>
      <c r="Z34" s="20">
        <f>IF('1. Yixian'!AB34="","",IF('1. Yixian'!AB34='2. Nayoung'!AB34,1,0))</f>
        <v>1</v>
      </c>
      <c r="AA34" s="20">
        <f>IF('1. Yixian'!AC34="","",IF('1. Yixian'!AC34='2. Nayoung'!AC34,1,0))</f>
        <v>1</v>
      </c>
      <c r="AB34" s="20">
        <f>IF(OR('2. Nayoung'!AD34="", '1. Yixian'!AD34 = ""),0,1)</f>
        <v>1</v>
      </c>
      <c r="AC34" s="20">
        <f>IF('1. Yixian'!AE34="","",IF('1. Yixian'!AE34='2. Nayoung'!AE34,1,0))</f>
        <v>1</v>
      </c>
      <c r="AD34" s="62">
        <v>1</v>
      </c>
      <c r="AE34" s="62"/>
      <c r="AF34" s="20">
        <f>IF('1. Yixian'!AH34="","",IF('1. Yixian'!AH34='2. Nayoung'!AH34,1,0))</f>
        <v>1</v>
      </c>
      <c r="AG34" s="20">
        <f>IF('1. Yixian'!AI34="","",IF('1. Yixian'!AI34='2. Nayoung'!AI34,1,0))</f>
        <v>1</v>
      </c>
      <c r="AH34" s="20">
        <f>IF('1. Yixian'!AJ34="","",IF('1. Yixian'!AJ34='2. Nayoung'!AJ34,1,0))</f>
        <v>1</v>
      </c>
      <c r="AI34" s="20">
        <f>IF('1. Yixian'!AK34="","",IF('1. Yixian'!AK34='2. Nayoung'!AK34,1,0))</f>
        <v>1</v>
      </c>
      <c r="AJ34" s="20">
        <f>IF('1. Yixian'!AL34="","",IF('1. Yixian'!AL34='2. Nayoung'!AL34,1,0))</f>
        <v>1</v>
      </c>
      <c r="AK34" s="20">
        <f>IF('1. Yixian'!AM34="","",IF('1. Yixian'!AM34='2. Nayoung'!AM34,1,0))</f>
        <v>1</v>
      </c>
      <c r="AL34" s="20">
        <f>IF('1. Yixian'!AT34='2. Nayoung'!AT34, 1, 0)</f>
        <v>1</v>
      </c>
      <c r="AM34" s="20">
        <f>IF('1. Yixian'!AU34='2. Nayoung'!AU34, 1, 0)</f>
        <v>1</v>
      </c>
      <c r="AN34" s="2"/>
    </row>
    <row r="35" spans="1:40" s="20" customFormat="1" ht="17" hidden="1" customHeight="1">
      <c r="A35" s="20" t="str">
        <f>IF('1. Yixian'!A35="","",IF('1. Yixian'!A35='2. Nayoung'!A35,1,0))</f>
        <v/>
      </c>
      <c r="B35" s="20" t="str">
        <f>IF('1. Yixian'!B35="","",IF(RIGHT('1. Yixian'!B35,2)=RIGHT('2. Nayoung'!B35,2),1,0))</f>
        <v/>
      </c>
      <c r="C35" s="20" t="str">
        <f>IF('1. Yixian'!C35="","",IF('1. Yixian'!C35='2. Nayoung'!C35,1,0))</f>
        <v/>
      </c>
      <c r="E35" s="20" t="str">
        <f>IF('1. Yixian'!E35="","",IF('1. Yixian'!E35='2. Nayoung'!E35,1,0))</f>
        <v/>
      </c>
      <c r="F35" s="20" t="str">
        <f>IF('1. Yixian'!F35="","",IF('1. Yixian'!F35='2. Nayoung'!F35,1,0))</f>
        <v/>
      </c>
      <c r="G35" s="20" t="str">
        <f>IF('1. Yixian'!G35="","",IF('1. Yixian'!G35='2. Nayoung'!G35,1,0))</f>
        <v/>
      </c>
      <c r="H35" s="20">
        <f>IF('1. Yixian'!J35="","",IF(RIGHT('1. Yixian'!J35,3)=RIGHT('2. Nayoung'!J35,3),1,0))</f>
        <v>0</v>
      </c>
      <c r="I35" s="20">
        <f>IF(H35="","",IF(OR('2. Nayoung'!K35="", '1. Yixian'!K35 = ""),0,1))</f>
        <v>1</v>
      </c>
      <c r="J35" s="20">
        <f>IF('1. Yixian'!L35="","",IF('1. Yixian'!L35='2. Nayoung'!L35,1,0))</f>
        <v>1</v>
      </c>
      <c r="K35" s="20">
        <f>IF('1. Yixian'!M35="","",IF('1. Yixian'!M35='2. Nayoung'!M35,1,0))</f>
        <v>1</v>
      </c>
      <c r="L35" s="20">
        <f>IF('1. Yixian'!N35="","",IF('1. Yixian'!N35='2. Nayoung'!N35,1,0))</f>
        <v>1</v>
      </c>
      <c r="M35" s="20">
        <f>IF('1. Yixian'!O35="","",IF('1. Yixian'!O35='2. Nayoung'!O35,1,0))</f>
        <v>1</v>
      </c>
      <c r="N35" s="20">
        <f>IF('1. Yixian'!P35="","",IF('1. Yixian'!P35='2. Nayoung'!P35,1,0))</f>
        <v>1</v>
      </c>
      <c r="O35" s="20">
        <f>IF('1. Yixian'!Q35="","",IF('1. Yixian'!Q35='2. Nayoung'!Q35,1,0))</f>
        <v>1</v>
      </c>
      <c r="P35" s="20">
        <f>IF('1. Yixian'!R35="","",IF('1. Yixian'!R35='2. Nayoung'!R35,1,0))</f>
        <v>1</v>
      </c>
      <c r="Q35" s="20">
        <f>IF('1. Yixian'!S35="","",IF('1. Yixian'!S35='2. Nayoung'!S35,1,0))</f>
        <v>1</v>
      </c>
      <c r="R35" s="20">
        <f>IF('1. Yixian'!T35="","",IF('1. Yixian'!T35='2. Nayoung'!T35,1,0))</f>
        <v>1</v>
      </c>
      <c r="S35" s="20">
        <f>IF(R35="","",IF(OR('2. Nayoung'!U35="", '1. Yixian'!U35 = ""),0,1))</f>
        <v>1</v>
      </c>
      <c r="T35" s="20">
        <f>IF('1. Yixian'!V35="","",IF('1. Yixian'!V35='2. Nayoung'!V35,1,0))</f>
        <v>1</v>
      </c>
      <c r="U35" s="20">
        <f>IF('1. Yixian'!W35="","",IF('1. Yixian'!W35='2. Nayoung'!W35,1,0))</f>
        <v>1</v>
      </c>
      <c r="V35" s="20">
        <f>IF('1. Yixian'!X35="","",IF('1. Yixian'!X35='2. Nayoung'!X35,1,0))</f>
        <v>1</v>
      </c>
      <c r="W35" s="20">
        <f>IF('1. Yixian'!Y35="","",IF('1. Yixian'!Y35='2. Nayoung'!Y35,1,0))</f>
        <v>1</v>
      </c>
      <c r="X35" s="20">
        <f>IF('1. Yixian'!Z35="","",IF('1. Yixian'!Z35='2. Nayoung'!Z35,1,0))</f>
        <v>1</v>
      </c>
      <c r="Z35" s="20">
        <f>IF('1. Yixian'!AB35="","",IF('1. Yixian'!AB35='2. Nayoung'!AB35,1,0))</f>
        <v>1</v>
      </c>
      <c r="AA35" s="20">
        <f>IF('1. Yixian'!AC35="","",IF('1. Yixian'!AC35='2. Nayoung'!AC35,1,0))</f>
        <v>1</v>
      </c>
      <c r="AB35" s="20">
        <f>IF(OR('2. Nayoung'!AD35="", '1. Yixian'!AD35 = ""),0,1)</f>
        <v>1</v>
      </c>
      <c r="AC35" s="20">
        <f>IF('1. Yixian'!AE35="","",IF('1. Yixian'!AE35='2. Nayoung'!AE35,1,0))</f>
        <v>1</v>
      </c>
      <c r="AD35" s="62">
        <v>1</v>
      </c>
      <c r="AE35" s="62"/>
      <c r="AF35" s="20">
        <f>IF('1. Yixian'!AH35="","",IF('1. Yixian'!AH35='2. Nayoung'!AH35,1,0))</f>
        <v>1</v>
      </c>
      <c r="AG35" s="20">
        <f>IF('1. Yixian'!AI35="","",IF('1. Yixian'!AI35='2. Nayoung'!AI35,1,0))</f>
        <v>1</v>
      </c>
      <c r="AH35" s="20">
        <f>IF('1. Yixian'!AJ35="","",IF('1. Yixian'!AJ35='2. Nayoung'!AJ35,1,0))</f>
        <v>1</v>
      </c>
      <c r="AI35" s="20">
        <f>IF('1. Yixian'!AK35="","",IF('1. Yixian'!AK35='2. Nayoung'!AK35,1,0))</f>
        <v>1</v>
      </c>
      <c r="AJ35" s="20">
        <f>IF('1. Yixian'!AL35="","",IF('1. Yixian'!AL35='2. Nayoung'!AL35,1,0))</f>
        <v>1</v>
      </c>
      <c r="AK35" s="20">
        <f>IF('1. Yixian'!AM35="","",IF('1. Yixian'!AM35='2. Nayoung'!AM35,1,0))</f>
        <v>1</v>
      </c>
      <c r="AL35" s="20">
        <f>IF('1. Yixian'!AT35='2. Nayoung'!AT35, 1, 0)</f>
        <v>1</v>
      </c>
      <c r="AM35" s="20">
        <f>IF('1. Yixian'!AU35='2. Nayoung'!AU35, 1, 0)</f>
        <v>1</v>
      </c>
      <c r="AN35" s="2"/>
    </row>
    <row r="36" spans="1:40" s="20" customFormat="1" ht="17" hidden="1" customHeight="1">
      <c r="A36" s="20">
        <f>IF('1. Yixian'!A36="","",IF('1. Yixian'!A36='2. Nayoung'!A36,1,0))</f>
        <v>1</v>
      </c>
      <c r="B36" s="20">
        <f>IF('1. Yixian'!B36="","",IF(RIGHT('1. Yixian'!B36,2)=RIGHT('2. Nayoung'!B36,2),1,0))</f>
        <v>0</v>
      </c>
      <c r="C36" s="20">
        <f>IF('1. Yixian'!C36="","",IF('1. Yixian'!C36='2. Nayoung'!C36,1,0))</f>
        <v>1</v>
      </c>
      <c r="E36" s="20">
        <f>IF('1. Yixian'!E36="","",IF('1. Yixian'!E36='2. Nayoung'!E36,1,0))</f>
        <v>1</v>
      </c>
      <c r="F36" s="20">
        <f>IF('1. Yixian'!F36="","",IF('1. Yixian'!F36='2. Nayoung'!F36,1,0))</f>
        <v>1</v>
      </c>
      <c r="G36" s="20">
        <f>IF('1. Yixian'!G36="","",IF('1. Yixian'!G36='2. Nayoung'!G36,1,0))</f>
        <v>1</v>
      </c>
      <c r="H36" s="20">
        <f>IF('1. Yixian'!J36="","",IF(RIGHT('1. Yixian'!J36,3)=RIGHT('2. Nayoung'!J36,3),1,0))</f>
        <v>0</v>
      </c>
      <c r="I36" s="20">
        <f>IF(H36="","",IF(OR('2. Nayoung'!K36="", '1. Yixian'!K36 = ""),0,1))</f>
        <v>1</v>
      </c>
      <c r="J36" s="20">
        <f>IF('1. Yixian'!L36="","",IF('1. Yixian'!L36='2. Nayoung'!L36,1,0))</f>
        <v>1</v>
      </c>
      <c r="K36" s="20">
        <f>IF('1. Yixian'!M36="","",IF('1. Yixian'!M36='2. Nayoung'!M36,1,0))</f>
        <v>1</v>
      </c>
      <c r="L36" s="20">
        <f>IF('1. Yixian'!N36="","",IF('1. Yixian'!N36='2. Nayoung'!N36,1,0))</f>
        <v>1</v>
      </c>
      <c r="M36" s="20">
        <f>IF('1. Yixian'!O36="","",IF('1. Yixian'!O36='2. Nayoung'!O36,1,0))</f>
        <v>1</v>
      </c>
      <c r="N36" s="20">
        <f>IF('1. Yixian'!P36="","",IF('1. Yixian'!P36='2. Nayoung'!P36,1,0))</f>
        <v>1</v>
      </c>
      <c r="O36" s="20">
        <f>IF('1. Yixian'!Q36="","",IF('1. Yixian'!Q36='2. Nayoung'!Q36,1,0))</f>
        <v>1</v>
      </c>
      <c r="P36" s="20">
        <f>IF('1. Yixian'!R36="","",IF('1. Yixian'!R36='2. Nayoung'!R36,1,0))</f>
        <v>1</v>
      </c>
      <c r="Q36" s="20">
        <f>IF('1. Yixian'!S36="","",IF('1. Yixian'!S36='2. Nayoung'!S36,1,0))</f>
        <v>1</v>
      </c>
      <c r="R36" s="20">
        <f>IF('1. Yixian'!T36="","",IF('1. Yixian'!T36='2. Nayoung'!T36,1,0))</f>
        <v>1</v>
      </c>
      <c r="S36" s="20">
        <f>IF(R36="","",IF(OR('2. Nayoung'!U36="", '1. Yixian'!U36 = ""),0,1))</f>
        <v>1</v>
      </c>
      <c r="T36" s="20">
        <f>IF('1. Yixian'!V36="","",IF('1. Yixian'!V36='2. Nayoung'!V36,1,0))</f>
        <v>1</v>
      </c>
      <c r="U36" s="20">
        <f>IF('1. Yixian'!W36="","",IF('1. Yixian'!W36='2. Nayoung'!W36,1,0))</f>
        <v>1</v>
      </c>
      <c r="V36" s="20">
        <f>IF('1. Yixian'!X36="","",IF('1. Yixian'!X36='2. Nayoung'!X36,1,0))</f>
        <v>1</v>
      </c>
      <c r="W36" s="20">
        <f>IF('1. Yixian'!Y36="","",IF('1. Yixian'!Y36='2. Nayoung'!Y36,1,0))</f>
        <v>1</v>
      </c>
      <c r="X36" s="20">
        <f>IF('1. Yixian'!Z36="","",IF('1. Yixian'!Z36='2. Nayoung'!Z36,1,0))</f>
        <v>1</v>
      </c>
      <c r="Z36" s="20">
        <f>IF('1. Yixian'!AB36="","",IF('1. Yixian'!AB36='2. Nayoung'!AB36,1,0))</f>
        <v>1</v>
      </c>
      <c r="AA36" s="20">
        <f>IF('1. Yixian'!AC36="","",IF('1. Yixian'!AC36='2. Nayoung'!AC36,1,0))</f>
        <v>1</v>
      </c>
      <c r="AB36" s="20">
        <f>IF(OR('2. Nayoung'!AD36="", '1. Yixian'!AD36 = ""),0,1)</f>
        <v>1</v>
      </c>
      <c r="AC36" s="20">
        <f>IF('1. Yixian'!AE36="","",IF('1. Yixian'!AE36='2. Nayoung'!AE36,1,0))</f>
        <v>1</v>
      </c>
      <c r="AD36" s="20">
        <f>IF('1. Yixian'!AF36="","",IF('1. Yixian'!AF36='2. Nayoung'!AF36,1,0))</f>
        <v>0</v>
      </c>
      <c r="AF36" s="20">
        <f>IF('1. Yixian'!AH36="","",IF('1. Yixian'!AH36='2. Nayoung'!AH36,1,0))</f>
        <v>1</v>
      </c>
      <c r="AG36" s="20">
        <f>IF('1. Yixian'!AI36="","",IF('1. Yixian'!AI36='2. Nayoung'!AI36,1,0))</f>
        <v>1</v>
      </c>
      <c r="AH36" s="20">
        <f>IF('1. Yixian'!AJ36="","",IF('1. Yixian'!AJ36='2. Nayoung'!AJ36,1,0))</f>
        <v>1</v>
      </c>
      <c r="AI36" s="20">
        <f>IF('1. Yixian'!AK36="","",IF('1. Yixian'!AK36='2. Nayoung'!AK36,1,0))</f>
        <v>1</v>
      </c>
      <c r="AJ36" s="20">
        <f>IF('1. Yixian'!AL36="","",IF('1. Yixian'!AL36='2. Nayoung'!AL36,1,0))</f>
        <v>1</v>
      </c>
      <c r="AK36" s="20">
        <f>IF('1. Yixian'!AM36="","",IF('1. Yixian'!AM36='2. Nayoung'!AM36,1,0))</f>
        <v>1</v>
      </c>
      <c r="AL36" s="20">
        <f>IF('1. Yixian'!AT36='2. Nayoung'!AT36, 1, 0)</f>
        <v>1</v>
      </c>
      <c r="AM36" s="20">
        <f>IF('1. Yixian'!AU36='2. Nayoung'!AU36, 1, 0)</f>
        <v>0</v>
      </c>
      <c r="AN36" s="2"/>
    </row>
    <row r="37" spans="1:40" s="20" customFormat="1" ht="17" hidden="1" customHeight="1">
      <c r="A37" s="20" t="str">
        <f>IF('1. Yixian'!A37="","",IF('1. Yixian'!A37='2. Nayoung'!A37,1,0))</f>
        <v/>
      </c>
      <c r="B37" s="20" t="str">
        <f>IF('1. Yixian'!B37="","",IF(RIGHT('1. Yixian'!B37,2)=RIGHT('2. Nayoung'!B37,2),1,0))</f>
        <v/>
      </c>
      <c r="C37" s="20" t="str">
        <f>IF('1. Yixian'!C37="","",IF('1. Yixian'!C37='2. Nayoung'!C37,1,0))</f>
        <v/>
      </c>
      <c r="E37" s="20" t="str">
        <f>IF('1. Yixian'!E37="","",IF('1. Yixian'!E37='2. Nayoung'!E37,1,0))</f>
        <v/>
      </c>
      <c r="F37" s="20" t="str">
        <f>IF('1. Yixian'!F37="","",IF('1. Yixian'!F37='2. Nayoung'!F37,1,0))</f>
        <v/>
      </c>
      <c r="G37" s="20" t="str">
        <f>IF('1. Yixian'!G37="","",IF('1. Yixian'!G37='2. Nayoung'!G37,1,0))</f>
        <v/>
      </c>
      <c r="H37" s="20">
        <f>IF('1. Yixian'!J37="","",IF(RIGHT('1. Yixian'!J37,3)=RIGHT('2. Nayoung'!J37,3),1,0))</f>
        <v>0</v>
      </c>
      <c r="I37" s="20">
        <f>IF(H37="","",IF(OR('2. Nayoung'!K37="", '1. Yixian'!K37 = ""),0,1))</f>
        <v>1</v>
      </c>
      <c r="J37" s="20">
        <f>IF('1. Yixian'!L37="","",IF('1. Yixian'!L37='2. Nayoung'!L37,1,0))</f>
        <v>1</v>
      </c>
      <c r="K37" s="20">
        <f>IF('1. Yixian'!M37="","",IF('1. Yixian'!M37='2. Nayoung'!M37,1,0))</f>
        <v>1</v>
      </c>
      <c r="L37" s="20">
        <f>IF('1. Yixian'!N37="","",IF('1. Yixian'!N37='2. Nayoung'!N37,1,0))</f>
        <v>1</v>
      </c>
      <c r="M37" s="20">
        <f>IF('1. Yixian'!O37="","",IF('1. Yixian'!O37='2. Nayoung'!O37,1,0))</f>
        <v>1</v>
      </c>
      <c r="N37" s="20">
        <f>IF('1. Yixian'!P37="","",IF('1. Yixian'!P37='2. Nayoung'!P37,1,0))</f>
        <v>1</v>
      </c>
      <c r="O37" s="20">
        <f>IF('1. Yixian'!Q37="","",IF('1. Yixian'!Q37='2. Nayoung'!Q37,1,0))</f>
        <v>1</v>
      </c>
      <c r="P37" s="20">
        <f>IF('1. Yixian'!R37="","",IF('1. Yixian'!R37='2. Nayoung'!R37,1,0))</f>
        <v>1</v>
      </c>
      <c r="Q37" s="20">
        <f>IF('1. Yixian'!S37="","",IF('1. Yixian'!S37='2. Nayoung'!S37,1,0))</f>
        <v>1</v>
      </c>
      <c r="R37" s="20">
        <f>IF('1. Yixian'!T37="","",IF('1. Yixian'!T37='2. Nayoung'!T37,1,0))</f>
        <v>1</v>
      </c>
      <c r="S37" s="20">
        <f>IF(R37="","",IF(OR('2. Nayoung'!U37="", '1. Yixian'!U37 = ""),0,1))</f>
        <v>1</v>
      </c>
      <c r="T37" s="20">
        <f>IF('1. Yixian'!V37="","",IF('1. Yixian'!V37='2. Nayoung'!V37,1,0))</f>
        <v>1</v>
      </c>
      <c r="U37" s="20">
        <f>IF('1. Yixian'!W37="","",IF('1. Yixian'!W37='2. Nayoung'!W37,1,0))</f>
        <v>1</v>
      </c>
      <c r="V37" s="20">
        <f>IF('1. Yixian'!X37="","",IF('1. Yixian'!X37='2. Nayoung'!X37,1,0))</f>
        <v>1</v>
      </c>
      <c r="W37" s="20">
        <f>IF('1. Yixian'!Y37="","",IF('1. Yixian'!Y37='2. Nayoung'!Y37,1,0))</f>
        <v>1</v>
      </c>
      <c r="X37" s="20">
        <f>IF('1. Yixian'!Z37="","",IF('1. Yixian'!Z37='2. Nayoung'!Z37,1,0))</f>
        <v>1</v>
      </c>
      <c r="Z37" s="20">
        <f>IF('1. Yixian'!AB37="","",IF('1. Yixian'!AB37='2. Nayoung'!AB37,1,0))</f>
        <v>1</v>
      </c>
      <c r="AA37" s="20">
        <f>IF('1. Yixian'!AC37="","",IF('1. Yixian'!AC37='2. Nayoung'!AC37,1,0))</f>
        <v>1</v>
      </c>
      <c r="AB37" s="20">
        <f>IF(OR('2. Nayoung'!AD37="", '1. Yixian'!AD37 = ""),0,1)</f>
        <v>1</v>
      </c>
      <c r="AC37" s="20">
        <f>IF('1. Yixian'!AE37="","",IF('1. Yixian'!AE37='2. Nayoung'!AE37,1,0))</f>
        <v>1</v>
      </c>
      <c r="AD37" s="20">
        <f>IF('1. Yixian'!AF37="","",IF('1. Yixian'!AF37='2. Nayoung'!AF37,1,0))</f>
        <v>0</v>
      </c>
      <c r="AF37" s="20">
        <f>IF('1. Yixian'!AH37="","",IF('1. Yixian'!AH37='2. Nayoung'!AH37,1,0))</f>
        <v>1</v>
      </c>
      <c r="AG37" s="20">
        <f>IF('1. Yixian'!AI37="","",IF('1. Yixian'!AI37='2. Nayoung'!AI37,1,0))</f>
        <v>1</v>
      </c>
      <c r="AH37" s="20">
        <f>IF('1. Yixian'!AJ37="","",IF('1. Yixian'!AJ37='2. Nayoung'!AJ37,1,0))</f>
        <v>1</v>
      </c>
      <c r="AI37" s="20">
        <f>IF('1. Yixian'!AK37="","",IF('1. Yixian'!AK37='2. Nayoung'!AK37,1,0))</f>
        <v>1</v>
      </c>
      <c r="AJ37" s="20">
        <f>IF('1. Yixian'!AL37="","",IF('1. Yixian'!AL37='2. Nayoung'!AL37,1,0))</f>
        <v>1</v>
      </c>
      <c r="AK37" s="20">
        <f>IF('1. Yixian'!AM37="","",IF('1. Yixian'!AM37='2. Nayoung'!AM37,1,0))</f>
        <v>1</v>
      </c>
      <c r="AL37" s="20">
        <f>IF('1. Yixian'!AT37='2. Nayoung'!AT37, 1, 0)</f>
        <v>1</v>
      </c>
      <c r="AM37" s="20">
        <f>IF('1. Yixian'!AU37='2. Nayoung'!AU37, 1, 0)</f>
        <v>0</v>
      </c>
      <c r="AN37" s="2"/>
    </row>
    <row r="38" spans="1:40" s="20" customFormat="1" ht="17" hidden="1" customHeight="1">
      <c r="A38" s="20">
        <f>IF('1. Yixian'!A38="","",IF('1. Yixian'!A38='2. Nayoung'!A38,1,0))</f>
        <v>0</v>
      </c>
      <c r="B38" s="20">
        <f>IF('1. Yixian'!B38="","",IF(RIGHT('1. Yixian'!B38,2)=RIGHT('2. Nayoung'!B38,2),1,0))</f>
        <v>0</v>
      </c>
      <c r="C38" s="20">
        <f>IF('1. Yixian'!C38="","",IF('1. Yixian'!C38='2. Nayoung'!C38,1,0))</f>
        <v>0</v>
      </c>
      <c r="E38" s="20">
        <f>IF('1. Yixian'!E38="","",IF('1. Yixian'!E38='2. Nayoung'!E38,1,0))</f>
        <v>0</v>
      </c>
      <c r="F38" s="20">
        <f>IF('1. Yixian'!F38="","",IF('1. Yixian'!F38='2. Nayoung'!F38,1,0))</f>
        <v>0</v>
      </c>
      <c r="G38" s="20">
        <f>IF('1. Yixian'!G38="","",IF('1. Yixian'!G38='2. Nayoung'!G38,1,0))</f>
        <v>0</v>
      </c>
      <c r="H38" s="20">
        <f>IF('1. Yixian'!J38="","",IF(RIGHT('1. Yixian'!J38,3)=RIGHT('2. Nayoung'!J38,3),1,0))</f>
        <v>0</v>
      </c>
      <c r="I38" s="20">
        <f>IF(H38="","",IF(OR('2. Nayoung'!K38="", '1. Yixian'!K38 = ""),0,1))</f>
        <v>1</v>
      </c>
      <c r="J38" s="20">
        <f>IF('1. Yixian'!L38="","",IF('1. Yixian'!L38='2. Nayoung'!L38,1,0))</f>
        <v>1</v>
      </c>
      <c r="K38" s="20">
        <f>IF('1. Yixian'!M38="","",IF('1. Yixian'!M38='2. Nayoung'!M38,1,0))</f>
        <v>1</v>
      </c>
      <c r="L38" s="20">
        <f>IF('1. Yixian'!N38="","",IF('1. Yixian'!N38='2. Nayoung'!N38,1,0))</f>
        <v>1</v>
      </c>
      <c r="M38" s="20">
        <f>IF('1. Yixian'!O38="","",IF('1. Yixian'!O38='2. Nayoung'!O38,1,0))</f>
        <v>1</v>
      </c>
      <c r="N38" s="20">
        <f>IF('1. Yixian'!P38="","",IF('1. Yixian'!P38='2. Nayoung'!P38,1,0))</f>
        <v>1</v>
      </c>
      <c r="O38" s="20">
        <f>IF('1. Yixian'!Q38="","",IF('1. Yixian'!Q38='2. Nayoung'!Q38,1,0))</f>
        <v>1</v>
      </c>
      <c r="P38" s="20">
        <f>IF('1. Yixian'!R38="","",IF('1. Yixian'!R38='2. Nayoung'!R38,1,0))</f>
        <v>1</v>
      </c>
      <c r="Q38" s="20">
        <f>IF('1. Yixian'!S38="","",IF('1. Yixian'!S38='2. Nayoung'!S38,1,0))</f>
        <v>1</v>
      </c>
      <c r="R38" s="20">
        <f>IF('1. Yixian'!T38="","",IF('1. Yixian'!T38='2. Nayoung'!T38,1,0))</f>
        <v>1</v>
      </c>
      <c r="S38" s="20">
        <f>IF(R38="","",IF(OR('2. Nayoung'!U38="", '1. Yixian'!U38 = ""),0,1))</f>
        <v>1</v>
      </c>
      <c r="T38" s="20">
        <f>IF('1. Yixian'!V38="","",IF('1. Yixian'!V38='2. Nayoung'!V38,1,0))</f>
        <v>1</v>
      </c>
      <c r="U38" s="20">
        <f>IF('1. Yixian'!W38="","",IF('1. Yixian'!W38='2. Nayoung'!W38,1,0))</f>
        <v>1</v>
      </c>
      <c r="V38" s="20">
        <f>IF('1. Yixian'!X38="","",IF('1. Yixian'!X38='2. Nayoung'!X38,1,0))</f>
        <v>1</v>
      </c>
      <c r="W38" s="20">
        <f>IF('1. Yixian'!Y38="","",IF('1. Yixian'!Y38='2. Nayoung'!Y38,1,0))</f>
        <v>1</v>
      </c>
      <c r="X38" s="20">
        <f>IF('1. Yixian'!Z38="","",IF('1. Yixian'!Z38='2. Nayoung'!Z38,1,0))</f>
        <v>1</v>
      </c>
      <c r="Z38" s="20">
        <f>IF('1. Yixian'!AB38="","",IF('1. Yixian'!AB38='2. Nayoung'!AB38,1,0))</f>
        <v>1</v>
      </c>
      <c r="AA38" s="20">
        <f>IF('1. Yixian'!AC38="","",IF('1. Yixian'!AC38='2. Nayoung'!AC38,1,0))</f>
        <v>1</v>
      </c>
      <c r="AB38" s="20">
        <f>IF(OR('2. Nayoung'!AD38="", '1. Yixian'!AD38 = ""),0,1)</f>
        <v>1</v>
      </c>
      <c r="AC38" s="20">
        <f>IF('1. Yixian'!AE38="","",IF('1. Yixian'!AE38='2. Nayoung'!AE38,1,0))</f>
        <v>1</v>
      </c>
      <c r="AD38" s="20">
        <f>IF('1. Yixian'!AF38="","",IF('1. Yixian'!AF38='2. Nayoung'!AF38,1,0))</f>
        <v>0</v>
      </c>
      <c r="AF38" s="20">
        <f>IF('1. Yixian'!AH38="","",IF('1. Yixian'!AH38='2. Nayoung'!AH38,1,0))</f>
        <v>1</v>
      </c>
      <c r="AG38" s="20">
        <f>IF('1. Yixian'!AI38="","",IF('1. Yixian'!AI38='2. Nayoung'!AI38,1,0))</f>
        <v>1</v>
      </c>
      <c r="AH38" s="20">
        <f>IF('1. Yixian'!AJ38="","",IF('1. Yixian'!AJ38='2. Nayoung'!AJ38,1,0))</f>
        <v>1</v>
      </c>
      <c r="AI38" s="20">
        <f>IF('1. Yixian'!AK38="","",IF('1. Yixian'!AK38='2. Nayoung'!AK38,1,0))</f>
        <v>1</v>
      </c>
      <c r="AJ38" s="20">
        <f>IF('1. Yixian'!AL38="","",IF('1. Yixian'!AL38='2. Nayoung'!AL38,1,0))</f>
        <v>1</v>
      </c>
      <c r="AK38" s="20">
        <f>IF('1. Yixian'!AM38="","",IF('1. Yixian'!AM38='2. Nayoung'!AM38,1,0))</f>
        <v>1</v>
      </c>
      <c r="AL38" s="20">
        <f>IF('1. Yixian'!AT38='2. Nayoung'!AT38, 1, 0)</f>
        <v>1</v>
      </c>
      <c r="AM38" s="20">
        <f>IF('1. Yixian'!AU38='2. Nayoung'!AU38, 1, 0)</f>
        <v>1</v>
      </c>
      <c r="AN38" s="2"/>
    </row>
    <row r="39" spans="1:40" s="20" customFormat="1" ht="17" hidden="1" customHeight="1">
      <c r="A39" s="20" t="str">
        <f>IF('1. Yixian'!A39="","",IF('1. Yixian'!A39='2. Nayoung'!A39,1,0))</f>
        <v/>
      </c>
      <c r="B39" s="20" t="str">
        <f>IF('1. Yixian'!B39="","",IF(RIGHT('1. Yixian'!B39,2)=RIGHT('2. Nayoung'!B39,2),1,0))</f>
        <v/>
      </c>
      <c r="C39" s="20" t="str">
        <f>IF('1. Yixian'!C39="","",IF('1. Yixian'!C39='2. Nayoung'!C39,1,0))</f>
        <v/>
      </c>
      <c r="E39" s="20" t="str">
        <f>IF('1. Yixian'!E39="","",IF('1. Yixian'!E39='2. Nayoung'!E39,1,0))</f>
        <v/>
      </c>
      <c r="F39" s="20" t="str">
        <f>IF('1. Yixian'!F39="","",IF('1. Yixian'!F39='2. Nayoung'!F39,1,0))</f>
        <v/>
      </c>
      <c r="G39" s="20" t="str">
        <f>IF('1. Yixian'!G39="","",IF('1. Yixian'!G39='2. Nayoung'!G39,1,0))</f>
        <v/>
      </c>
      <c r="H39" s="20">
        <f>IF('1. Yixian'!J39="","",IF(RIGHT('1. Yixian'!J39,3)=RIGHT('2. Nayoung'!J39,3),1,0))</f>
        <v>0</v>
      </c>
      <c r="I39" s="20">
        <f>IF(H39="","",IF(OR('2. Nayoung'!K39="", '1. Yixian'!K39 = ""),0,1))</f>
        <v>1</v>
      </c>
      <c r="J39" s="20">
        <f>IF('1. Yixian'!L39="","",IF('1. Yixian'!L39='2. Nayoung'!L39,1,0))</f>
        <v>1</v>
      </c>
      <c r="K39" s="20">
        <f>IF('1. Yixian'!M39="","",IF('1. Yixian'!M39='2. Nayoung'!M39,1,0))</f>
        <v>1</v>
      </c>
      <c r="L39" s="20">
        <f>IF('1. Yixian'!N39="","",IF('1. Yixian'!N39='2. Nayoung'!N39,1,0))</f>
        <v>1</v>
      </c>
      <c r="M39" s="20">
        <f>IF('1. Yixian'!O39="","",IF('1. Yixian'!O39='2. Nayoung'!O39,1,0))</f>
        <v>1</v>
      </c>
      <c r="N39" s="20">
        <f>IF('1. Yixian'!P39="","",IF('1. Yixian'!P39='2. Nayoung'!P39,1,0))</f>
        <v>1</v>
      </c>
      <c r="O39" s="20">
        <f>IF('1. Yixian'!Q39="","",IF('1. Yixian'!Q39='2. Nayoung'!Q39,1,0))</f>
        <v>1</v>
      </c>
      <c r="P39" s="20">
        <f>IF('1. Yixian'!R39="","",IF('1. Yixian'!R39='2. Nayoung'!R39,1,0))</f>
        <v>1</v>
      </c>
      <c r="Q39" s="20">
        <f>IF('1. Yixian'!S39="","",IF('1. Yixian'!S39='2. Nayoung'!S39,1,0))</f>
        <v>1</v>
      </c>
      <c r="R39" s="20">
        <f>IF('1. Yixian'!T39="","",IF('1. Yixian'!T39='2. Nayoung'!T39,1,0))</f>
        <v>1</v>
      </c>
      <c r="S39" s="20">
        <f>IF(R39="","",IF(OR('2. Nayoung'!U39="", '1. Yixian'!U39 = ""),0,1))</f>
        <v>1</v>
      </c>
      <c r="T39" s="20">
        <f>IF('1. Yixian'!V39="","",IF('1. Yixian'!V39='2. Nayoung'!V39,1,0))</f>
        <v>1</v>
      </c>
      <c r="U39" s="20">
        <f>IF('1. Yixian'!W39="","",IF('1. Yixian'!W39='2. Nayoung'!W39,1,0))</f>
        <v>1</v>
      </c>
      <c r="V39" s="20">
        <f>IF('1. Yixian'!X39="","",IF('1. Yixian'!X39='2. Nayoung'!X39,1,0))</f>
        <v>1</v>
      </c>
      <c r="W39" s="20">
        <f>IF('1. Yixian'!Y39="","",IF('1. Yixian'!Y39='2. Nayoung'!Y39,1,0))</f>
        <v>1</v>
      </c>
      <c r="X39" s="20">
        <f>IF('1. Yixian'!Z39="","",IF('1. Yixian'!Z39='2. Nayoung'!Z39,1,0))</f>
        <v>1</v>
      </c>
      <c r="Z39" s="20">
        <f>IF('1. Yixian'!AB39="","",IF('1. Yixian'!AB39='2. Nayoung'!AB39,1,0))</f>
        <v>1</v>
      </c>
      <c r="AA39" s="20">
        <f>IF('1. Yixian'!AC39="","",IF('1. Yixian'!AC39='2. Nayoung'!AC39,1,0))</f>
        <v>1</v>
      </c>
      <c r="AB39" s="20">
        <f>IF(OR('2. Nayoung'!AD39="", '1. Yixian'!AD39 = ""),0,1)</f>
        <v>1</v>
      </c>
      <c r="AC39" s="20">
        <f>IF('1. Yixian'!AE39="","",IF('1. Yixian'!AE39='2. Nayoung'!AE39,1,0))</f>
        <v>1</v>
      </c>
      <c r="AD39" s="20">
        <f>IF('1. Yixian'!AF39="","",IF('1. Yixian'!AF39='2. Nayoung'!AF39,1,0))</f>
        <v>0</v>
      </c>
      <c r="AF39" s="20">
        <f>IF('1. Yixian'!AH39="","",IF('1. Yixian'!AH39='2. Nayoung'!AH39,1,0))</f>
        <v>1</v>
      </c>
      <c r="AG39" s="20">
        <f>IF('1. Yixian'!AI39="","",IF('1. Yixian'!AI39='2. Nayoung'!AI39,1,0))</f>
        <v>1</v>
      </c>
      <c r="AH39" s="20">
        <f>IF('1. Yixian'!AJ39="","",IF('1. Yixian'!AJ39='2. Nayoung'!AJ39,1,0))</f>
        <v>1</v>
      </c>
      <c r="AI39" s="20">
        <f>IF('1. Yixian'!AK39="","",IF('1. Yixian'!AK39='2. Nayoung'!AK39,1,0))</f>
        <v>1</v>
      </c>
      <c r="AJ39" s="20">
        <f>IF('1. Yixian'!AL39="","",IF('1. Yixian'!AL39='2. Nayoung'!AL39,1,0))</f>
        <v>1</v>
      </c>
      <c r="AK39" s="20">
        <f>IF('1. Yixian'!AM39="","",IF('1. Yixian'!AM39='2. Nayoung'!AM39,1,0))</f>
        <v>1</v>
      </c>
      <c r="AL39" s="20">
        <f>IF('1. Yixian'!AT39='2. Nayoung'!AT39, 1, 0)</f>
        <v>1</v>
      </c>
      <c r="AM39" s="20">
        <f>IF('1. Yixian'!AU39='2. Nayoung'!AU39, 1, 0)</f>
        <v>1</v>
      </c>
      <c r="AN39" s="2"/>
    </row>
    <row r="40" spans="1:40" s="20" customFormat="1" ht="17" hidden="1" customHeight="1">
      <c r="A40" s="20">
        <f>IF('1. Yixian'!A40="","",IF('1. Yixian'!A40='2. Nayoung'!A40,1,0))</f>
        <v>1</v>
      </c>
      <c r="B40" s="20">
        <f>IF('1. Yixian'!B40="","",IF(RIGHT('1. Yixian'!B40,2)=RIGHT('2. Nayoung'!B40,2),1,0))</f>
        <v>1</v>
      </c>
      <c r="C40" s="20">
        <f>IF('1. Yixian'!C40="","",IF('1. Yixian'!C40='2. Nayoung'!C40,1,0))</f>
        <v>1</v>
      </c>
      <c r="E40" s="20">
        <f>IF('1. Yixian'!E40="","",IF('1. Yixian'!E40='2. Nayoung'!E40,1,0))</f>
        <v>1</v>
      </c>
      <c r="F40" s="20">
        <f>IF('1. Yixian'!F40="","",IF('1. Yixian'!F40='2. Nayoung'!F40,1,0))</f>
        <v>1</v>
      </c>
      <c r="G40" s="20">
        <f>IF('1. Yixian'!G40="","",IF('1. Yixian'!G40='2. Nayoung'!G40,1,0))</f>
        <v>1</v>
      </c>
      <c r="H40" s="20">
        <f>IF('1. Yixian'!J40="","",IF(RIGHT('1. Yixian'!J40,3)=RIGHT('2. Nayoung'!J40,3),1,0))</f>
        <v>0</v>
      </c>
      <c r="I40" s="20">
        <f>IF(H40="","",IF(OR('2. Nayoung'!K40="", '1. Yixian'!K40 = ""),0,1))</f>
        <v>1</v>
      </c>
      <c r="J40" s="20">
        <f>IF('1. Yixian'!L40="","",IF('1. Yixian'!L40='2. Nayoung'!L40,1,0))</f>
        <v>1</v>
      </c>
      <c r="K40" s="20">
        <f>IF('1. Yixian'!M40="","",IF('1. Yixian'!M40='2. Nayoung'!M40,1,0))</f>
        <v>1</v>
      </c>
      <c r="L40" s="20">
        <f>IF('1. Yixian'!N40="","",IF('1. Yixian'!N40='2. Nayoung'!N40,1,0))</f>
        <v>1</v>
      </c>
      <c r="M40" s="20">
        <f>IF('1. Yixian'!O40="","",IF('1. Yixian'!O40='2. Nayoung'!O40,1,0))</f>
        <v>1</v>
      </c>
      <c r="N40" s="20">
        <f>IF('1. Yixian'!P40="","",IF('1. Yixian'!P40='2. Nayoung'!P40,1,0))</f>
        <v>1</v>
      </c>
      <c r="O40" s="20">
        <f>IF('1. Yixian'!Q40="","",IF('1. Yixian'!Q40='2. Nayoung'!Q40,1,0))</f>
        <v>1</v>
      </c>
      <c r="P40" s="20">
        <f>IF('1. Yixian'!R40="","",IF('1. Yixian'!R40='2. Nayoung'!R40,1,0))</f>
        <v>1</v>
      </c>
      <c r="Q40" s="20">
        <f>IF('1. Yixian'!S40="","",IF('1. Yixian'!S40='2. Nayoung'!S40,1,0))</f>
        <v>1</v>
      </c>
      <c r="R40" s="20">
        <f>IF('1. Yixian'!T40="","",IF('1. Yixian'!T40='2. Nayoung'!T40,1,0))</f>
        <v>1</v>
      </c>
      <c r="S40" s="20">
        <f>IF(R40="","",IF(OR('2. Nayoung'!U40="", '1. Yixian'!U40 = ""),0,1))</f>
        <v>1</v>
      </c>
      <c r="T40" s="20">
        <f>IF('1. Yixian'!V40="","",IF('1. Yixian'!V40='2. Nayoung'!V40,1,0))</f>
        <v>1</v>
      </c>
      <c r="U40" s="20">
        <f>IF('1. Yixian'!W40="","",IF('1. Yixian'!W40='2. Nayoung'!W40,1,0))</f>
        <v>1</v>
      </c>
      <c r="V40" s="20">
        <f>IF('1. Yixian'!X40="","",IF('1. Yixian'!X40='2. Nayoung'!X40,1,0))</f>
        <v>1</v>
      </c>
      <c r="W40" s="20">
        <f>IF('1. Yixian'!Y40="","",IF('1. Yixian'!Y40='2. Nayoung'!Y40,1,0))</f>
        <v>1</v>
      </c>
      <c r="X40" s="20">
        <f>IF('1. Yixian'!Z40="","",IF('1. Yixian'!Z40='2. Nayoung'!Z40,1,0))</f>
        <v>1</v>
      </c>
      <c r="Z40" s="20">
        <f>IF('1. Yixian'!AB40="","",IF('1. Yixian'!AB40='2. Nayoung'!AB40,1,0))</f>
        <v>1</v>
      </c>
      <c r="AA40" s="20">
        <f>IF('1. Yixian'!AC40="","",IF('1. Yixian'!AC40='2. Nayoung'!AC40,1,0))</f>
        <v>1</v>
      </c>
      <c r="AB40" s="20">
        <f>IF(OR('2. Nayoung'!AD41="", '1. Yixian'!AD40 = ""),0,1)</f>
        <v>1</v>
      </c>
      <c r="AC40" s="20">
        <f>IF('1. Yixian'!AE40="","",IF('1. Yixian'!AE40='2. Nayoung'!AE40,1,0))</f>
        <v>1</v>
      </c>
      <c r="AD40" s="20">
        <f>IF('1. Yixian'!AF40="","",IF('1. Yixian'!AF40='2. Nayoung'!AF40,1,0))</f>
        <v>0</v>
      </c>
      <c r="AF40" s="20">
        <f>IF('1. Yixian'!AH40="","",IF('1. Yixian'!AH40='2. Nayoung'!AH40,1,0))</f>
        <v>1</v>
      </c>
      <c r="AG40" s="20">
        <f>IF('1. Yixian'!AI40="","",IF('1. Yixian'!AI40='2. Nayoung'!AI40,1,0))</f>
        <v>1</v>
      </c>
      <c r="AH40" s="62">
        <v>1</v>
      </c>
      <c r="AI40" s="20">
        <f>IF('1. Yixian'!AK40="","",IF('1. Yixian'!AK40='2. Nayoung'!AK40,1,0))</f>
        <v>1</v>
      </c>
      <c r="AJ40" s="20">
        <f>IF('1. Yixian'!AL40="","",IF('1. Yixian'!AL40='2. Nayoung'!AL40,1,0))</f>
        <v>1</v>
      </c>
      <c r="AK40" s="62">
        <v>1</v>
      </c>
      <c r="AL40" s="20">
        <f>IF('1. Yixian'!AT40='2. Nayoung'!AT40, 1, 0)</f>
        <v>1</v>
      </c>
      <c r="AM40" s="20">
        <f>IF('1. Yixian'!AU40='2. Nayoung'!AU41, 1, 0)</f>
        <v>1</v>
      </c>
      <c r="AN40" s="2"/>
    </row>
    <row r="41" spans="1:40" s="20" customFormat="1" ht="17" hidden="1" customHeight="1">
      <c r="A41" s="20" t="str">
        <f>IF('1. Yixian'!A41="","",IF('1. Yixian'!A41='2. Nayoung'!A41,1,0))</f>
        <v/>
      </c>
      <c r="B41" s="20" t="str">
        <f>IF('1. Yixian'!B41="","",IF(RIGHT('1. Yixian'!B41,2)=RIGHT('2. Nayoung'!B41,2),1,0))</f>
        <v/>
      </c>
      <c r="C41" s="20" t="str">
        <f>IF('1. Yixian'!C41="","",IF('1. Yixian'!C41='2. Nayoung'!C41,1,0))</f>
        <v/>
      </c>
      <c r="E41" s="20" t="str">
        <f>IF('1. Yixian'!E41="","",IF('1. Yixian'!E41='2. Nayoung'!E41,1,0))</f>
        <v/>
      </c>
      <c r="F41" s="20" t="str">
        <f>IF('1. Yixian'!F41="","",IF('1. Yixian'!F41='2. Nayoung'!F41,1,0))</f>
        <v/>
      </c>
      <c r="G41" s="20" t="str">
        <f>IF('1. Yixian'!G41="","",IF('1. Yixian'!G41='2. Nayoung'!G41,1,0))</f>
        <v/>
      </c>
      <c r="H41" s="20" t="str">
        <f>IF('1. Yixian'!J41="","",IF(RIGHT('1. Yixian'!J41,3)=RIGHT('2. Nayoung'!J41,3),1,0))</f>
        <v/>
      </c>
      <c r="I41" s="20" t="str">
        <f>IF(H41="","",IF(OR('2. Nayoung'!K41="", '1. Yixian'!K41 = ""),0,1))</f>
        <v/>
      </c>
      <c r="J41" s="20" t="str">
        <f>IF('1. Yixian'!L41="","",IF('1. Yixian'!L41='2. Nayoung'!L41,1,0))</f>
        <v/>
      </c>
      <c r="K41" s="20" t="str">
        <f>IF('1. Yixian'!M41="","",IF('1. Yixian'!M41='2. Nayoung'!M41,1,0))</f>
        <v/>
      </c>
      <c r="L41" s="20" t="str">
        <f>IF('1. Yixian'!N41="","",IF('1. Yixian'!N41='2. Nayoung'!N41,1,0))</f>
        <v/>
      </c>
      <c r="M41" s="20" t="str">
        <f>IF('1. Yixian'!O41="","",IF('1. Yixian'!O41='2. Nayoung'!O41,1,0))</f>
        <v/>
      </c>
      <c r="N41" s="20" t="str">
        <f>IF('1. Yixian'!P41="","",IF('1. Yixian'!P41='2. Nayoung'!P41,1,0))</f>
        <v/>
      </c>
      <c r="O41" s="20" t="str">
        <f>IF('1. Yixian'!Q41="","",IF('1. Yixian'!Q41='2. Nayoung'!Q41,1,0))</f>
        <v/>
      </c>
      <c r="P41" s="20" t="str">
        <f>IF('1. Yixian'!R41="","",IF('1. Yixian'!R41='2. Nayoung'!R41,1,0))</f>
        <v/>
      </c>
      <c r="Q41" s="20" t="str">
        <f>IF('1. Yixian'!S41="","",IF('1. Yixian'!S41='2. Nayoung'!S41,1,0))</f>
        <v/>
      </c>
      <c r="R41" s="20" t="str">
        <f>IF('1. Yixian'!T41="","",IF('1. Yixian'!T41='2. Nayoung'!T41,1,0))</f>
        <v/>
      </c>
      <c r="S41" s="20" t="str">
        <f>IF(R41="","",IF(OR('2. Nayoung'!U41="", '1. Yixian'!U41 = ""),0,1))</f>
        <v/>
      </c>
      <c r="T41" s="20" t="str">
        <f>IF('1. Yixian'!V41="","",IF('1. Yixian'!V41='2. Nayoung'!V41,1,0))</f>
        <v/>
      </c>
      <c r="U41" s="20" t="str">
        <f>IF('1. Yixian'!W41="","",IF('1. Yixian'!W41='2. Nayoung'!W41,1,0))</f>
        <v/>
      </c>
      <c r="V41" s="20" t="str">
        <f>IF('1. Yixian'!X41="","",IF('1. Yixian'!X41='2. Nayoung'!X41,1,0))</f>
        <v/>
      </c>
      <c r="W41" s="20" t="str">
        <f>IF('1. Yixian'!Y41="","",IF('1. Yixian'!Y41='2. Nayoung'!Y41,1,0))</f>
        <v/>
      </c>
      <c r="X41" s="20" t="str">
        <f>IF('1. Yixian'!Z41="","",IF('1. Yixian'!Z41='2. Nayoung'!Z41,1,0))</f>
        <v/>
      </c>
      <c r="Z41" s="20" t="str">
        <f>IF('1. Yixian'!AB41="","",IF('1. Yixian'!AB41='2. Nayoung'!AB41,1,0))</f>
        <v/>
      </c>
      <c r="AA41" s="20" t="str">
        <f>IF('1. Yixian'!AC41="","",IF('1. Yixian'!AC41='2. Nayoung'!AC41,1,0))</f>
        <v/>
      </c>
      <c r="AB41" s="20">
        <f>IF(OR('2. Nayoung'!AD40="", '1. Yixian'!AD41 = ""),0,1)</f>
        <v>1</v>
      </c>
      <c r="AC41" s="20">
        <f>IF('1. Yixian'!AE41="","",IF('1. Yixian'!AE41='2. Nayoung'!AE41,1,0))</f>
        <v>1</v>
      </c>
      <c r="AD41" s="62">
        <v>1</v>
      </c>
      <c r="AE41" s="62"/>
      <c r="AF41" s="20">
        <f>IF('1. Yixian'!AH41="","",IF('1. Yixian'!AH41='2. Nayoung'!AH41,1,0))</f>
        <v>1</v>
      </c>
      <c r="AG41" s="20">
        <f>IF('1. Yixian'!AI41="","",IF('1. Yixian'!AI41='2. Nayoung'!AI41,1,0))</f>
        <v>1</v>
      </c>
      <c r="AH41" s="62">
        <v>1</v>
      </c>
      <c r="AI41" s="20">
        <f>IF('1. Yixian'!AK41="","",IF('1. Yixian'!AK41='2. Nayoung'!AK41,1,0))</f>
        <v>1</v>
      </c>
      <c r="AJ41" s="20">
        <f>IF('1. Yixian'!AL41="","",IF('1. Yixian'!AL41='2. Nayoung'!AL41,1,0))</f>
        <v>1</v>
      </c>
      <c r="AK41" s="62">
        <v>1</v>
      </c>
      <c r="AL41" s="20">
        <f>IF('1. Yixian'!AT41='2. Nayoung'!AT41, 1, 0)</f>
        <v>1</v>
      </c>
      <c r="AM41" s="20">
        <f>IF('1. Yixian'!AU41='2. Nayoung'!AU40, 1, 0)</f>
        <v>1</v>
      </c>
      <c r="AN41" s="2"/>
    </row>
    <row r="42" spans="1:40" s="20" customFormat="1" ht="17" hidden="1" customHeight="1">
      <c r="A42" s="20" t="str">
        <f>IF('1. Yixian'!A42="","",IF('1. Yixian'!A42='2. Nayoung'!A42,1,0))</f>
        <v/>
      </c>
      <c r="B42" s="20" t="str">
        <f>IF('1. Yixian'!B42="","",IF(RIGHT('1. Yixian'!B42,2)=RIGHT('2. Nayoung'!B42,2),1,0))</f>
        <v/>
      </c>
      <c r="C42" s="20" t="str">
        <f>IF('1. Yixian'!C42="","",IF('1. Yixian'!C42='2. Nayoung'!C42,1,0))</f>
        <v/>
      </c>
      <c r="E42" s="20" t="str">
        <f>IF('1. Yixian'!E42="","",IF('1. Yixian'!E42='2. Nayoung'!E42,1,0))</f>
        <v/>
      </c>
      <c r="F42" s="20" t="str">
        <f>IF('1. Yixian'!F42="","",IF('1. Yixian'!F42='2. Nayoung'!F42,1,0))</f>
        <v/>
      </c>
      <c r="G42" s="20" t="str">
        <f>IF('1. Yixian'!G42="","",IF('1. Yixian'!G42='2. Nayoung'!G42,1,0))</f>
        <v/>
      </c>
      <c r="H42" s="20">
        <f>IF('1. Yixian'!J42="","",IF(RIGHT('1. Yixian'!J42,3)=RIGHT('2. Nayoung'!J42,3),1,0))</f>
        <v>0</v>
      </c>
      <c r="I42" s="20">
        <f>IF(H42="","",IF(OR('2. Nayoung'!K42="", '1. Yixian'!K42 = ""),0,1))</f>
        <v>1</v>
      </c>
      <c r="J42" s="20">
        <f>IF('1. Yixian'!L42="","",IF('1. Yixian'!L42='2. Nayoung'!L42,1,0))</f>
        <v>1</v>
      </c>
      <c r="K42" s="20">
        <f>IF('1. Yixian'!M42="","",IF('1. Yixian'!M42='2. Nayoung'!M42,1,0))</f>
        <v>1</v>
      </c>
      <c r="L42" s="20">
        <f>IF('1. Yixian'!N42="","",IF('1. Yixian'!N42='2. Nayoung'!N42,1,0))</f>
        <v>1</v>
      </c>
      <c r="M42" s="20">
        <f>IF('1. Yixian'!O42="","",IF('1. Yixian'!O42='2. Nayoung'!O42,1,0))</f>
        <v>1</v>
      </c>
      <c r="N42" s="20">
        <f>IF('1. Yixian'!P42="","",IF('1. Yixian'!P42='2. Nayoung'!P42,1,0))</f>
        <v>1</v>
      </c>
      <c r="O42" s="20">
        <f>IF('1. Yixian'!Q42="","",IF('1. Yixian'!Q42='2. Nayoung'!Q42,1,0))</f>
        <v>1</v>
      </c>
      <c r="P42" s="20">
        <f>IF('1. Yixian'!R42="","",IF('1. Yixian'!R42='2. Nayoung'!R42,1,0))</f>
        <v>1</v>
      </c>
      <c r="Q42" s="20">
        <f>IF('1. Yixian'!S42="","",IF('1. Yixian'!S42='2. Nayoung'!S42,1,0))</f>
        <v>1</v>
      </c>
      <c r="R42" s="20">
        <f>IF('1. Yixian'!T42="","",IF('1. Yixian'!T42='2. Nayoung'!T42,1,0))</f>
        <v>1</v>
      </c>
      <c r="S42" s="20">
        <f>IF(R42="","",IF(OR('2. Nayoung'!U42="", '1. Yixian'!U42 = ""),0,1))</f>
        <v>1</v>
      </c>
      <c r="T42" s="20">
        <f>IF('1. Yixian'!V42="","",IF('1. Yixian'!V42='2. Nayoung'!V42,1,0))</f>
        <v>1</v>
      </c>
      <c r="U42" s="20">
        <f>IF('1. Yixian'!W42="","",IF('1. Yixian'!W42='2. Nayoung'!W42,1,0))</f>
        <v>1</v>
      </c>
      <c r="V42" s="20">
        <f>IF('1. Yixian'!X42="","",IF('1. Yixian'!X42='2. Nayoung'!X42,1,0))</f>
        <v>1</v>
      </c>
      <c r="W42" s="20">
        <f>IF('1. Yixian'!Y42="","",IF('1. Yixian'!Y42='2. Nayoung'!Y42,1,0))</f>
        <v>1</v>
      </c>
      <c r="X42" s="20">
        <f>IF('1. Yixian'!Z42="","",IF('1. Yixian'!Z42='2. Nayoung'!Z42,1,0))</f>
        <v>1</v>
      </c>
      <c r="Z42" s="20">
        <f>IF('1. Yixian'!AB42="","",IF('1. Yixian'!AB42='2. Nayoung'!AB42,1,0))</f>
        <v>1</v>
      </c>
      <c r="AA42" s="20">
        <f>IF('1. Yixian'!AC42="","",IF('1. Yixian'!AC42='2. Nayoung'!AC42,1,0))</f>
        <v>1</v>
      </c>
      <c r="AB42" s="20">
        <f>IF(OR('2. Nayoung'!AD43="", '1. Yixian'!AD42 = ""),0,1)</f>
        <v>1</v>
      </c>
      <c r="AC42" s="20">
        <f>IF('1. Yixian'!AE42="","",IF('1. Yixian'!AE42='2. Nayoung'!AE42,1,0))</f>
        <v>1</v>
      </c>
      <c r="AD42" s="20">
        <f>IF('1. Yixian'!AF42="","",IF('1. Yixian'!AF42='2. Nayoung'!AF42,1,0))</f>
        <v>0</v>
      </c>
      <c r="AF42" s="20">
        <f>IF('1. Yixian'!AH42="","",IF('1. Yixian'!AH42='2. Nayoung'!AH42,1,0))</f>
        <v>1</v>
      </c>
      <c r="AG42" s="20">
        <f>IF('1. Yixian'!AI42="","",IF('1. Yixian'!AI42='2. Nayoung'!AI42,1,0))</f>
        <v>1</v>
      </c>
      <c r="AH42" s="62">
        <v>1</v>
      </c>
      <c r="AI42" s="20">
        <f>IF('1. Yixian'!AK42="","",IF('1. Yixian'!AK42='2. Nayoung'!AK42,1,0))</f>
        <v>1</v>
      </c>
      <c r="AJ42" s="20">
        <f>IF('1. Yixian'!AL42="","",IF('1. Yixian'!AL42='2. Nayoung'!AL42,1,0))</f>
        <v>1</v>
      </c>
      <c r="AK42" s="62">
        <v>1</v>
      </c>
      <c r="AL42" s="20">
        <f>IF('1. Yixian'!AT42='2. Nayoung'!AT42, 1, 0)</f>
        <v>1</v>
      </c>
      <c r="AM42" s="20">
        <f>IF('1. Yixian'!AU42='2. Nayoung'!AU43, 1, 0)</f>
        <v>1</v>
      </c>
      <c r="AN42" s="2"/>
    </row>
    <row r="43" spans="1:40" s="20" customFormat="1" ht="17" hidden="1" customHeight="1">
      <c r="A43" s="20" t="str">
        <f>IF('1. Yixian'!A43="","",IF('1. Yixian'!A43='2. Nayoung'!A43,1,0))</f>
        <v/>
      </c>
      <c r="B43" s="20" t="str">
        <f>IF('1. Yixian'!B43="","",IF(RIGHT('1. Yixian'!B43,2)=RIGHT('2. Nayoung'!B43,2),1,0))</f>
        <v/>
      </c>
      <c r="C43" s="20" t="str">
        <f>IF('1. Yixian'!C43="","",IF('1. Yixian'!C43='2. Nayoung'!C43,1,0))</f>
        <v/>
      </c>
      <c r="E43" s="20" t="str">
        <f>IF('1. Yixian'!E43="","",IF('1. Yixian'!E43='2. Nayoung'!E43,1,0))</f>
        <v/>
      </c>
      <c r="F43" s="20" t="str">
        <f>IF('1. Yixian'!F43="","",IF('1. Yixian'!F43='2. Nayoung'!F43,1,0))</f>
        <v/>
      </c>
      <c r="G43" s="20" t="str">
        <f>IF('1. Yixian'!G43="","",IF('1. Yixian'!G43='2. Nayoung'!G43,1,0))</f>
        <v/>
      </c>
      <c r="H43" s="20" t="str">
        <f>IF('1. Yixian'!J43="","",IF(RIGHT('1. Yixian'!J43,3)=RIGHT('2. Nayoung'!J43,3),1,0))</f>
        <v/>
      </c>
      <c r="I43" s="20" t="str">
        <f>IF(H43="","",IF(OR('2. Nayoung'!K43="", '1. Yixian'!K43 = ""),0,1))</f>
        <v/>
      </c>
      <c r="J43" s="20" t="str">
        <f>IF('1. Yixian'!L43="","",IF('1. Yixian'!L43='2. Nayoung'!L43,1,0))</f>
        <v/>
      </c>
      <c r="K43" s="20" t="str">
        <f>IF('1. Yixian'!M43="","",IF('1. Yixian'!M43='2. Nayoung'!M43,1,0))</f>
        <v/>
      </c>
      <c r="L43" s="20" t="str">
        <f>IF('1. Yixian'!N43="","",IF('1. Yixian'!N43='2. Nayoung'!N43,1,0))</f>
        <v/>
      </c>
      <c r="M43" s="20" t="str">
        <f>IF('1. Yixian'!O43="","",IF('1. Yixian'!O43='2. Nayoung'!O43,1,0))</f>
        <v/>
      </c>
      <c r="N43" s="20" t="str">
        <f>IF('1. Yixian'!P43="","",IF('1. Yixian'!P43='2. Nayoung'!P43,1,0))</f>
        <v/>
      </c>
      <c r="O43" s="20" t="str">
        <f>IF('1. Yixian'!Q43="","",IF('1. Yixian'!Q43='2. Nayoung'!Q43,1,0))</f>
        <v/>
      </c>
      <c r="P43" s="20" t="str">
        <f>IF('1. Yixian'!R43="","",IF('1. Yixian'!R43='2. Nayoung'!R43,1,0))</f>
        <v/>
      </c>
      <c r="Q43" s="20" t="str">
        <f>IF('1. Yixian'!S43="","",IF('1. Yixian'!S43='2. Nayoung'!S43,1,0))</f>
        <v/>
      </c>
      <c r="R43" s="20" t="str">
        <f>IF('1. Yixian'!T43="","",IF('1. Yixian'!T43='2. Nayoung'!T43,1,0))</f>
        <v/>
      </c>
      <c r="S43" s="20" t="str">
        <f>IF(R43="","",IF(OR('2. Nayoung'!U43="", '1. Yixian'!U43 = ""),0,1))</f>
        <v/>
      </c>
      <c r="T43" s="20" t="str">
        <f>IF('1. Yixian'!V43="","",IF('1. Yixian'!V43='2. Nayoung'!V43,1,0))</f>
        <v/>
      </c>
      <c r="U43" s="20" t="str">
        <f>IF('1. Yixian'!W43="","",IF('1. Yixian'!W43='2. Nayoung'!W43,1,0))</f>
        <v/>
      </c>
      <c r="V43" s="20" t="str">
        <f>IF('1. Yixian'!X43="","",IF('1. Yixian'!X43='2. Nayoung'!X43,1,0))</f>
        <v/>
      </c>
      <c r="W43" s="20" t="str">
        <f>IF('1. Yixian'!Y43="","",IF('1. Yixian'!Y43='2. Nayoung'!Y43,1,0))</f>
        <v/>
      </c>
      <c r="X43" s="20" t="str">
        <f>IF('1. Yixian'!Z43="","",IF('1. Yixian'!Z43='2. Nayoung'!Z43,1,0))</f>
        <v/>
      </c>
      <c r="Z43" s="20" t="str">
        <f>IF('1. Yixian'!AB43="","",IF('1. Yixian'!AB43='2. Nayoung'!AB43,1,0))</f>
        <v/>
      </c>
      <c r="AA43" s="20" t="str">
        <f>IF('1. Yixian'!AC43="","",IF('1. Yixian'!AC43='2. Nayoung'!AC43,1,0))</f>
        <v/>
      </c>
      <c r="AB43" s="20">
        <f>IF(OR('2. Nayoung'!AD42="", '1. Yixian'!AD43 = ""),0,1)</f>
        <v>1</v>
      </c>
      <c r="AC43" s="20">
        <f>IF('1. Yixian'!AE43="","",IF('1. Yixian'!AE43='2. Nayoung'!AE43,1,0))</f>
        <v>1</v>
      </c>
      <c r="AD43" s="62">
        <v>1</v>
      </c>
      <c r="AE43" s="62"/>
      <c r="AF43" s="20">
        <f>IF('1. Yixian'!AH43="","",IF('1. Yixian'!AH43='2. Nayoung'!AH43,1,0))</f>
        <v>1</v>
      </c>
      <c r="AG43" s="20">
        <f>IF('1. Yixian'!AI43="","",IF('1. Yixian'!AI43='2. Nayoung'!AI43,1,0))</f>
        <v>1</v>
      </c>
      <c r="AH43" s="62">
        <v>1</v>
      </c>
      <c r="AI43" s="20">
        <f>IF('1. Yixian'!AK43="","",IF('1. Yixian'!AK43='2. Nayoung'!AK43,1,0))</f>
        <v>1</v>
      </c>
      <c r="AJ43" s="20">
        <f>IF('1. Yixian'!AL43="","",IF('1. Yixian'!AL43='2. Nayoung'!AL43,1,0))</f>
        <v>1</v>
      </c>
      <c r="AK43" s="62">
        <v>1</v>
      </c>
      <c r="AL43" s="20">
        <f>IF('1. Yixian'!AT43='2. Nayoung'!AT43, 1, 0)</f>
        <v>1</v>
      </c>
      <c r="AM43" s="20">
        <f>IF('1. Yixian'!AU43='2. Nayoung'!AU42, 1, 0)</f>
        <v>1</v>
      </c>
      <c r="AN43" s="2"/>
    </row>
    <row r="44" spans="1:40" s="20" customFormat="1" ht="17" hidden="1" customHeight="1">
      <c r="A44" s="20" t="str">
        <f>IF('1. Yixian'!A44="","",IF('1. Yixian'!A44='2. Nayoung'!A44,1,0))</f>
        <v/>
      </c>
      <c r="B44" s="20" t="str">
        <f>IF('1. Yixian'!B44="","",IF(RIGHT('1. Yixian'!B44,2)=RIGHT('2. Nayoung'!B44,2),1,0))</f>
        <v/>
      </c>
      <c r="C44" s="20" t="str">
        <f>IF('1. Yixian'!C44="","",IF('1. Yixian'!C44='2. Nayoung'!C44,1,0))</f>
        <v/>
      </c>
      <c r="E44" s="20" t="str">
        <f>IF('1. Yixian'!E44="","",IF('1. Yixian'!E44='2. Nayoung'!E44,1,0))</f>
        <v/>
      </c>
      <c r="F44" s="20" t="str">
        <f>IF('1. Yixian'!F44="","",IF('1. Yixian'!F44='2. Nayoung'!F44,1,0))</f>
        <v/>
      </c>
      <c r="G44" s="20" t="str">
        <f>IF('1. Yixian'!G44="","",IF('1. Yixian'!G44='2. Nayoung'!G44,1,0))</f>
        <v/>
      </c>
      <c r="H44" s="20">
        <f>IF('1. Yixian'!J44="","",IF(RIGHT('1. Yixian'!J44,3)=RIGHT('2. Nayoung'!J44,3),1,0))</f>
        <v>0</v>
      </c>
      <c r="I44" s="20">
        <f>IF(H44="","",IF(OR('2. Nayoung'!K44="", '1. Yixian'!K44 = ""),0,1))</f>
        <v>1</v>
      </c>
      <c r="J44" s="20">
        <f>IF('1. Yixian'!L44="","",IF('1. Yixian'!L44='2. Nayoung'!L44,1,0))</f>
        <v>1</v>
      </c>
      <c r="K44" s="20">
        <f>IF('1. Yixian'!M44="","",IF('1. Yixian'!M44='2. Nayoung'!M44,1,0))</f>
        <v>1</v>
      </c>
      <c r="L44" s="20">
        <f>IF('1. Yixian'!N44="","",IF('1. Yixian'!N44='2. Nayoung'!N44,1,0))</f>
        <v>1</v>
      </c>
      <c r="M44" s="20">
        <f>IF('1. Yixian'!O44="","",IF('1. Yixian'!O44='2. Nayoung'!O44,1,0))</f>
        <v>1</v>
      </c>
      <c r="N44" s="20">
        <f>IF('1. Yixian'!P44="","",IF('1. Yixian'!P44='2. Nayoung'!P44,1,0))</f>
        <v>1</v>
      </c>
      <c r="O44" s="20">
        <f>IF('1. Yixian'!Q44="","",IF('1. Yixian'!Q44='2. Nayoung'!Q44,1,0))</f>
        <v>1</v>
      </c>
      <c r="P44" s="20">
        <f>IF('1. Yixian'!R44="","",IF('1. Yixian'!R44='2. Nayoung'!R44,1,0))</f>
        <v>1</v>
      </c>
      <c r="Q44" s="20">
        <f>IF('1. Yixian'!S44="","",IF('1. Yixian'!S44='2. Nayoung'!S44,1,0))</f>
        <v>1</v>
      </c>
      <c r="R44" s="20">
        <f>IF('1. Yixian'!T44="","",IF('1. Yixian'!T44='2. Nayoung'!T44,1,0))</f>
        <v>1</v>
      </c>
      <c r="S44" s="20">
        <f>IF(R44="","",IF(OR('2. Nayoung'!U44="", '1. Yixian'!U44 = ""),0,1))</f>
        <v>1</v>
      </c>
      <c r="T44" s="20">
        <f>IF('1. Yixian'!V44="","",IF('1. Yixian'!V44='2. Nayoung'!V44,1,0))</f>
        <v>1</v>
      </c>
      <c r="U44" s="20">
        <f>IF('1. Yixian'!W44="","",IF('1. Yixian'!W44='2. Nayoung'!W44,1,0))</f>
        <v>1</v>
      </c>
      <c r="V44" s="20">
        <f>IF('1. Yixian'!X44="","",IF('1. Yixian'!X44='2. Nayoung'!X44,1,0))</f>
        <v>1</v>
      </c>
      <c r="W44" s="20">
        <f>IF('1. Yixian'!Y44="","",IF('1. Yixian'!Y44='2. Nayoung'!Y44,1,0))</f>
        <v>1</v>
      </c>
      <c r="X44" s="20">
        <f>IF('1. Yixian'!Z44="","",IF('1. Yixian'!Z44='2. Nayoung'!Z44,1,0))</f>
        <v>1</v>
      </c>
      <c r="Z44" s="20">
        <f>IF('1. Yixian'!AB44="","",IF('1. Yixian'!AB44='2. Nayoung'!AB44,1,0))</f>
        <v>1</v>
      </c>
      <c r="AA44" s="20">
        <f>IF('1. Yixian'!AC44="","",IF('1. Yixian'!AC44='2. Nayoung'!AC44,1,0))</f>
        <v>1</v>
      </c>
      <c r="AB44" s="20">
        <f>IF(OR('2. Nayoung'!AD45="", '1. Yixian'!AD44 = ""),0,1)</f>
        <v>1</v>
      </c>
      <c r="AC44" s="20">
        <f>IF('1. Yixian'!AE44="","",IF('1. Yixian'!AE44='2. Nayoung'!AE44,1,0))</f>
        <v>1</v>
      </c>
      <c r="AD44" s="20">
        <f>IF('1. Yixian'!AF44="","",IF('1. Yixian'!AF44='2. Nayoung'!AF44,1,0))</f>
        <v>0</v>
      </c>
      <c r="AF44" s="20">
        <f>IF('1. Yixian'!AH44="","",IF('1. Yixian'!AH44='2. Nayoung'!AH44,1,0))</f>
        <v>1</v>
      </c>
      <c r="AG44" s="20">
        <f>IF('1. Yixian'!AI44="","",IF('1. Yixian'!AI44='2. Nayoung'!AI44,1,0))</f>
        <v>1</v>
      </c>
      <c r="AH44" s="62">
        <v>1</v>
      </c>
      <c r="AI44" s="20">
        <f>IF('1. Yixian'!AK44="","",IF('1. Yixian'!AK44='2. Nayoung'!AK44,1,0))</f>
        <v>1</v>
      </c>
      <c r="AJ44" s="20">
        <f>IF('1. Yixian'!AL44="","",IF('1. Yixian'!AL44='2. Nayoung'!AL44,1,0))</f>
        <v>1</v>
      </c>
      <c r="AK44" s="62">
        <v>1</v>
      </c>
      <c r="AL44" s="20">
        <f>IF('1. Yixian'!AT44='2. Nayoung'!AT44, 1, 0)</f>
        <v>1</v>
      </c>
      <c r="AM44" s="20">
        <f>IF('1. Yixian'!AU44='2. Nayoung'!AU45, 1, 0)</f>
        <v>1</v>
      </c>
      <c r="AN44" s="2"/>
    </row>
    <row r="45" spans="1:40" s="21" customFormat="1" ht="17" hidden="1" customHeight="1">
      <c r="A45" s="21" t="str">
        <f>IF('1. Yixian'!A45="","",IF('1. Yixian'!A45='2. Nayoung'!A45,1,0))</f>
        <v/>
      </c>
      <c r="B45" s="21" t="str">
        <f>IF('1. Yixian'!B45="","",IF(RIGHT('1. Yixian'!B45,2)=RIGHT('2. Nayoung'!B45,2),1,0))</f>
        <v/>
      </c>
      <c r="C45" s="21" t="str">
        <f>IF('1. Yixian'!C45="","",IF('1. Yixian'!C45='2. Nayoung'!C45,1,0))</f>
        <v/>
      </c>
      <c r="E45" s="21" t="str">
        <f>IF('1. Yixian'!E45="","",IF('1. Yixian'!E45='2. Nayoung'!E45,1,0))</f>
        <v/>
      </c>
      <c r="F45" s="21" t="str">
        <f>IF('1. Yixian'!F45="","",IF('1. Yixian'!F45='2. Nayoung'!F45,1,0))</f>
        <v/>
      </c>
      <c r="G45" s="21" t="str">
        <f>IF('1. Yixian'!G45="","",IF('1. Yixian'!G45='2. Nayoung'!G45,1,0))</f>
        <v/>
      </c>
      <c r="H45" s="21" t="str">
        <f>IF('1. Yixian'!J45="","",IF(RIGHT('1. Yixian'!J45,3)=RIGHT('2. Nayoung'!J45,3),1,0))</f>
        <v/>
      </c>
      <c r="I45" s="21" t="str">
        <f>IF(H45="","",IF(OR('2. Nayoung'!K45="", '1. Yixian'!K45 = ""),0,1))</f>
        <v/>
      </c>
      <c r="J45" s="21" t="str">
        <f>IF('1. Yixian'!L45="","",IF('1. Yixian'!L45='2. Nayoung'!L45,1,0))</f>
        <v/>
      </c>
      <c r="K45" s="21" t="str">
        <f>IF('1. Yixian'!M45="","",IF('1. Yixian'!M45='2. Nayoung'!M45,1,0))</f>
        <v/>
      </c>
      <c r="L45" s="21" t="str">
        <f>IF('1. Yixian'!N45="","",IF('1. Yixian'!N45='2. Nayoung'!N45,1,0))</f>
        <v/>
      </c>
      <c r="M45" s="21" t="str">
        <f>IF('1. Yixian'!O45="","",IF('1. Yixian'!O45='2. Nayoung'!O45,1,0))</f>
        <v/>
      </c>
      <c r="N45" s="21" t="str">
        <f>IF('1. Yixian'!P45="","",IF('1. Yixian'!P45='2. Nayoung'!P45,1,0))</f>
        <v/>
      </c>
      <c r="O45" s="21" t="str">
        <f>IF('1. Yixian'!Q45="","",IF('1. Yixian'!Q45='2. Nayoung'!Q45,1,0))</f>
        <v/>
      </c>
      <c r="P45" s="21" t="str">
        <f>IF('1. Yixian'!R45="","",IF('1. Yixian'!R45='2. Nayoung'!R45,1,0))</f>
        <v/>
      </c>
      <c r="Q45" s="21" t="str">
        <f>IF('1. Yixian'!S45="","",IF('1. Yixian'!S45='2. Nayoung'!S45,1,0))</f>
        <v/>
      </c>
      <c r="R45" s="21" t="str">
        <f>IF('1. Yixian'!T45="","",IF('1. Yixian'!T45='2. Nayoung'!T45,1,0))</f>
        <v/>
      </c>
      <c r="S45" s="21" t="str">
        <f>IF(R45="","",IF(OR('2. Nayoung'!U45="", '1. Yixian'!U45 = ""),0,1))</f>
        <v/>
      </c>
      <c r="T45" s="21" t="str">
        <f>IF('1. Yixian'!V45="","",IF('1. Yixian'!V45='2. Nayoung'!V45,1,0))</f>
        <v/>
      </c>
      <c r="U45" s="21" t="str">
        <f>IF('1. Yixian'!W45="","",IF('1. Yixian'!W45='2. Nayoung'!W45,1,0))</f>
        <v/>
      </c>
      <c r="V45" s="21" t="str">
        <f>IF('1. Yixian'!X45="","",IF('1. Yixian'!X45='2. Nayoung'!X45,1,0))</f>
        <v/>
      </c>
      <c r="W45" s="21" t="str">
        <f>IF('1. Yixian'!Y45="","",IF('1. Yixian'!Y45='2. Nayoung'!Y45,1,0))</f>
        <v/>
      </c>
      <c r="X45" s="21" t="str">
        <f>IF('1. Yixian'!Z45="","",IF('1. Yixian'!Z45='2. Nayoung'!Z45,1,0))</f>
        <v/>
      </c>
      <c r="Z45" s="21" t="str">
        <f>IF('1. Yixian'!AB45="","",IF('1. Yixian'!AB45='2. Nayoung'!AB45,1,0))</f>
        <v/>
      </c>
      <c r="AA45" s="21" t="str">
        <f>IF('1. Yixian'!AC45="","",IF('1. Yixian'!AC45='2. Nayoung'!AC45,1,0))</f>
        <v/>
      </c>
      <c r="AB45" s="21">
        <f>IF(OR('2. Nayoung'!AD44="", '1. Yixian'!AD45 = ""),0,1)</f>
        <v>1</v>
      </c>
      <c r="AC45" s="21">
        <f>IF('1. Yixian'!AE45="","",IF('1. Yixian'!AE45='2. Nayoung'!AE45,1,0))</f>
        <v>1</v>
      </c>
      <c r="AD45" s="64">
        <v>1</v>
      </c>
      <c r="AE45" s="64"/>
      <c r="AF45" s="21">
        <f>IF('1. Yixian'!AH45="","",IF('1. Yixian'!AH45='2. Nayoung'!AH45,1,0))</f>
        <v>1</v>
      </c>
      <c r="AG45" s="21">
        <f>IF('1. Yixian'!AI45="","",IF('1. Yixian'!AI45='2. Nayoung'!AI45,1,0))</f>
        <v>1</v>
      </c>
      <c r="AH45" s="64">
        <v>1</v>
      </c>
      <c r="AI45" s="21">
        <f>IF('1. Yixian'!AK45="","",IF('1. Yixian'!AK45='2. Nayoung'!AK45,1,0))</f>
        <v>1</v>
      </c>
      <c r="AJ45" s="21">
        <f>IF('1. Yixian'!AL45="","",IF('1. Yixian'!AL45='2. Nayoung'!AL45,1,0))</f>
        <v>1</v>
      </c>
      <c r="AK45" s="64">
        <v>1</v>
      </c>
      <c r="AL45" s="21">
        <f>IF('1. Yixian'!AT45='2. Nayoung'!AT45, 1, 0)</f>
        <v>1</v>
      </c>
      <c r="AM45" s="21">
        <f>IF('1. Yixian'!AU45='2. Nayoung'!AU44, 1, 0)</f>
        <v>1</v>
      </c>
      <c r="AN45" s="28"/>
    </row>
    <row r="46" spans="1:40" s="20" customFormat="1" ht="17" hidden="1" customHeight="1">
      <c r="A46" s="20">
        <f>IF('1. Yixian'!A46="","",IF('1. Yixian'!A46='2. Nayoung'!A46,1,0))</f>
        <v>1</v>
      </c>
      <c r="B46" s="20">
        <f>IF('1. Yixian'!B46="","",IF(RIGHT('1. Yixian'!B46,2)=RIGHT('2. Nayoung'!B46,2),1,0))</f>
        <v>1</v>
      </c>
      <c r="C46" s="20">
        <f>IF('1. Yixian'!C46="","",IF('1. Yixian'!C46='2. Nayoung'!C46,1,0))</f>
        <v>1</v>
      </c>
      <c r="E46" s="20">
        <f>IF('1. Yixian'!E46="","",IF('1. Yixian'!E46='2. Nayoung'!E46,1,0))</f>
        <v>1</v>
      </c>
      <c r="F46" s="20">
        <f>IF('1. Yixian'!F46="","",IF('1. Yixian'!F46='2. Nayoung'!F46,1,0))</f>
        <v>1</v>
      </c>
      <c r="G46" s="20">
        <f>IF('1. Yixian'!G46="","",IF('1. Yixian'!G46='2. Nayoung'!G46,1,0))</f>
        <v>1</v>
      </c>
      <c r="H46" s="20">
        <f>IF('1. Yixian'!J46="","",IF(RIGHT('1. Yixian'!J46,3)=RIGHT('2. Nayoung'!J46,3),1,0))</f>
        <v>0</v>
      </c>
      <c r="I46" s="20">
        <f>IF(H46="","",IF(OR('2. Nayoung'!K46="", '1. Yixian'!K46 = ""),0,1))</f>
        <v>1</v>
      </c>
      <c r="J46" s="20">
        <f>IF('1. Yixian'!L46="","",IF('1. Yixian'!L46='2. Nayoung'!L46,1,0))</f>
        <v>1</v>
      </c>
      <c r="K46" s="20">
        <f>IF('1. Yixian'!M46="","",IF('1. Yixian'!M46='2. Nayoung'!M46,1,0))</f>
        <v>1</v>
      </c>
      <c r="L46" s="20">
        <f>IF('1. Yixian'!N46="","",IF('1. Yixian'!N46='2. Nayoung'!N46,1,0))</f>
        <v>1</v>
      </c>
      <c r="M46" s="20">
        <f>IF('1. Yixian'!O46="","",IF('1. Yixian'!O46='2. Nayoung'!O46,1,0))</f>
        <v>1</v>
      </c>
      <c r="N46" s="20">
        <f>IF('1. Yixian'!P46="","",IF('1. Yixian'!P46='2. Nayoung'!P46,1,0))</f>
        <v>1</v>
      </c>
      <c r="O46" s="20">
        <f>IF('1. Yixian'!Q46="","",IF('1. Yixian'!Q46='2. Nayoung'!Q46,1,0))</f>
        <v>1</v>
      </c>
      <c r="P46" s="20">
        <f>IF('1. Yixian'!R46="","",IF('1. Yixian'!R46='2. Nayoung'!R46,1,0))</f>
        <v>1</v>
      </c>
      <c r="Q46" s="20">
        <f>IF('1. Yixian'!S46="","",IF('1. Yixian'!S46='2. Nayoung'!S46,1,0))</f>
        <v>1</v>
      </c>
      <c r="R46" s="20">
        <f>IF('1. Yixian'!T46="","",IF('1. Yixian'!T46='2. Nayoung'!T46,1,0))</f>
        <v>1</v>
      </c>
      <c r="S46" s="20">
        <f>IF(R46="","",IF(OR('2. Nayoung'!U46="", '1. Yixian'!U46 = ""),0,1))</f>
        <v>1</v>
      </c>
      <c r="T46" s="20">
        <f>IF('1. Yixian'!V46="","",IF('1. Yixian'!V46='2. Nayoung'!V46,1,0))</f>
        <v>1</v>
      </c>
      <c r="U46" s="20">
        <f>IF('1. Yixian'!W46="","",IF('1. Yixian'!W46='2. Nayoung'!W46,1,0))</f>
        <v>1</v>
      </c>
      <c r="V46" s="20">
        <f>IF('1. Yixian'!X46="","",IF('1. Yixian'!X46='2. Nayoung'!X46,1,0))</f>
        <v>1</v>
      </c>
      <c r="W46" s="20">
        <f>IF('1. Yixian'!Y46="","",IF('1. Yixian'!Y46='2. Nayoung'!Y46,1,0))</f>
        <v>1</v>
      </c>
      <c r="X46" s="20">
        <f>IF('1. Yixian'!Z46="","",IF('1. Yixian'!Z46='2. Nayoung'!Z46,1,0))</f>
        <v>1</v>
      </c>
      <c r="Z46" s="20">
        <f>IF('1. Yixian'!AB46="","",IF('1. Yixian'!AB46='2. Nayoung'!AB46,1,0))</f>
        <v>1</v>
      </c>
      <c r="AA46" s="20">
        <f>IF('1. Yixian'!AC46="","",IF('1. Yixian'!AC46='2. Nayoung'!AC46,1,0))</f>
        <v>1</v>
      </c>
      <c r="AB46" s="20">
        <f>IF(OR('2. Nayoung'!AD45="", '1. Yixian'!AD46 = ""),0,1)</f>
        <v>1</v>
      </c>
      <c r="AC46" s="20">
        <f>IF('1. Yixian'!AE46="","",IF('1. Yixian'!AE46='2. Nayoung'!AE46,1,0))</f>
        <v>1</v>
      </c>
      <c r="AD46" s="20">
        <f>IF('1. Yixian'!AF46="","",IF('1. Yixian'!AF46='2. Nayoung'!AF46,1,0))</f>
        <v>1</v>
      </c>
      <c r="AF46" s="20">
        <f>IF('1. Yixian'!AH46="","",IF('1. Yixian'!AH46='2. Nayoung'!AH46,1,0))</f>
        <v>1</v>
      </c>
      <c r="AG46" s="20">
        <f>IF('1. Yixian'!AI46="","",IF('1. Yixian'!AI46='2. Nayoung'!AI46,1,0))</f>
        <v>1</v>
      </c>
      <c r="AH46" s="20">
        <f>IF('1. Yixian'!AJ46="","",IF('1. Yixian'!AJ46='2. Nayoung'!AJ46,1,0))</f>
        <v>1</v>
      </c>
      <c r="AI46" s="20">
        <f>IF('1. Yixian'!AK46="","",IF('1. Yixian'!AK46='2. Nayoung'!AK46,1,0))</f>
        <v>1</v>
      </c>
      <c r="AJ46" s="20">
        <f>IF('1. Yixian'!AL46="","",IF('1. Yixian'!AL46='2. Nayoung'!AL46,1,0))</f>
        <v>1</v>
      </c>
      <c r="AK46" s="20">
        <f>IF('1. Yixian'!AM46="","",IF('1. Yixian'!AM46='2. Nayoung'!AM46,1,0))</f>
        <v>1</v>
      </c>
      <c r="AL46" s="20">
        <f>IF('1. Yixian'!AT46='2. Nayoung'!AT46, 1, 0)</f>
        <v>1</v>
      </c>
      <c r="AM46" s="20">
        <f>IF('1. Yixian'!AU46='2. Nayoung'!AU45, 1, 0)</f>
        <v>1</v>
      </c>
      <c r="AN46" s="2"/>
    </row>
    <row r="47" spans="1:40" s="20" customFormat="1" ht="17" hidden="1" customHeight="1">
      <c r="A47" s="20" t="str">
        <f>IF('1. Yixian'!A47="","",IF('1. Yixian'!A47='2. Nayoung'!A47,1,0))</f>
        <v/>
      </c>
      <c r="B47" s="20" t="str">
        <f>IF('1. Yixian'!B47="","",IF(RIGHT('1. Yixian'!B47,2)=RIGHT('2. Nayoung'!B47,2),1,0))</f>
        <v/>
      </c>
      <c r="C47" s="20" t="str">
        <f>IF('1. Yixian'!C47="","",IF('1. Yixian'!C47='2. Nayoung'!C47,1,0))</f>
        <v/>
      </c>
      <c r="E47" s="20" t="str">
        <f>IF('1. Yixian'!E47="","",IF('1. Yixian'!E47='2. Nayoung'!E47,1,0))</f>
        <v/>
      </c>
      <c r="F47" s="20" t="str">
        <f>IF('1. Yixian'!F47="","",IF('1. Yixian'!F47='2. Nayoung'!F47,1,0))</f>
        <v/>
      </c>
      <c r="G47" s="20" t="str">
        <f>IF('1. Yixian'!G47="","",IF('1. Yixian'!G47='2. Nayoung'!G47,1,0))</f>
        <v/>
      </c>
      <c r="H47" s="20">
        <f>IF('1. Yixian'!J47="","",IF(RIGHT('1. Yixian'!J47,3)=RIGHT('2. Nayoung'!J47,3),1,0))</f>
        <v>0</v>
      </c>
      <c r="I47" s="20">
        <f>IF(H47="","",IF(OR('2. Nayoung'!K47="", '1. Yixian'!K47 = ""),0,1))</f>
        <v>1</v>
      </c>
      <c r="J47" s="20">
        <f>IF('1. Yixian'!L47="","",IF('1. Yixian'!L47='2. Nayoung'!L47,1,0))</f>
        <v>1</v>
      </c>
      <c r="K47" s="20">
        <f>IF('1. Yixian'!M47="","",IF('1. Yixian'!M47='2. Nayoung'!M47,1,0))</f>
        <v>1</v>
      </c>
      <c r="L47" s="20">
        <f>IF('1. Yixian'!N47="","",IF('1. Yixian'!N47='2. Nayoung'!N47,1,0))</f>
        <v>1</v>
      </c>
      <c r="M47" s="20">
        <f>IF('1. Yixian'!O47="","",IF('1. Yixian'!O47='2. Nayoung'!O47,1,0))</f>
        <v>1</v>
      </c>
      <c r="N47" s="20">
        <f>IF('1. Yixian'!P47="","",IF('1. Yixian'!P47='2. Nayoung'!P47,1,0))</f>
        <v>1</v>
      </c>
      <c r="O47" s="20">
        <f>IF('1. Yixian'!Q47="","",IF('1. Yixian'!Q47='2. Nayoung'!Q47,1,0))</f>
        <v>1</v>
      </c>
      <c r="P47" s="20">
        <f>IF('1. Yixian'!R47="","",IF('1. Yixian'!R47='2. Nayoung'!R47,1,0))</f>
        <v>1</v>
      </c>
      <c r="Q47" s="20">
        <f>IF('1. Yixian'!S47="","",IF('1. Yixian'!S47='2. Nayoung'!S47,1,0))</f>
        <v>1</v>
      </c>
      <c r="R47" s="20">
        <f>IF('1. Yixian'!T47="","",IF('1. Yixian'!T47='2. Nayoung'!T47,1,0))</f>
        <v>1</v>
      </c>
      <c r="S47" s="20">
        <f>IF(R47="","",IF(OR('2. Nayoung'!U47="", '1. Yixian'!U47 = ""),0,1))</f>
        <v>1</v>
      </c>
      <c r="T47" s="20">
        <f>IF('1. Yixian'!V47="","",IF('1. Yixian'!V47='2. Nayoung'!V47,1,0))</f>
        <v>1</v>
      </c>
      <c r="U47" s="20">
        <f>IF('1. Yixian'!W47="","",IF('1. Yixian'!W47='2. Nayoung'!W47,1,0))</f>
        <v>1</v>
      </c>
      <c r="V47" s="20">
        <f>IF('1. Yixian'!X47="","",IF('1. Yixian'!X47='2. Nayoung'!X47,1,0))</f>
        <v>1</v>
      </c>
      <c r="W47" s="20">
        <f>IF('1. Yixian'!Y47="","",IF('1. Yixian'!Y47='2. Nayoung'!Y47,1,0))</f>
        <v>1</v>
      </c>
      <c r="X47" s="20">
        <f>IF('1. Yixian'!Z47="","",IF('1. Yixian'!Z47='2. Nayoung'!Z47,1,0))</f>
        <v>1</v>
      </c>
      <c r="Z47" s="20">
        <f>IF('1. Yixian'!AB47="","",IF('1. Yixian'!AB47='2. Nayoung'!AB47,1,0))</f>
        <v>1</v>
      </c>
      <c r="AA47" s="20">
        <f>IF('1. Yixian'!AC47="","",IF('1. Yixian'!AC47='2. Nayoung'!AC47,1,0))</f>
        <v>1</v>
      </c>
      <c r="AB47" s="20">
        <f>IF(OR('2. Nayoung'!AD46="", '1. Yixian'!AD47 = ""),0,1)</f>
        <v>1</v>
      </c>
      <c r="AC47" s="20">
        <f>IF('1. Yixian'!AE47="","",IF('1. Yixian'!AE47='2. Nayoung'!AE47,1,0))</f>
        <v>1</v>
      </c>
      <c r="AD47" s="20">
        <f>IF('1. Yixian'!AF47="","",IF('1. Yixian'!AF47='2. Nayoung'!AF47,1,0))</f>
        <v>0</v>
      </c>
      <c r="AF47" s="20">
        <f>IF('1. Yixian'!AH47="","",IF('1. Yixian'!AH47='2. Nayoung'!AH47,1,0))</f>
        <v>1</v>
      </c>
      <c r="AG47" s="20">
        <f>IF('1. Yixian'!AI47="","",IF('1. Yixian'!AI47='2. Nayoung'!AI47,1,0))</f>
        <v>1</v>
      </c>
      <c r="AH47" s="20">
        <f>IF('1. Yixian'!AJ47="","",IF('1. Yixian'!AJ47='2. Nayoung'!AJ47,1,0))</f>
        <v>1</v>
      </c>
      <c r="AI47" s="20">
        <f>IF('1. Yixian'!AK47="","",IF('1. Yixian'!AK47='2. Nayoung'!AK47,1,0))</f>
        <v>1</v>
      </c>
      <c r="AJ47" s="20">
        <f>IF('1. Yixian'!AL47="","",IF('1. Yixian'!AL47='2. Nayoung'!AL47,1,0))</f>
        <v>1</v>
      </c>
      <c r="AK47" s="20">
        <f>IF('1. Yixian'!AM47="","",IF('1. Yixian'!AM47='2. Nayoung'!AM47,1,0))</f>
        <v>1</v>
      </c>
      <c r="AL47" s="20">
        <f>IF('1. Yixian'!AT47='2. Nayoung'!AT47, 1, 0)</f>
        <v>1</v>
      </c>
      <c r="AM47" s="20">
        <f>IF('1. Yixian'!AU47='2. Nayoung'!AU46, 1, 0)</f>
        <v>1</v>
      </c>
      <c r="AN47" s="2"/>
    </row>
    <row r="48" spans="1:40" s="20" customFormat="1" ht="17" hidden="1" customHeight="1">
      <c r="A48" s="20">
        <f>IF('1. Yixian'!A48="","",IF('1. Yixian'!A48='2. Nayoung'!A48,1,0))</f>
        <v>1</v>
      </c>
      <c r="B48" s="20">
        <f>IF('1. Yixian'!B48="","",IF(RIGHT('1. Yixian'!B48,2)=RIGHT('2. Nayoung'!B48,2),1,0))</f>
        <v>1</v>
      </c>
      <c r="C48" s="20">
        <f>IF('1. Yixian'!C48="","",IF('1. Yixian'!C48='2. Nayoung'!C48,1,0))</f>
        <v>1</v>
      </c>
      <c r="E48" s="20">
        <f>IF('1. Yixian'!E48="","",IF('1. Yixian'!E48='2. Nayoung'!E48,1,0))</f>
        <v>1</v>
      </c>
      <c r="F48" s="20">
        <f>IF('1. Yixian'!F48="","",IF('1. Yixian'!F48='2. Nayoung'!F48,1,0))</f>
        <v>1</v>
      </c>
      <c r="G48" s="20">
        <f>IF('1. Yixian'!G48="","",IF('1. Yixian'!G48='2. Nayoung'!G48,1,0))</f>
        <v>1</v>
      </c>
      <c r="H48" s="20">
        <f>IF('1. Yixian'!J48="","",IF(RIGHT('1. Yixian'!J48,3)=RIGHT('2. Nayoung'!J48,3),1,0))</f>
        <v>0</v>
      </c>
      <c r="I48" s="20">
        <f>IF(H48="","",IF(OR('2. Nayoung'!K48="", '1. Yixian'!K48 = ""),0,1))</f>
        <v>1</v>
      </c>
      <c r="J48" s="20">
        <f>IF('1. Yixian'!L48="","",IF('1. Yixian'!L48='2. Nayoung'!L48,1,0))</f>
        <v>1</v>
      </c>
      <c r="K48" s="20">
        <f>IF('1. Yixian'!M48="","",IF('1. Yixian'!M48='2. Nayoung'!M48,1,0))</f>
        <v>1</v>
      </c>
      <c r="L48" s="20">
        <f>IF('1. Yixian'!N48="","",IF('1. Yixian'!N48='2. Nayoung'!N48,1,0))</f>
        <v>1</v>
      </c>
      <c r="M48" s="20">
        <f>IF('1. Yixian'!O48="","",IF('1. Yixian'!O48='2. Nayoung'!O48,1,0))</f>
        <v>1</v>
      </c>
      <c r="N48" s="20">
        <f>IF('1. Yixian'!P48="","",IF('1. Yixian'!P48='2. Nayoung'!P48,1,0))</f>
        <v>1</v>
      </c>
      <c r="O48" s="20">
        <f>IF('1. Yixian'!Q48="","",IF('1. Yixian'!Q48='2. Nayoung'!Q48,1,0))</f>
        <v>1</v>
      </c>
      <c r="P48" s="20">
        <f>IF('1. Yixian'!R48="","",IF('1. Yixian'!R48='2. Nayoung'!R48,1,0))</f>
        <v>1</v>
      </c>
      <c r="Q48" s="20">
        <f>IF('1. Yixian'!S48="","",IF('1. Yixian'!S48='2. Nayoung'!S48,1,0))</f>
        <v>1</v>
      </c>
      <c r="R48" s="20">
        <f>IF('1. Yixian'!T48="","",IF('1. Yixian'!T48='2. Nayoung'!T48,1,0))</f>
        <v>1</v>
      </c>
      <c r="S48" s="20">
        <f>IF(R48="","",IF(OR('2. Nayoung'!U48="", '1. Yixian'!U48 = ""),0,1))</f>
        <v>1</v>
      </c>
      <c r="T48" s="20">
        <f>IF('1. Yixian'!V48="","",IF('1. Yixian'!V48='2. Nayoung'!V48,1,0))</f>
        <v>1</v>
      </c>
      <c r="U48" s="20">
        <f>IF('1. Yixian'!W48="","",IF('1. Yixian'!W48='2. Nayoung'!W48,1,0))</f>
        <v>1</v>
      </c>
      <c r="V48" s="20">
        <f>IF('1. Yixian'!X48="","",IF('1. Yixian'!X48='2. Nayoung'!X48,1,0))</f>
        <v>1</v>
      </c>
      <c r="W48" s="20">
        <f>IF('1. Yixian'!Y48="","",IF('1. Yixian'!Y48='2. Nayoung'!Y48,1,0))</f>
        <v>1</v>
      </c>
      <c r="X48" s="20">
        <f>IF('1. Yixian'!Z48="","",IF('1. Yixian'!Z48='2. Nayoung'!Z48,1,0))</f>
        <v>1</v>
      </c>
      <c r="Z48" s="20">
        <f>IF('1. Yixian'!AB48="","",IF('1. Yixian'!AB48='2. Nayoung'!AB48,1,0))</f>
        <v>1</v>
      </c>
      <c r="AA48" s="20">
        <f>IF('1. Yixian'!AC48="","",IF('1. Yixian'!AC48='2. Nayoung'!AC48,1,0))</f>
        <v>1</v>
      </c>
      <c r="AB48" s="20">
        <f>IF(OR('2. Nayoung'!AD47="", '1. Yixian'!AD48 = ""),0,1)</f>
        <v>1</v>
      </c>
      <c r="AC48" s="20">
        <f>IF('1. Yixian'!AE48="","",IF('1. Yixian'!AE48='2. Nayoung'!AE48,1,0))</f>
        <v>1</v>
      </c>
      <c r="AD48" s="20">
        <f>IF('1. Yixian'!AF48="","",IF('1. Yixian'!AF48='2. Nayoung'!AF48,1,0))</f>
        <v>0</v>
      </c>
      <c r="AF48" s="20">
        <f>IF('1. Yixian'!AH48="","",IF('1. Yixian'!AH48='2. Nayoung'!AH48,1,0))</f>
        <v>1</v>
      </c>
      <c r="AG48" s="20">
        <f>IF('1. Yixian'!AI48="","",IF('1. Yixian'!AI48='2. Nayoung'!AI48,1,0))</f>
        <v>1</v>
      </c>
      <c r="AH48" s="20">
        <f>IF('1. Yixian'!AJ48="","",IF('1. Yixian'!AJ48='2. Nayoung'!AJ48,1,0))</f>
        <v>1</v>
      </c>
      <c r="AI48" s="20">
        <f>IF('1. Yixian'!AK48="","",IF('1. Yixian'!AK48='2. Nayoung'!AK48,1,0))</f>
        <v>1</v>
      </c>
      <c r="AJ48" s="20">
        <f>IF('1. Yixian'!AL48="","",IF('1. Yixian'!AL48='2. Nayoung'!AL48,1,0))</f>
        <v>1</v>
      </c>
      <c r="AK48" s="20">
        <f>IF('1. Yixian'!AM48="","",IF('1. Yixian'!AM48='2. Nayoung'!AM48,1,0))</f>
        <v>1</v>
      </c>
      <c r="AL48" s="20">
        <f>IF('1. Yixian'!AT48='2. Nayoung'!AT48, 1, 0)</f>
        <v>1</v>
      </c>
      <c r="AM48" s="20">
        <f>IF('1. Yixian'!AU48='2. Nayoung'!AU47, 1, 0)</f>
        <v>1</v>
      </c>
      <c r="AN48" s="2"/>
    </row>
    <row r="49" spans="1:40" s="20" customFormat="1" ht="17" hidden="1" customHeight="1">
      <c r="A49" s="20" t="str">
        <f>IF('1. Yixian'!A49="","",IF('1. Yixian'!A49='2. Nayoung'!A49,1,0))</f>
        <v/>
      </c>
      <c r="B49" s="20" t="str">
        <f>IF('1. Yixian'!B49="","",IF(RIGHT('1. Yixian'!B49,2)=RIGHT('2. Nayoung'!B49,2),1,0))</f>
        <v/>
      </c>
      <c r="C49" s="20" t="str">
        <f>IF('1. Yixian'!C49="","",IF('1. Yixian'!C49='2. Nayoung'!C49,1,0))</f>
        <v/>
      </c>
      <c r="E49" s="20" t="str">
        <f>IF('1. Yixian'!E49="","",IF('1. Yixian'!E49='2. Nayoung'!E49,1,0))</f>
        <v/>
      </c>
      <c r="F49" s="20" t="str">
        <f>IF('1. Yixian'!F49="","",IF('1. Yixian'!F49='2. Nayoung'!F49,1,0))</f>
        <v/>
      </c>
      <c r="G49" s="20" t="str">
        <f>IF('1. Yixian'!G49="","",IF('1. Yixian'!G49='2. Nayoung'!G49,1,0))</f>
        <v/>
      </c>
      <c r="H49" s="20">
        <f>IF('1. Yixian'!J49="","",IF(RIGHT('1. Yixian'!J49,3)=RIGHT('2. Nayoung'!J49,3),1,0))</f>
        <v>0</v>
      </c>
      <c r="I49" s="20">
        <f>IF(H49="","",IF(OR('2. Nayoung'!K49="", '1. Yixian'!K49 = ""),0,1))</f>
        <v>1</v>
      </c>
      <c r="J49" s="20">
        <f>IF('1. Yixian'!L49="","",IF('1. Yixian'!L49='2. Nayoung'!L49,1,0))</f>
        <v>1</v>
      </c>
      <c r="K49" s="20">
        <f>IF('1. Yixian'!M49="","",IF('1. Yixian'!M49='2. Nayoung'!M49,1,0))</f>
        <v>1</v>
      </c>
      <c r="L49" s="20">
        <f>IF('1. Yixian'!N49="","",IF('1. Yixian'!N49='2. Nayoung'!N49,1,0))</f>
        <v>1</v>
      </c>
      <c r="M49" s="20">
        <f>IF('1. Yixian'!O49="","",IF('1. Yixian'!O49='2. Nayoung'!O49,1,0))</f>
        <v>1</v>
      </c>
      <c r="N49" s="20">
        <f>IF('1. Yixian'!P49="","",IF('1. Yixian'!P49='2. Nayoung'!P49,1,0))</f>
        <v>1</v>
      </c>
      <c r="O49" s="20">
        <f>IF('1. Yixian'!Q49="","",IF('1. Yixian'!Q49='2. Nayoung'!Q49,1,0))</f>
        <v>1</v>
      </c>
      <c r="P49" s="20">
        <f>IF('1. Yixian'!R49="","",IF('1. Yixian'!R49='2. Nayoung'!R49,1,0))</f>
        <v>1</v>
      </c>
      <c r="Q49" s="20">
        <f>IF('1. Yixian'!S49="","",IF('1. Yixian'!S49='2. Nayoung'!S49,1,0))</f>
        <v>1</v>
      </c>
      <c r="R49" s="20">
        <f>IF('1. Yixian'!T49="","",IF('1. Yixian'!T49='2. Nayoung'!T49,1,0))</f>
        <v>1</v>
      </c>
      <c r="S49" s="20">
        <f>IF(R49="","",IF(OR('2. Nayoung'!U49="", '1. Yixian'!U49 = ""),0,1))</f>
        <v>1</v>
      </c>
      <c r="T49" s="20">
        <f>IF('1. Yixian'!V49="","",IF('1. Yixian'!V49='2. Nayoung'!V49,1,0))</f>
        <v>1</v>
      </c>
      <c r="U49" s="20">
        <f>IF('1. Yixian'!W49="","",IF('1. Yixian'!W49='2. Nayoung'!W49,1,0))</f>
        <v>1</v>
      </c>
      <c r="V49" s="20">
        <f>IF('1. Yixian'!X49="","",IF('1. Yixian'!X49='2. Nayoung'!X49,1,0))</f>
        <v>1</v>
      </c>
      <c r="W49" s="20">
        <f>IF('1. Yixian'!Y49="","",IF('1. Yixian'!Y49='2. Nayoung'!Y49,1,0))</f>
        <v>1</v>
      </c>
      <c r="X49" s="20">
        <f>IF('1. Yixian'!Z49="","",IF('1. Yixian'!Z49='2. Nayoung'!Z49,1,0))</f>
        <v>1</v>
      </c>
      <c r="Z49" s="20">
        <f>IF('1. Yixian'!AB49="","",IF('1. Yixian'!AB49='2. Nayoung'!AB49,1,0))</f>
        <v>1</v>
      </c>
      <c r="AA49" s="20">
        <f>IF('1. Yixian'!AC49="","",IF('1. Yixian'!AC49='2. Nayoung'!AC49,1,0))</f>
        <v>1</v>
      </c>
      <c r="AB49" s="20">
        <f>IF(OR('2. Nayoung'!AD48="", '1. Yixian'!AD49 = ""),0,1)</f>
        <v>1</v>
      </c>
      <c r="AC49" s="20">
        <f>IF('1. Yixian'!AE49="","",IF('1. Yixian'!AE49='2. Nayoung'!AE49,1,0))</f>
        <v>1</v>
      </c>
      <c r="AD49" s="20">
        <f>IF('1. Yixian'!AF49="","",IF('1. Yixian'!AF49='2. Nayoung'!AF49,1,0))</f>
        <v>0</v>
      </c>
      <c r="AF49" s="20">
        <f>IF('1. Yixian'!AH49="","",IF('1. Yixian'!AH49='2. Nayoung'!AH49,1,0))</f>
        <v>1</v>
      </c>
      <c r="AG49" s="20">
        <f>IF('1. Yixian'!AI49="","",IF('1. Yixian'!AI49='2. Nayoung'!AI49,1,0))</f>
        <v>1</v>
      </c>
      <c r="AH49" s="20">
        <f>IF('1. Yixian'!AJ49="","",IF('1. Yixian'!AJ49='2. Nayoung'!AJ49,1,0))</f>
        <v>1</v>
      </c>
      <c r="AI49" s="20">
        <f>IF('1. Yixian'!AK49="","",IF('1. Yixian'!AK49='2. Nayoung'!AK49,1,0))</f>
        <v>1</v>
      </c>
      <c r="AJ49" s="20">
        <f>IF('1. Yixian'!AL49="","",IF('1. Yixian'!AL49='2. Nayoung'!AL49,1,0))</f>
        <v>1</v>
      </c>
      <c r="AK49" s="20">
        <f>IF('1. Yixian'!AM49="","",IF('1. Yixian'!AM49='2. Nayoung'!AM49,1,0))</f>
        <v>1</v>
      </c>
      <c r="AL49" s="20">
        <f>IF('1. Yixian'!AT49='2. Nayoung'!AT49, 1, 0)</f>
        <v>1</v>
      </c>
      <c r="AM49" s="20">
        <f>IF('1. Yixian'!AU49='2. Nayoung'!AU48, 1, 0)</f>
        <v>1</v>
      </c>
      <c r="AN49" s="2"/>
    </row>
    <row r="50" spans="1:40" s="20" customFormat="1" ht="17" hidden="1" customHeight="1">
      <c r="A50" s="20">
        <f>IF('1. Yixian'!A50="","",IF('1. Yixian'!A50='2. Nayoung'!A50,1,0))</f>
        <v>1</v>
      </c>
      <c r="B50" s="20">
        <f>IF('1. Yixian'!B50="","",IF(RIGHT('1. Yixian'!B50,2)=RIGHT('2. Nayoung'!B50,2),1,0))</f>
        <v>1</v>
      </c>
      <c r="C50" s="20">
        <f>IF('1. Yixian'!C50="","",IF('1. Yixian'!C50='2. Nayoung'!C50,1,0))</f>
        <v>1</v>
      </c>
      <c r="E50" s="20">
        <f>IF('1. Yixian'!E50="","",IF('1. Yixian'!E50='2. Nayoung'!E50,1,0))</f>
        <v>1</v>
      </c>
      <c r="F50" s="20">
        <f>IF('1. Yixian'!F50="","",IF('1. Yixian'!F50='2. Nayoung'!F50,1,0))</f>
        <v>1</v>
      </c>
      <c r="G50" s="20">
        <f>IF('1. Yixian'!G50="","",IF('1. Yixian'!G50='2. Nayoung'!G50,1,0))</f>
        <v>1</v>
      </c>
      <c r="H50" s="20">
        <f>IF('1. Yixian'!J50="","",IF(RIGHT('1. Yixian'!J50,3)=RIGHT('2. Nayoung'!J50,3),1,0))</f>
        <v>0</v>
      </c>
      <c r="I50" s="20">
        <f>IF(H50="","",IF(OR('2. Nayoung'!K50="", '1. Yixian'!K50 = ""),0,1))</f>
        <v>1</v>
      </c>
      <c r="J50" s="20">
        <f>IF('1. Yixian'!L50="","",IF('1. Yixian'!L50='2. Nayoung'!L50,1,0))</f>
        <v>1</v>
      </c>
      <c r="K50" s="20">
        <f>IF('1. Yixian'!M50="","",IF('1. Yixian'!M50='2. Nayoung'!M50,1,0))</f>
        <v>1</v>
      </c>
      <c r="L50" s="20">
        <f>IF('1. Yixian'!N50="","",IF('1. Yixian'!N50='2. Nayoung'!N50,1,0))</f>
        <v>1</v>
      </c>
      <c r="M50" s="20">
        <f>IF('1. Yixian'!O50="","",IF('1. Yixian'!O50='2. Nayoung'!O50,1,0))</f>
        <v>1</v>
      </c>
      <c r="N50" s="20">
        <f>IF('1. Yixian'!P50="","",IF('1. Yixian'!P50='2. Nayoung'!P50,1,0))</f>
        <v>1</v>
      </c>
      <c r="O50" s="20">
        <f>IF('1. Yixian'!Q50="","",IF('1. Yixian'!Q50='2. Nayoung'!Q50,1,0))</f>
        <v>1</v>
      </c>
      <c r="P50" s="20">
        <f>IF('1. Yixian'!R50="","",IF('1. Yixian'!R50='2. Nayoung'!R50,1,0))</f>
        <v>1</v>
      </c>
      <c r="Q50" s="20">
        <f>IF('1. Yixian'!S50="","",IF('1. Yixian'!S50='2. Nayoung'!S50,1,0))</f>
        <v>1</v>
      </c>
      <c r="R50" s="20">
        <f>IF('1. Yixian'!T50="","",IF('1. Yixian'!T50='2. Nayoung'!T50,1,0))</f>
        <v>1</v>
      </c>
      <c r="S50" s="20">
        <f>IF(R50="","",IF(OR('2. Nayoung'!U50="", '1. Yixian'!U50 = ""),0,1))</f>
        <v>1</v>
      </c>
      <c r="T50" s="20">
        <f>IF('1. Yixian'!V50="","",IF('1. Yixian'!V50='2. Nayoung'!V50,1,0))</f>
        <v>1</v>
      </c>
      <c r="U50" s="20">
        <f>IF('1. Yixian'!W50="","",IF('1. Yixian'!W50='2. Nayoung'!W50,1,0))</f>
        <v>1</v>
      </c>
      <c r="V50" s="20">
        <f>IF('1. Yixian'!X50="","",IF('1. Yixian'!X50='2. Nayoung'!X50,1,0))</f>
        <v>1</v>
      </c>
      <c r="W50" s="20">
        <f>IF('1. Yixian'!Y50="","",IF('1. Yixian'!Y50='2. Nayoung'!Y50,1,0))</f>
        <v>1</v>
      </c>
      <c r="X50" s="20">
        <f>IF('1. Yixian'!Z50="","",IF('1. Yixian'!Z50='2. Nayoung'!Z50,1,0))</f>
        <v>1</v>
      </c>
      <c r="Z50" s="20">
        <f>IF('1. Yixian'!AB50="","",IF('1. Yixian'!AB50='2. Nayoung'!AB50,1,0))</f>
        <v>1</v>
      </c>
      <c r="AA50" s="20">
        <f>IF('1. Yixian'!AC50="","",IF('1. Yixian'!AC50='2. Nayoung'!AC50,1,0))</f>
        <v>1</v>
      </c>
      <c r="AB50" s="20">
        <f>IF(OR('2. Nayoung'!AD49="", '1. Yixian'!AD50 = ""),0,1)</f>
        <v>1</v>
      </c>
      <c r="AC50" s="20">
        <f>IF('1. Yixian'!AE50="","",IF('1. Yixian'!AE50='2. Nayoung'!AE50,1,0))</f>
        <v>1</v>
      </c>
      <c r="AD50" s="20">
        <f>IF('1. Yixian'!AF50="","",IF('1. Yixian'!AF50='2. Nayoung'!AF50,1,0))</f>
        <v>0</v>
      </c>
      <c r="AF50" s="20">
        <f>IF('1. Yixian'!AH50="","",IF('1. Yixian'!AH50='2. Nayoung'!AH50,1,0))</f>
        <v>1</v>
      </c>
      <c r="AG50" s="20">
        <f>IF('1. Yixian'!AI50="","",IF('1. Yixian'!AI50='2. Nayoung'!AI50,1,0))</f>
        <v>1</v>
      </c>
      <c r="AH50" s="20">
        <f>IF('1. Yixian'!AJ50="","",IF('1. Yixian'!AJ50='2. Nayoung'!AJ50,1,0))</f>
        <v>1</v>
      </c>
      <c r="AI50" s="20">
        <f>IF('1. Yixian'!AK50="","",IF('1. Yixian'!AK50='2. Nayoung'!AK50,1,0))</f>
        <v>1</v>
      </c>
      <c r="AJ50" s="20">
        <f>IF('1. Yixian'!AL50="","",IF('1. Yixian'!AL50='2. Nayoung'!AL50,1,0))</f>
        <v>1</v>
      </c>
      <c r="AK50" s="20">
        <f>IF('1. Yixian'!AM50="","",IF('1. Yixian'!AM50='2. Nayoung'!AM50,1,0))</f>
        <v>1</v>
      </c>
      <c r="AL50" s="20">
        <f>IF('1. Yixian'!AT50='2. Nayoung'!AT50, 1, 0)</f>
        <v>1</v>
      </c>
      <c r="AM50" s="20">
        <f>IF('1. Yixian'!AU50='2. Nayoung'!AU49, 1, 0)</f>
        <v>1</v>
      </c>
      <c r="AN50" s="2"/>
    </row>
    <row r="51" spans="1:40" s="20" customFormat="1" ht="17" hidden="1" customHeight="1">
      <c r="A51" s="20" t="str">
        <f>IF('1. Yixian'!A51="","",IF('1. Yixian'!A51='2. Nayoung'!A51,1,0))</f>
        <v/>
      </c>
      <c r="B51" s="20" t="str">
        <f>IF('1. Yixian'!B51="","",IF(RIGHT('1. Yixian'!B51,2)=RIGHT('2. Nayoung'!B51,2),1,0))</f>
        <v/>
      </c>
      <c r="C51" s="20" t="str">
        <f>IF('1. Yixian'!C51="","",IF('1. Yixian'!C51='2. Nayoung'!C51,1,0))</f>
        <v/>
      </c>
      <c r="E51" s="20" t="str">
        <f>IF('1. Yixian'!E51="","",IF('1. Yixian'!E51='2. Nayoung'!E51,1,0))</f>
        <v/>
      </c>
      <c r="F51" s="20" t="str">
        <f>IF('1. Yixian'!F51="","",IF('1. Yixian'!F51='2. Nayoung'!F51,1,0))</f>
        <v/>
      </c>
      <c r="G51" s="20" t="str">
        <f>IF('1. Yixian'!G51="","",IF('1. Yixian'!G51='2. Nayoung'!G51,1,0))</f>
        <v/>
      </c>
      <c r="H51" s="20" t="str">
        <f>IF('1. Yixian'!J51="","",IF(RIGHT('1. Yixian'!J51,3)=RIGHT('2. Nayoung'!J51,3),1,0))</f>
        <v/>
      </c>
      <c r="I51" s="20" t="str">
        <f>IF(H51="","",IF(OR('2. Nayoung'!K51="", '1. Yixian'!K51 = ""),0,1))</f>
        <v/>
      </c>
      <c r="J51" s="20" t="str">
        <f>IF('1. Yixian'!L51="","",IF('1. Yixian'!L51='2. Nayoung'!L51,1,0))</f>
        <v/>
      </c>
      <c r="K51" s="20" t="str">
        <f>IF('1. Yixian'!M51="","",IF('1. Yixian'!M51='2. Nayoung'!M51,1,0))</f>
        <v/>
      </c>
      <c r="L51" s="20" t="str">
        <f>IF('1. Yixian'!N51="","",IF('1. Yixian'!N51='2. Nayoung'!N51,1,0))</f>
        <v/>
      </c>
      <c r="M51" s="20" t="str">
        <f>IF('1. Yixian'!O51="","",IF('1. Yixian'!O51='2. Nayoung'!O51,1,0))</f>
        <v/>
      </c>
      <c r="N51" s="20" t="str">
        <f>IF('1. Yixian'!P51="","",IF('1. Yixian'!P51='2. Nayoung'!P51,1,0))</f>
        <v/>
      </c>
      <c r="O51" s="20" t="str">
        <f>IF('1. Yixian'!Q51="","",IF('1. Yixian'!Q51='2. Nayoung'!Q51,1,0))</f>
        <v/>
      </c>
      <c r="P51" s="20" t="str">
        <f>IF('1. Yixian'!R51="","",IF('1. Yixian'!R51='2. Nayoung'!R51,1,0))</f>
        <v/>
      </c>
      <c r="Q51" s="20" t="str">
        <f>IF('1. Yixian'!S51="","",IF('1. Yixian'!S51='2. Nayoung'!S51,1,0))</f>
        <v/>
      </c>
      <c r="R51" s="20" t="str">
        <f>IF('1. Yixian'!T51="","",IF('1. Yixian'!T51='2. Nayoung'!T51,1,0))</f>
        <v/>
      </c>
      <c r="S51" s="20" t="str">
        <f>IF(R51="","",IF(OR('2. Nayoung'!U51="", '1. Yixian'!U51 = ""),0,1))</f>
        <v/>
      </c>
      <c r="T51" s="20" t="str">
        <f>IF('1. Yixian'!V51="","",IF('1. Yixian'!V51='2. Nayoung'!V51,1,0))</f>
        <v/>
      </c>
      <c r="U51" s="20" t="str">
        <f>IF('1. Yixian'!W51="","",IF('1. Yixian'!W51='2. Nayoung'!W51,1,0))</f>
        <v/>
      </c>
      <c r="V51" s="20" t="str">
        <f>IF('1. Yixian'!X51="","",IF('1. Yixian'!X51='2. Nayoung'!X51,1,0))</f>
        <v/>
      </c>
      <c r="W51" s="20" t="str">
        <f>IF('1. Yixian'!Y51="","",IF('1. Yixian'!Y51='2. Nayoung'!Y51,1,0))</f>
        <v/>
      </c>
      <c r="X51" s="20" t="str">
        <f>IF('1. Yixian'!Z51="","",IF('1. Yixian'!Z51='2. Nayoung'!Z51,1,0))</f>
        <v/>
      </c>
      <c r="Z51" s="20" t="str">
        <f>IF('1. Yixian'!AB51="","",IF('1. Yixian'!AB51='2. Nayoung'!AB51,1,0))</f>
        <v/>
      </c>
      <c r="AA51" s="20" t="str">
        <f>IF('1. Yixian'!AC51="","",IF('1. Yixian'!AC51='2. Nayoung'!AC51,1,0))</f>
        <v/>
      </c>
      <c r="AB51" s="20">
        <f>IF(OR('2. Nayoung'!AD50="", '1. Yixian'!AD51 = ""),0,1)</f>
        <v>1</v>
      </c>
      <c r="AC51" s="20">
        <f>IF('1. Yixian'!AE51="","",IF('1. Yixian'!AE51='2. Nayoung'!AE51,1,0))</f>
        <v>1</v>
      </c>
      <c r="AD51" s="20">
        <f>IF('1. Yixian'!AF51="","",IF('1. Yixian'!AF51='2. Nayoung'!AF51,1,0))</f>
        <v>1</v>
      </c>
      <c r="AF51" s="20">
        <f>IF('1. Yixian'!AH51="","",IF('1. Yixian'!AH51='2. Nayoung'!AH51,1,0))</f>
        <v>1</v>
      </c>
      <c r="AG51" s="20">
        <f>IF('1. Yixian'!AI51="","",IF('1. Yixian'!AI51='2. Nayoung'!AI51,1,0))</f>
        <v>1</v>
      </c>
      <c r="AH51" s="20">
        <f>IF('1. Yixian'!AJ51="","",IF('1. Yixian'!AJ51='2. Nayoung'!AJ51,1,0))</f>
        <v>1</v>
      </c>
      <c r="AI51" s="20">
        <f>IF('1. Yixian'!AK51="","",IF('1. Yixian'!AK51='2. Nayoung'!AK51,1,0))</f>
        <v>1</v>
      </c>
      <c r="AJ51" s="20">
        <f>IF('1. Yixian'!AL51="","",IF('1. Yixian'!AL51='2. Nayoung'!AL51,1,0))</f>
        <v>1</v>
      </c>
      <c r="AK51" s="20">
        <f>IF('1. Yixian'!AM51="","",IF('1. Yixian'!AM51='2. Nayoung'!AM51,1,0))</f>
        <v>1</v>
      </c>
      <c r="AL51" s="20">
        <f>IF('1. Yixian'!AT51='2. Nayoung'!AT51, 1, 0)</f>
        <v>1</v>
      </c>
      <c r="AM51" s="20">
        <f>IF('1. Yixian'!AU51='2. Nayoung'!AU50, 1, 0)</f>
        <v>1</v>
      </c>
      <c r="AN51" s="2"/>
    </row>
    <row r="52" spans="1:40" s="20" customFormat="1" ht="17" hidden="1" customHeight="1">
      <c r="A52" s="20" t="str">
        <f>IF('1. Yixian'!A52="","",IF('1. Yixian'!A52='2. Nayoung'!A52,1,0))</f>
        <v/>
      </c>
      <c r="B52" s="20" t="str">
        <f>IF('1. Yixian'!B52="","",IF(RIGHT('1. Yixian'!B52,2)=RIGHT('2. Nayoung'!B52,2),1,0))</f>
        <v/>
      </c>
      <c r="C52" s="20" t="str">
        <f>IF('1. Yixian'!C52="","",IF('1. Yixian'!C52='2. Nayoung'!C52,1,0))</f>
        <v/>
      </c>
      <c r="E52" s="20" t="str">
        <f>IF('1. Yixian'!E52="","",IF('1. Yixian'!E52='2. Nayoung'!E52,1,0))</f>
        <v/>
      </c>
      <c r="F52" s="20" t="str">
        <f>IF('1. Yixian'!F52="","",IF('1. Yixian'!F52='2. Nayoung'!F52,1,0))</f>
        <v/>
      </c>
      <c r="G52" s="20" t="str">
        <f>IF('1. Yixian'!G52="","",IF('1. Yixian'!G52='2. Nayoung'!G52,1,0))</f>
        <v/>
      </c>
      <c r="H52" s="20">
        <f>IF('1. Yixian'!J52="","",IF(RIGHT('1. Yixian'!J52,3)=RIGHT('2. Nayoung'!J52,3),1,0))</f>
        <v>0</v>
      </c>
      <c r="I52" s="20">
        <f>IF(H52="","",IF(OR('2. Nayoung'!K52="", '1. Yixian'!K52 = ""),0,1))</f>
        <v>1</v>
      </c>
      <c r="J52" s="20">
        <f>IF('1. Yixian'!L52="","",IF('1. Yixian'!L52='2. Nayoung'!L52,1,0))</f>
        <v>1</v>
      </c>
      <c r="K52" s="20">
        <f>IF('1. Yixian'!M52="","",IF('1. Yixian'!M52='2. Nayoung'!M52,1,0))</f>
        <v>1</v>
      </c>
      <c r="L52" s="20">
        <f>IF('1. Yixian'!N52="","",IF('1. Yixian'!N52='2. Nayoung'!N52,1,0))</f>
        <v>1</v>
      </c>
      <c r="M52" s="20">
        <f>IF('1. Yixian'!O52="","",IF('1. Yixian'!O52='2. Nayoung'!O52,1,0))</f>
        <v>1</v>
      </c>
      <c r="N52" s="20">
        <f>IF('1. Yixian'!P52="","",IF('1. Yixian'!P52='2. Nayoung'!P52,1,0))</f>
        <v>1</v>
      </c>
      <c r="O52" s="20">
        <f>IF('1. Yixian'!Q52="","",IF('1. Yixian'!Q52='2. Nayoung'!Q52,1,0))</f>
        <v>1</v>
      </c>
      <c r="P52" s="20">
        <f>IF('1. Yixian'!R52="","",IF('1. Yixian'!R52='2. Nayoung'!R52,1,0))</f>
        <v>1</v>
      </c>
      <c r="Q52" s="20">
        <f>IF('1. Yixian'!S52="","",IF('1. Yixian'!S52='2. Nayoung'!S52,1,0))</f>
        <v>1</v>
      </c>
      <c r="R52" s="20">
        <f>IF('1. Yixian'!T52="","",IF('1. Yixian'!T52='2. Nayoung'!T52,1,0))</f>
        <v>1</v>
      </c>
      <c r="S52" s="20">
        <f>IF(R52="","",IF(OR('2. Nayoung'!U52="", '1. Yixian'!U52 = ""),0,1))</f>
        <v>1</v>
      </c>
      <c r="T52" s="20">
        <f>IF('1. Yixian'!V52="","",IF('1. Yixian'!V52='2. Nayoung'!V52,1,0))</f>
        <v>1</v>
      </c>
      <c r="U52" s="20">
        <f>IF('1. Yixian'!W52="","",IF('1. Yixian'!W52='2. Nayoung'!W52,1,0))</f>
        <v>1</v>
      </c>
      <c r="V52" s="20">
        <f>IF('1. Yixian'!X52="","",IF('1. Yixian'!X52='2. Nayoung'!X52,1,0))</f>
        <v>1</v>
      </c>
      <c r="W52" s="20">
        <f>IF('1. Yixian'!Y52="","",IF('1. Yixian'!Y52='2. Nayoung'!Y52,1,0))</f>
        <v>1</v>
      </c>
      <c r="X52" s="20">
        <f>IF('1. Yixian'!Z52="","",IF('1. Yixian'!Z52='2. Nayoung'!Z52,1,0))</f>
        <v>1</v>
      </c>
      <c r="Z52" s="20">
        <f>IF('1. Yixian'!AB52="","",IF('1. Yixian'!AB52='2. Nayoung'!AB52,1,0))</f>
        <v>1</v>
      </c>
      <c r="AA52" s="20">
        <f>IF('1. Yixian'!AC52="","",IF('1. Yixian'!AC52='2. Nayoung'!AC52,1,0))</f>
        <v>1</v>
      </c>
      <c r="AB52" s="20">
        <f>IF(OR('2. Nayoung'!AD51="", '1. Yixian'!AD52 = ""),0,1)</f>
        <v>1</v>
      </c>
      <c r="AC52" s="20">
        <f>IF('1. Yixian'!AE52="","",IF('1. Yixian'!AE52='2. Nayoung'!AE52,1,0))</f>
        <v>1</v>
      </c>
      <c r="AD52" s="20">
        <f>IF('1. Yixian'!AF52="","",IF('1. Yixian'!AF52='2. Nayoung'!AF52,1,0))</f>
        <v>0</v>
      </c>
      <c r="AF52" s="20">
        <f>IF('1. Yixian'!AH52="","",IF('1. Yixian'!AH52='2. Nayoung'!AH52,1,0))</f>
        <v>1</v>
      </c>
      <c r="AG52" s="20">
        <f>IF('1. Yixian'!AI52="","",IF('1. Yixian'!AI52='2. Nayoung'!AI52,1,0))</f>
        <v>1</v>
      </c>
      <c r="AH52" s="20">
        <f>IF('1. Yixian'!AJ52="","",IF('1. Yixian'!AJ52='2. Nayoung'!AJ52,1,0))</f>
        <v>1</v>
      </c>
      <c r="AI52" s="20">
        <f>IF('1. Yixian'!AK52="","",IF('1. Yixian'!AK52='2. Nayoung'!AK52,1,0))</f>
        <v>1</v>
      </c>
      <c r="AJ52" s="20">
        <f>IF('1. Yixian'!AL52="","",IF('1. Yixian'!AL52='2. Nayoung'!AL52,1,0))</f>
        <v>1</v>
      </c>
      <c r="AK52" s="20">
        <f>IF('1. Yixian'!AM52="","",IF('1. Yixian'!AM52='2. Nayoung'!AM52,1,0))</f>
        <v>1</v>
      </c>
      <c r="AL52" s="20">
        <f>IF('1. Yixian'!AT52='2. Nayoung'!AT52, 1, 0)</f>
        <v>1</v>
      </c>
      <c r="AM52" s="20">
        <f>IF('1. Yixian'!AU52='2. Nayoung'!AU51, 1, 0)</f>
        <v>1</v>
      </c>
      <c r="AN52" s="2"/>
    </row>
    <row r="53" spans="1:40" s="20" customFormat="1" ht="17" hidden="1" customHeight="1">
      <c r="A53" s="20" t="str">
        <f>IF('1. Yixian'!A53="","",IF('1. Yixian'!A53='2. Nayoung'!A53,1,0))</f>
        <v/>
      </c>
      <c r="B53" s="20" t="str">
        <f>IF('1. Yixian'!B53="","",IF(RIGHT('1. Yixian'!B53,2)=RIGHT('2. Nayoung'!B53,2),1,0))</f>
        <v/>
      </c>
      <c r="C53" s="20" t="str">
        <f>IF('1. Yixian'!C53="","",IF('1. Yixian'!C53='2. Nayoung'!C53,1,0))</f>
        <v/>
      </c>
      <c r="E53" s="20" t="str">
        <f>IF('1. Yixian'!E53="","",IF('1. Yixian'!E53='2. Nayoung'!E53,1,0))</f>
        <v/>
      </c>
      <c r="F53" s="20" t="str">
        <f>IF('1. Yixian'!F53="","",IF('1. Yixian'!F53='2. Nayoung'!F53,1,0))</f>
        <v/>
      </c>
      <c r="G53" s="20" t="str">
        <f>IF('1. Yixian'!G53="","",IF('1. Yixian'!G53='2. Nayoung'!G53,1,0))</f>
        <v/>
      </c>
      <c r="H53" s="20" t="str">
        <f>IF('1. Yixian'!J53="","",IF(RIGHT('1. Yixian'!J53,3)=RIGHT('2. Nayoung'!J53,3),1,0))</f>
        <v/>
      </c>
      <c r="I53" s="20" t="str">
        <f>IF(H53="","",IF(OR('2. Nayoung'!K53="", '1. Yixian'!K53 = ""),0,1))</f>
        <v/>
      </c>
      <c r="J53" s="20" t="str">
        <f>IF('1. Yixian'!L53="","",IF('1. Yixian'!L53='2. Nayoung'!L53,1,0))</f>
        <v/>
      </c>
      <c r="K53" s="20" t="str">
        <f>IF('1. Yixian'!M53="","",IF('1. Yixian'!M53='2. Nayoung'!M53,1,0))</f>
        <v/>
      </c>
      <c r="L53" s="20" t="str">
        <f>IF('1. Yixian'!N53="","",IF('1. Yixian'!N53='2. Nayoung'!N53,1,0))</f>
        <v/>
      </c>
      <c r="M53" s="20" t="str">
        <f>IF('1. Yixian'!O53="","",IF('1. Yixian'!O53='2. Nayoung'!O53,1,0))</f>
        <v/>
      </c>
      <c r="N53" s="20" t="str">
        <f>IF('1. Yixian'!P53="","",IF('1. Yixian'!P53='2. Nayoung'!P53,1,0))</f>
        <v/>
      </c>
      <c r="O53" s="20" t="str">
        <f>IF('1. Yixian'!Q53="","",IF('1. Yixian'!Q53='2. Nayoung'!Q53,1,0))</f>
        <v/>
      </c>
      <c r="P53" s="20" t="str">
        <f>IF('1. Yixian'!R53="","",IF('1. Yixian'!R53='2. Nayoung'!R53,1,0))</f>
        <v/>
      </c>
      <c r="Q53" s="20" t="str">
        <f>IF('1. Yixian'!S53="","",IF('1. Yixian'!S53='2. Nayoung'!S53,1,0))</f>
        <v/>
      </c>
      <c r="R53" s="20" t="str">
        <f>IF('1. Yixian'!T53="","",IF('1. Yixian'!T53='2. Nayoung'!T53,1,0))</f>
        <v/>
      </c>
      <c r="S53" s="20" t="str">
        <f>IF(R53="","",IF(OR('2. Nayoung'!U53="", '1. Yixian'!U53 = ""),0,1))</f>
        <v/>
      </c>
      <c r="T53" s="20" t="str">
        <f>IF('1. Yixian'!V53="","",IF('1. Yixian'!V53='2. Nayoung'!V53,1,0))</f>
        <v/>
      </c>
      <c r="U53" s="20" t="str">
        <f>IF('1. Yixian'!W53="","",IF('1. Yixian'!W53='2. Nayoung'!W53,1,0))</f>
        <v/>
      </c>
      <c r="V53" s="20" t="str">
        <f>IF('1. Yixian'!X53="","",IF('1. Yixian'!X53='2. Nayoung'!X53,1,0))</f>
        <v/>
      </c>
      <c r="W53" s="20" t="str">
        <f>IF('1. Yixian'!Y53="","",IF('1. Yixian'!Y53='2. Nayoung'!Y53,1,0))</f>
        <v/>
      </c>
      <c r="X53" s="20" t="str">
        <f>IF('1. Yixian'!Z53="","",IF('1. Yixian'!Z53='2. Nayoung'!Z53,1,0))</f>
        <v/>
      </c>
      <c r="Z53" s="20" t="str">
        <f>IF('1. Yixian'!AB53="","",IF('1. Yixian'!AB53='2. Nayoung'!AB53,1,0))</f>
        <v/>
      </c>
      <c r="AA53" s="20" t="str">
        <f>IF('1. Yixian'!AC53="","",IF('1. Yixian'!AC53='2. Nayoung'!AC53,1,0))</f>
        <v/>
      </c>
      <c r="AB53" s="20">
        <f>IF(OR('2. Nayoung'!AD52="", '1. Yixian'!AD53 = ""),0,1)</f>
        <v>1</v>
      </c>
      <c r="AC53" s="20">
        <f>IF('1. Yixian'!AE53="","",IF('1. Yixian'!AE53='2. Nayoung'!AE53,1,0))</f>
        <v>1</v>
      </c>
      <c r="AD53" s="20">
        <f>IF('1. Yixian'!AF53="","",IF('1. Yixian'!AF53='2. Nayoung'!AF53,1,0))</f>
        <v>0</v>
      </c>
      <c r="AF53" s="20">
        <f>IF('1. Yixian'!AH53="","",IF('1. Yixian'!AH53='2. Nayoung'!AH53,1,0))</f>
        <v>1</v>
      </c>
      <c r="AG53" s="20">
        <f>IF('1. Yixian'!AI53="","",IF('1. Yixian'!AI53='2. Nayoung'!AI53,1,0))</f>
        <v>1</v>
      </c>
      <c r="AH53" s="20">
        <f>IF('1. Yixian'!AJ53="","",IF('1. Yixian'!AJ53='2. Nayoung'!AJ53,1,0))</f>
        <v>1</v>
      </c>
      <c r="AI53" s="20">
        <f>IF('1. Yixian'!AK53="","",IF('1. Yixian'!AK53='2. Nayoung'!AK53,1,0))</f>
        <v>1</v>
      </c>
      <c r="AJ53" s="20">
        <f>IF('1. Yixian'!AL53="","",IF('1. Yixian'!AL53='2. Nayoung'!AL53,1,0))</f>
        <v>1</v>
      </c>
      <c r="AK53" s="20">
        <f>IF('1. Yixian'!AM53="","",IF('1. Yixian'!AM53='2. Nayoung'!AM53,1,0))</f>
        <v>1</v>
      </c>
      <c r="AL53" s="20">
        <f>IF('1. Yixian'!AT53='2. Nayoung'!AT53, 1, 0)</f>
        <v>1</v>
      </c>
      <c r="AM53" s="20">
        <f>IF('1. Yixian'!AU53='2. Nayoung'!AU52, 1, 0)</f>
        <v>1</v>
      </c>
      <c r="AN53" s="2"/>
    </row>
    <row r="54" spans="1:40" s="20" customFormat="1" ht="17" hidden="1" customHeight="1">
      <c r="A54" s="20" t="str">
        <f>IF('1. Yixian'!A54="","",IF('1. Yixian'!A54='2. Nayoung'!A54,1,0))</f>
        <v/>
      </c>
      <c r="B54" s="20" t="str">
        <f>IF('1. Yixian'!B54="","",IF(RIGHT('1. Yixian'!B54,2)=RIGHT('2. Nayoung'!B54,2),1,0))</f>
        <v/>
      </c>
      <c r="C54" s="20" t="str">
        <f>IF('1. Yixian'!C54="","",IF('1. Yixian'!C54='2. Nayoung'!C54,1,0))</f>
        <v/>
      </c>
      <c r="E54" s="20" t="str">
        <f>IF('1. Yixian'!E54="","",IF('1. Yixian'!E54='2. Nayoung'!E54,1,0))</f>
        <v/>
      </c>
      <c r="F54" s="20" t="str">
        <f>IF('1. Yixian'!F54="","",IF('1. Yixian'!F54='2. Nayoung'!F54,1,0))</f>
        <v/>
      </c>
      <c r="G54" s="20" t="str">
        <f>IF('1. Yixian'!G54="","",IF('1. Yixian'!G54='2. Nayoung'!G54,1,0))</f>
        <v/>
      </c>
      <c r="H54" s="20">
        <f>IF('1. Yixian'!J54="","",IF(RIGHT('1. Yixian'!J54,3)=RIGHT('2. Nayoung'!J54,3),1,0))</f>
        <v>0</v>
      </c>
      <c r="I54" s="20">
        <f>IF(H54="","",IF(OR('2. Nayoung'!K54="", '1. Yixian'!K54 = ""),0,1))</f>
        <v>1</v>
      </c>
      <c r="J54" s="20">
        <f>IF('1. Yixian'!L54="","",IF('1. Yixian'!L54='2. Nayoung'!L54,1,0))</f>
        <v>1</v>
      </c>
      <c r="K54" s="20">
        <f>IF('1. Yixian'!M54="","",IF('1. Yixian'!M54='2. Nayoung'!M54,1,0))</f>
        <v>1</v>
      </c>
      <c r="L54" s="20">
        <f>IF('1. Yixian'!N54="","",IF('1. Yixian'!N54='2. Nayoung'!N54,1,0))</f>
        <v>1</v>
      </c>
      <c r="M54" s="20">
        <f>IF('1. Yixian'!O54="","",IF('1. Yixian'!O54='2. Nayoung'!O54,1,0))</f>
        <v>1</v>
      </c>
      <c r="N54" s="20">
        <f>IF('1. Yixian'!P54="","",IF('1. Yixian'!P54='2. Nayoung'!P54,1,0))</f>
        <v>1</v>
      </c>
      <c r="O54" s="20">
        <f>IF('1. Yixian'!Q54="","",IF('1. Yixian'!Q54='2. Nayoung'!Q54,1,0))</f>
        <v>1</v>
      </c>
      <c r="P54" s="20">
        <f>IF('1. Yixian'!R54="","",IF('1. Yixian'!R54='2. Nayoung'!R54,1,0))</f>
        <v>1</v>
      </c>
      <c r="Q54" s="20">
        <f>IF('1. Yixian'!S54="","",IF('1. Yixian'!S54='2. Nayoung'!S54,1,0))</f>
        <v>1</v>
      </c>
      <c r="R54" s="20">
        <f>IF('1. Yixian'!T54="","",IF('1. Yixian'!T54='2. Nayoung'!T54,1,0))</f>
        <v>1</v>
      </c>
      <c r="S54" s="20">
        <f>IF(R54="","",IF(OR('2. Nayoung'!U54="", '1. Yixian'!U54 = ""),0,1))</f>
        <v>1</v>
      </c>
      <c r="T54" s="20">
        <f>IF('1. Yixian'!V54="","",IF('1. Yixian'!V54='2. Nayoung'!V54,1,0))</f>
        <v>1</v>
      </c>
      <c r="U54" s="20">
        <f>IF('1. Yixian'!W54="","",IF('1. Yixian'!W54='2. Nayoung'!W54,1,0))</f>
        <v>1</v>
      </c>
      <c r="V54" s="20">
        <f>IF('1. Yixian'!X54="","",IF('1. Yixian'!X54='2. Nayoung'!X54,1,0))</f>
        <v>1</v>
      </c>
      <c r="W54" s="20">
        <f>IF('1. Yixian'!Y54="","",IF('1. Yixian'!Y54='2. Nayoung'!Y54,1,0))</f>
        <v>1</v>
      </c>
      <c r="X54" s="20">
        <f>IF('1. Yixian'!Z54="","",IF('1. Yixian'!Z54='2. Nayoung'!Z54,1,0))</f>
        <v>1</v>
      </c>
      <c r="Z54" s="20">
        <f>IF('1. Yixian'!AB54="","",IF('1. Yixian'!AB54='2. Nayoung'!AB54,1,0))</f>
        <v>1</v>
      </c>
      <c r="AA54" s="20">
        <f>IF('1. Yixian'!AC54="","",IF('1. Yixian'!AC54='2. Nayoung'!AC54,1,0))</f>
        <v>1</v>
      </c>
      <c r="AB54" s="20">
        <f>IF(OR('2. Nayoung'!AD53="", '1. Yixian'!AD54 = ""),0,1)</f>
        <v>1</v>
      </c>
      <c r="AC54" s="20">
        <f>IF('1. Yixian'!AE54="","",IF('1. Yixian'!AE54='2. Nayoung'!AE54,1,0))</f>
        <v>1</v>
      </c>
      <c r="AD54" s="20">
        <f>IF('1. Yixian'!AF54="","",IF('1. Yixian'!AF54='2. Nayoung'!AF54,1,0))</f>
        <v>0</v>
      </c>
      <c r="AF54" s="20">
        <f>IF('1. Yixian'!AH54="","",IF('1. Yixian'!AH54='2. Nayoung'!AH54,1,0))</f>
        <v>1</v>
      </c>
      <c r="AG54" s="20">
        <f>IF('1. Yixian'!AI54="","",IF('1. Yixian'!AI54='2. Nayoung'!AI54,1,0))</f>
        <v>1</v>
      </c>
      <c r="AH54" s="20">
        <f>IF('1. Yixian'!AJ54="","",IF('1. Yixian'!AJ54='2. Nayoung'!AJ54,1,0))</f>
        <v>1</v>
      </c>
      <c r="AI54" s="20">
        <f>IF('1. Yixian'!AK54="","",IF('1. Yixian'!AK54='2. Nayoung'!AK54,1,0))</f>
        <v>1</v>
      </c>
      <c r="AJ54" s="20">
        <f>IF('1. Yixian'!AL54="","",IF('1. Yixian'!AL54='2. Nayoung'!AL54,1,0))</f>
        <v>1</v>
      </c>
      <c r="AK54" s="20">
        <f>IF('1. Yixian'!AM54="","",IF('1. Yixian'!AM54='2. Nayoung'!AM54,1,0))</f>
        <v>1</v>
      </c>
      <c r="AL54" s="20">
        <f>IF('1. Yixian'!AT54='2. Nayoung'!AT54, 1, 0)</f>
        <v>1</v>
      </c>
      <c r="AM54" s="20">
        <f>IF('1. Yixian'!AU54='2. Nayoung'!AU53, 1, 0)</f>
        <v>1</v>
      </c>
      <c r="AN54" s="2"/>
    </row>
    <row r="55" spans="1:40" s="20" customFormat="1" ht="17" hidden="1" customHeight="1">
      <c r="A55" s="20" t="str">
        <f>IF('1. Yixian'!A55="","",IF('1. Yixian'!A55='2. Nayoung'!A55,1,0))</f>
        <v/>
      </c>
      <c r="B55" s="20" t="str">
        <f>IF('1. Yixian'!B55="","",IF(RIGHT('1. Yixian'!B55,2)=RIGHT('2. Nayoung'!B55,2),1,0))</f>
        <v/>
      </c>
      <c r="C55" s="20" t="str">
        <f>IF('1. Yixian'!C55="","",IF('1. Yixian'!C55='2. Nayoung'!C55,1,0))</f>
        <v/>
      </c>
      <c r="E55" s="20" t="str">
        <f>IF('1. Yixian'!E55="","",IF('1. Yixian'!E55='2. Nayoung'!E55,1,0))</f>
        <v/>
      </c>
      <c r="F55" s="20" t="str">
        <f>IF('1. Yixian'!F55="","",IF('1. Yixian'!F55='2. Nayoung'!F55,1,0))</f>
        <v/>
      </c>
      <c r="G55" s="20" t="str">
        <f>IF('1. Yixian'!G55="","",IF('1. Yixian'!G55='2. Nayoung'!G55,1,0))</f>
        <v/>
      </c>
      <c r="H55" s="20" t="str">
        <f>IF('1. Yixian'!J55="","",IF(RIGHT('1. Yixian'!J55,3)=RIGHT('2. Nayoung'!J55,3),1,0))</f>
        <v/>
      </c>
      <c r="I55" s="20" t="str">
        <f>IF(H55="","",IF(OR('2. Nayoung'!K55="", '1. Yixian'!K55 = ""),0,1))</f>
        <v/>
      </c>
      <c r="J55" s="20" t="str">
        <f>IF('1. Yixian'!L55="","",IF('1. Yixian'!L55='2. Nayoung'!L55,1,0))</f>
        <v/>
      </c>
      <c r="K55" s="20" t="str">
        <f>IF('1. Yixian'!M55="","",IF('1. Yixian'!M55='2. Nayoung'!M55,1,0))</f>
        <v/>
      </c>
      <c r="L55" s="20" t="str">
        <f>IF('1. Yixian'!N55="","",IF('1. Yixian'!N55='2. Nayoung'!N55,1,0))</f>
        <v/>
      </c>
      <c r="M55" s="20" t="str">
        <f>IF('1. Yixian'!O55="","",IF('1. Yixian'!O55='2. Nayoung'!O55,1,0))</f>
        <v/>
      </c>
      <c r="N55" s="20" t="str">
        <f>IF('1. Yixian'!P55="","",IF('1. Yixian'!P55='2. Nayoung'!P55,1,0))</f>
        <v/>
      </c>
      <c r="O55" s="20" t="str">
        <f>IF('1. Yixian'!Q55="","",IF('1. Yixian'!Q55='2. Nayoung'!Q55,1,0))</f>
        <v/>
      </c>
      <c r="P55" s="20" t="str">
        <f>IF('1. Yixian'!R55="","",IF('1. Yixian'!R55='2. Nayoung'!R55,1,0))</f>
        <v/>
      </c>
      <c r="Q55" s="20" t="str">
        <f>IF('1. Yixian'!S55="","",IF('1. Yixian'!S55='2. Nayoung'!S55,1,0))</f>
        <v/>
      </c>
      <c r="R55" s="20" t="str">
        <f>IF('1. Yixian'!T55="","",IF('1. Yixian'!T55='2. Nayoung'!T55,1,0))</f>
        <v/>
      </c>
      <c r="S55" s="20" t="str">
        <f>IF(R55="","",IF(OR('2. Nayoung'!U55="", '1. Yixian'!U55 = ""),0,1))</f>
        <v/>
      </c>
      <c r="T55" s="20" t="str">
        <f>IF('1. Yixian'!V55="","",IF('1. Yixian'!V55='2. Nayoung'!V55,1,0))</f>
        <v/>
      </c>
      <c r="U55" s="20" t="str">
        <f>IF('1. Yixian'!W55="","",IF('1. Yixian'!W55='2. Nayoung'!W55,1,0))</f>
        <v/>
      </c>
      <c r="V55" s="20" t="str">
        <f>IF('1. Yixian'!X55="","",IF('1. Yixian'!X55='2. Nayoung'!X55,1,0))</f>
        <v/>
      </c>
      <c r="W55" s="20" t="str">
        <f>IF('1. Yixian'!Y55="","",IF('1. Yixian'!Y55='2. Nayoung'!Y55,1,0))</f>
        <v/>
      </c>
      <c r="X55" s="20" t="str">
        <f>IF('1. Yixian'!Z55="","",IF('1. Yixian'!Z55='2. Nayoung'!Z55,1,0))</f>
        <v/>
      </c>
      <c r="Z55" s="20" t="str">
        <f>IF('1. Yixian'!AB55="","",IF('1. Yixian'!AB55='2. Nayoung'!AB55,1,0))</f>
        <v/>
      </c>
      <c r="AA55" s="20" t="str">
        <f>IF('1. Yixian'!AC55="","",IF('1. Yixian'!AC55='2. Nayoung'!AC55,1,0))</f>
        <v/>
      </c>
      <c r="AB55" s="20">
        <f>IF(OR('2. Nayoung'!AD54="", '1. Yixian'!AD55 = ""),0,1)</f>
        <v>1</v>
      </c>
      <c r="AC55" s="20">
        <f>IF('1. Yixian'!AE55="","",IF('1. Yixian'!AE55='2. Nayoung'!AE55,1,0))</f>
        <v>1</v>
      </c>
      <c r="AD55" s="20">
        <f>IF('1. Yixian'!AF55="","",IF('1. Yixian'!AF55='2. Nayoung'!AF55,1,0))</f>
        <v>0</v>
      </c>
      <c r="AF55" s="20">
        <f>IF('1. Yixian'!AH55="","",IF('1. Yixian'!AH55='2. Nayoung'!AH55,1,0))</f>
        <v>1</v>
      </c>
      <c r="AG55" s="20">
        <f>IF('1. Yixian'!AI55="","",IF('1. Yixian'!AI55='2. Nayoung'!AI55,1,0))</f>
        <v>1</v>
      </c>
      <c r="AH55" s="20">
        <f>IF('1. Yixian'!AJ55="","",IF('1. Yixian'!AJ55='2. Nayoung'!AJ55,1,0))</f>
        <v>1</v>
      </c>
      <c r="AI55" s="20">
        <f>IF('1. Yixian'!AK55="","",IF('1. Yixian'!AK55='2. Nayoung'!AK55,1,0))</f>
        <v>1</v>
      </c>
      <c r="AJ55" s="20">
        <f>IF('1. Yixian'!AL55="","",IF('1. Yixian'!AL55='2. Nayoung'!AL55,1,0))</f>
        <v>1</v>
      </c>
      <c r="AK55" s="20">
        <f>IF('1. Yixian'!AM55="","",IF('1. Yixian'!AM55='2. Nayoung'!AM55,1,0))</f>
        <v>1</v>
      </c>
      <c r="AL55" s="20">
        <f>IF('1. Yixian'!AT55='2. Nayoung'!AT55, 1, 0)</f>
        <v>1</v>
      </c>
      <c r="AM55" s="20">
        <f>IF('1. Yixian'!AU55='2. Nayoung'!AU54, 1, 0)</f>
        <v>1</v>
      </c>
      <c r="AN55" s="2"/>
    </row>
    <row r="56" spans="1:40" s="20" customFormat="1" ht="17" hidden="1" customHeight="1">
      <c r="A56" s="20">
        <f>IF('1. Yixian'!A56="","",IF('1. Yixian'!A56='2. Nayoung'!A56,1,0))</f>
        <v>1</v>
      </c>
      <c r="B56" s="20">
        <f>IF('1. Yixian'!B56="","",IF(RIGHT('1. Yixian'!B56,2)=RIGHT('2. Nayoung'!B56,2),1,0))</f>
        <v>1</v>
      </c>
      <c r="C56" s="20">
        <f>IF('1. Yixian'!C56="","",IF('1. Yixian'!C56='2. Nayoung'!C56,1,0))</f>
        <v>1</v>
      </c>
      <c r="E56" s="20">
        <f>IF('1. Yixian'!E56="","",IF('1. Yixian'!E56='2. Nayoung'!E56,1,0))</f>
        <v>1</v>
      </c>
      <c r="F56" s="20">
        <f>IF('1. Yixian'!F56="","",IF('1. Yixian'!F56='2. Nayoung'!F56,1,0))</f>
        <v>1</v>
      </c>
      <c r="G56" s="20">
        <f>IF('1. Yixian'!G56="","",IF('1. Yixian'!G56='2. Nayoung'!G56,1,0))</f>
        <v>1</v>
      </c>
      <c r="H56" s="20">
        <f>IF('1. Yixian'!J56="","",IF(RIGHT('1. Yixian'!J56,3)=RIGHT('2. Nayoung'!J56,3),1,0))</f>
        <v>0</v>
      </c>
      <c r="I56" s="20">
        <f>IF(H56="","",IF(OR('2. Nayoung'!K56="", '1. Yixian'!K56 = ""),0,1))</f>
        <v>1</v>
      </c>
      <c r="J56" s="20">
        <f>IF('1. Yixian'!L56="","",IF('1. Yixian'!L56='2. Nayoung'!L56,1,0))</f>
        <v>1</v>
      </c>
      <c r="K56" s="20">
        <f>IF('1. Yixian'!M56="","",IF('1. Yixian'!M56='2. Nayoung'!M56,1,0))</f>
        <v>1</v>
      </c>
      <c r="L56" s="20">
        <f>IF('1. Yixian'!N56="","",IF('1. Yixian'!N56='2. Nayoung'!N56,1,0))</f>
        <v>1</v>
      </c>
      <c r="M56" s="20">
        <f>IF('1. Yixian'!O56="","",IF('1. Yixian'!O56='2. Nayoung'!O56,1,0))</f>
        <v>1</v>
      </c>
      <c r="N56" s="20">
        <f>IF('1. Yixian'!P56="","",IF('1. Yixian'!P56='2. Nayoung'!P56,1,0))</f>
        <v>1</v>
      </c>
      <c r="O56" s="20">
        <f>IF('1. Yixian'!Q56="","",IF('1. Yixian'!Q56='2. Nayoung'!Q56,1,0))</f>
        <v>0</v>
      </c>
      <c r="P56" s="20">
        <f>IF('1. Yixian'!R56="","",IF('1. Yixian'!R56='2. Nayoung'!R56,1,0))</f>
        <v>1</v>
      </c>
      <c r="Q56" s="20">
        <f>IF('1. Yixian'!S56="","",IF('1. Yixian'!S56='2. Nayoung'!S56,1,0))</f>
        <v>0</v>
      </c>
      <c r="R56" s="20">
        <f>IF('1. Yixian'!T56="","",IF('1. Yixian'!T56='2. Nayoung'!T56,1,0))</f>
        <v>1</v>
      </c>
      <c r="S56" s="20">
        <f>IF(R56="","",IF(OR('2. Nayoung'!U56="", '1. Yixian'!U56 = ""),0,1))</f>
        <v>1</v>
      </c>
      <c r="T56" s="20">
        <f>IF('1. Yixian'!V56="","",IF('1. Yixian'!V56='2. Nayoung'!V56,1,0))</f>
        <v>1</v>
      </c>
      <c r="U56" s="20">
        <f>IF('1. Yixian'!W56="","",IF('1. Yixian'!W56='2. Nayoung'!W56,1,0))</f>
        <v>1</v>
      </c>
      <c r="V56" s="20">
        <f>IF('1. Yixian'!X56="","",IF('1. Yixian'!X56='2. Nayoung'!X56,1,0))</f>
        <v>1</v>
      </c>
      <c r="W56" s="20">
        <f>IF('1. Yixian'!Y56="","",IF('1. Yixian'!Y56='2. Nayoung'!Y56,1,0))</f>
        <v>1</v>
      </c>
      <c r="X56" s="20">
        <f>IF('1. Yixian'!Z56="","",IF('1. Yixian'!Z56='2. Nayoung'!Z56,1,0))</f>
        <v>1</v>
      </c>
      <c r="Z56" s="20">
        <f>IF('1. Yixian'!AB56="","",IF('1. Yixian'!AB56='2. Nayoung'!AB56,1,0))</f>
        <v>1</v>
      </c>
      <c r="AA56" s="20">
        <f>IF('1. Yixian'!AC56="","",IF('1. Yixian'!AC56='2. Nayoung'!AC56,1,0))</f>
        <v>1</v>
      </c>
      <c r="AB56" s="20">
        <f>IF(OR('2. Nayoung'!AD55="", '1. Yixian'!AD56 = ""),0,1)</f>
        <v>1</v>
      </c>
      <c r="AC56" s="20">
        <f>IF('1. Yixian'!AE56="","",IF('1. Yixian'!AE56='2. Nayoung'!AE56,1,0))</f>
        <v>1</v>
      </c>
      <c r="AD56" s="20">
        <f>IF('1. Yixian'!AF56="","",IF('1. Yixian'!AF56='2. Nayoung'!AF56,1,0))</f>
        <v>0</v>
      </c>
      <c r="AF56" s="20">
        <f>IF('1. Yixian'!AH56="","",IF('1. Yixian'!AH56='2. Nayoung'!AH56,1,0))</f>
        <v>1</v>
      </c>
      <c r="AG56" s="20">
        <f>IF('1. Yixian'!AI56="","",IF('1. Yixian'!AI56='2. Nayoung'!AI56,1,0))</f>
        <v>1</v>
      </c>
      <c r="AH56" s="20">
        <f>IF('1. Yixian'!AJ56="","",IF('1. Yixian'!AJ56='2. Nayoung'!AJ56,1,0))</f>
        <v>1</v>
      </c>
      <c r="AI56" s="20">
        <f>IF('1. Yixian'!AK56="","",IF('1. Yixian'!AK56='2. Nayoung'!AK56,1,0))</f>
        <v>1</v>
      </c>
      <c r="AJ56" s="20">
        <f>IF('1. Yixian'!AL56="","",IF('1. Yixian'!AL56='2. Nayoung'!AL56,1,0))</f>
        <v>1</v>
      </c>
      <c r="AK56" s="20">
        <f>IF('1. Yixian'!AM56="","",IF('1. Yixian'!AM56='2. Nayoung'!AM56,1,0))</f>
        <v>1</v>
      </c>
      <c r="AL56" s="20">
        <f>IF('1. Yixian'!AT56='2. Nayoung'!AT56, 1, 0)</f>
        <v>1</v>
      </c>
      <c r="AM56" s="20">
        <f>IF('1. Yixian'!AU56='2. Nayoung'!AU55, 1, 0)</f>
        <v>1</v>
      </c>
      <c r="AN56" s="2"/>
    </row>
    <row r="57" spans="1:40" s="66" customFormat="1" ht="17" hidden="1" customHeight="1" thickBot="1">
      <c r="A57" s="66" t="str">
        <f>IF('1. Yixian'!A57="","",IF('1. Yixian'!A57='2. Nayoung'!A57,1,0))</f>
        <v/>
      </c>
      <c r="B57" s="66" t="str">
        <f>IF('1. Yixian'!B57="","",IF(RIGHT('1. Yixian'!B57,2)=RIGHT('2. Nayoung'!B57,2),1,0))</f>
        <v/>
      </c>
      <c r="C57" s="66" t="str">
        <f>IF('1. Yixian'!C57="","",IF('1. Yixian'!C57='2. Nayoung'!C57,1,0))</f>
        <v/>
      </c>
      <c r="E57" s="66" t="str">
        <f>IF('1. Yixian'!E57="","",IF('1. Yixian'!E57='2. Nayoung'!E57,1,0))</f>
        <v/>
      </c>
      <c r="F57" s="66" t="str">
        <f>IF('1. Yixian'!F57="","",IF('1. Yixian'!F57='2. Nayoung'!F57,1,0))</f>
        <v/>
      </c>
      <c r="G57" s="66" t="str">
        <f>IF('1. Yixian'!G57="","",IF('1. Yixian'!G57='2. Nayoung'!G57,1,0))</f>
        <v/>
      </c>
      <c r="H57" s="66">
        <f>IF('1. Yixian'!J57="","",IF(RIGHT('1. Yixian'!J57,3)=RIGHT('2. Nayoung'!J57,3),1,0))</f>
        <v>0</v>
      </c>
      <c r="I57" s="66">
        <f>IF(H57="","",IF(OR('2. Nayoung'!K57="", '1. Yixian'!K57 = ""),0,1))</f>
        <v>1</v>
      </c>
      <c r="J57" s="66">
        <f>IF('1. Yixian'!L57="","",IF('1. Yixian'!L57='2. Nayoung'!L57,1,0))</f>
        <v>1</v>
      </c>
      <c r="K57" s="66">
        <f>IF('1. Yixian'!M57="","",IF('1. Yixian'!M57='2. Nayoung'!M57,1,0))</f>
        <v>1</v>
      </c>
      <c r="L57" s="66">
        <f>IF('1. Yixian'!N57="","",IF('1. Yixian'!N57='2. Nayoung'!N57,1,0))</f>
        <v>1</v>
      </c>
      <c r="M57" s="66">
        <f>IF('1. Yixian'!O57="","",IF('1. Yixian'!O57='2. Nayoung'!O57,1,0))</f>
        <v>1</v>
      </c>
      <c r="N57" s="66">
        <f>IF('1. Yixian'!P57="","",IF('1. Yixian'!P57='2. Nayoung'!P57,1,0))</f>
        <v>1</v>
      </c>
      <c r="O57" s="66">
        <f>IF('1. Yixian'!Q57="","",IF('1. Yixian'!Q57='2. Nayoung'!Q57,1,0))</f>
        <v>0</v>
      </c>
      <c r="P57" s="66">
        <f>IF('1. Yixian'!R57="","",IF('1. Yixian'!R57='2. Nayoung'!R57,1,0))</f>
        <v>1</v>
      </c>
      <c r="Q57" s="66">
        <f>IF('1. Yixian'!S57="","",IF('1. Yixian'!S57='2. Nayoung'!S57,1,0))</f>
        <v>0</v>
      </c>
      <c r="R57" s="66">
        <f>IF('1. Yixian'!T57="","",IF('1. Yixian'!T57='2. Nayoung'!T57,1,0))</f>
        <v>1</v>
      </c>
      <c r="S57" s="66">
        <f>IF(R57="","",IF(OR('2. Nayoung'!U57="", '1. Yixian'!U57 = ""),0,1))</f>
        <v>1</v>
      </c>
      <c r="T57" s="66">
        <f>IF('1. Yixian'!V57="","",IF('1. Yixian'!V57='2. Nayoung'!V57,1,0))</f>
        <v>1</v>
      </c>
      <c r="U57" s="66">
        <f>IF('1. Yixian'!W57="","",IF('1. Yixian'!W57='2. Nayoung'!W57,1,0))</f>
        <v>1</v>
      </c>
      <c r="V57" s="66">
        <f>IF('1. Yixian'!X57="","",IF('1. Yixian'!X57='2. Nayoung'!X57,1,0))</f>
        <v>1</v>
      </c>
      <c r="W57" s="66">
        <f>IF('1. Yixian'!Y57="","",IF('1. Yixian'!Y57='2. Nayoung'!Y57,1,0))</f>
        <v>1</v>
      </c>
      <c r="X57" s="66">
        <f>IF('1. Yixian'!Z57="","",IF('1. Yixian'!Z57='2. Nayoung'!Z57,1,0))</f>
        <v>1</v>
      </c>
      <c r="Z57" s="66">
        <f>IF('1. Yixian'!AB57="","",IF('1. Yixian'!AB57='2. Nayoung'!AB57,1,0))</f>
        <v>1</v>
      </c>
      <c r="AA57" s="66">
        <f>IF('1. Yixian'!AC57="","",IF('1. Yixian'!AC57='2. Nayoung'!AC57,1,0))</f>
        <v>1</v>
      </c>
      <c r="AB57" s="66">
        <f>IF(OR('2. Nayoung'!AD56="", '1. Yixian'!AD57 = ""),0,1)</f>
        <v>1</v>
      </c>
      <c r="AC57" s="66">
        <f>IF('1. Yixian'!AE57="","",IF('1. Yixian'!AE57='2. Nayoung'!AE57,1,0))</f>
        <v>1</v>
      </c>
      <c r="AD57" s="66">
        <f>IF('1. Yixian'!AF57="","",IF('1. Yixian'!AF57='2. Nayoung'!AF57,1,0))</f>
        <v>0</v>
      </c>
      <c r="AF57" s="66">
        <f>IF('1. Yixian'!AH57="","",IF('1. Yixian'!AH57='2. Nayoung'!AH57,1,0))</f>
        <v>1</v>
      </c>
      <c r="AG57" s="66">
        <f>IF('1. Yixian'!AI57="","",IF('1. Yixian'!AI57='2. Nayoung'!AI57,1,0))</f>
        <v>1</v>
      </c>
      <c r="AH57" s="66">
        <f>IF('1. Yixian'!AJ57="","",IF('1. Yixian'!AJ57='2. Nayoung'!AJ57,1,0))</f>
        <v>1</v>
      </c>
      <c r="AI57" s="66">
        <f>IF('1. Yixian'!AK57="","",IF('1. Yixian'!AK57='2. Nayoung'!AK57,1,0))</f>
        <v>1</v>
      </c>
      <c r="AJ57" s="66">
        <f>IF('1. Yixian'!AL57="","",IF('1. Yixian'!AL57='2. Nayoung'!AL57,1,0))</f>
        <v>1</v>
      </c>
      <c r="AK57" s="66">
        <f>IF('1. Yixian'!AM57="","",IF('1. Yixian'!AM57='2. Nayoung'!AM57,1,0))</f>
        <v>1</v>
      </c>
      <c r="AL57" s="66">
        <f>IF('1. Yixian'!AT57='2. Nayoung'!AT57, 1, 0)</f>
        <v>1</v>
      </c>
      <c r="AM57" s="66">
        <f>IF('1. Yixian'!AU57='2. Nayoung'!AU56, 1, 0)</f>
        <v>1</v>
      </c>
      <c r="AN57" s="68"/>
    </row>
    <row r="58" spans="1:40" s="20" customFormat="1" ht="17" hidden="1" customHeight="1">
      <c r="A58" s="20">
        <f>IF('1. Yixian'!A58="","",IF('1. Yixian'!A58='2. Nayoung'!A58,1,0))</f>
        <v>1</v>
      </c>
      <c r="B58" s="20">
        <f>IF('1. Yixian'!B58="","",IF(RIGHT('1. Yixian'!B58,2)=RIGHT('2. Nayoung'!B58,2),1,0))</f>
        <v>1</v>
      </c>
      <c r="C58" s="20">
        <f>IF('1. Yixian'!C58="","",IF('1. Yixian'!C58='2. Nayoung'!C58,1,0))</f>
        <v>1</v>
      </c>
      <c r="E58" s="20">
        <f>IF('1. Yixian'!E58="","",IF('1. Yixian'!E58='2. Nayoung'!E58,1,0))</f>
        <v>1</v>
      </c>
      <c r="F58" s="20">
        <f>IF('1. Yixian'!F58="","",IF('1. Yixian'!F58='2. Nayoung'!F58,1,0))</f>
        <v>1</v>
      </c>
      <c r="G58" s="20">
        <f>IF('1. Yixian'!G58="","",IF('1. Yixian'!G58='2. Nayoung'!G58,1,0))</f>
        <v>1</v>
      </c>
      <c r="H58" s="20">
        <f>IF('1. Yixian'!J58="","",IF(RIGHT('1. Yixian'!J58,3)=RIGHT('2. Nayoung'!J58,3),1,0))</f>
        <v>0</v>
      </c>
      <c r="I58" s="20">
        <f>IF(H58="","",IF(OR('2. Nayoung'!K58="", '1. Yixian'!K58 = ""),0,1))</f>
        <v>1</v>
      </c>
      <c r="J58" s="20">
        <f>IF('1. Yixian'!L58="","",IF('1. Yixian'!L58='2. Nayoung'!L58,1,0))</f>
        <v>1</v>
      </c>
      <c r="K58" s="20">
        <f>IF('1. Yixian'!M58="","",IF('1. Yixian'!M58='2. Nayoung'!M58,1,0))</f>
        <v>1</v>
      </c>
      <c r="L58" s="20">
        <f>IF('1. Yixian'!N58="","",IF('1. Yixian'!N58='2. Nayoung'!N58,1,0))</f>
        <v>1</v>
      </c>
      <c r="M58" s="20">
        <f>IF('1. Yixian'!O58="","",IF('1. Yixian'!O58='2. Nayoung'!O58,1,0))</f>
        <v>1</v>
      </c>
      <c r="N58" s="20">
        <f>IF('1. Yixian'!P58="","",IF('1. Yixian'!P58='2. Nayoung'!P58,1,0))</f>
        <v>1</v>
      </c>
      <c r="O58" s="20">
        <f>IF('1. Yixian'!Q58="","",IF('1. Yixian'!Q58='2. Nayoung'!Q58,1,0))</f>
        <v>1</v>
      </c>
      <c r="P58" s="20">
        <f>IF('1. Yixian'!R58="","",IF('1. Yixian'!R58='2. Nayoung'!R58,1,0))</f>
        <v>1</v>
      </c>
      <c r="Q58" s="20">
        <f>IF('1. Yixian'!S58="","",IF('1. Yixian'!S58='2. Nayoung'!S58,1,0))</f>
        <v>1</v>
      </c>
      <c r="R58" s="20">
        <f>IF('1. Yixian'!T58="","",IF('1. Yixian'!T58='2. Nayoung'!T58,1,0))</f>
        <v>1</v>
      </c>
      <c r="S58" s="20">
        <f>IF(R58="","",IF(OR('2. Nayoung'!U58="", '1. Yixian'!U58 = ""),0,1))</f>
        <v>1</v>
      </c>
      <c r="T58" s="20">
        <f>IF('1. Yixian'!V58="","",IF('1. Yixian'!V58='2. Nayoung'!V58,1,0))</f>
        <v>1</v>
      </c>
      <c r="U58" s="20">
        <f>IF('1. Yixian'!W58="","",IF('1. Yixian'!W58='2. Nayoung'!W58,1,0))</f>
        <v>1</v>
      </c>
      <c r="V58" s="20">
        <f>IF('1. Yixian'!X58="","",IF('1. Yixian'!X58='2. Nayoung'!X58,1,0))</f>
        <v>1</v>
      </c>
      <c r="W58" s="20">
        <f>IF('1. Yixian'!Y58="","",IF('1. Yixian'!Y58='2. Nayoung'!Y58,1,0))</f>
        <v>1</v>
      </c>
      <c r="X58" s="20">
        <f>IF('1. Yixian'!Z58="","",IF('1. Yixian'!Z58='2. Nayoung'!Z58,1,0))</f>
        <v>1</v>
      </c>
      <c r="Y58" s="20">
        <f>IF('1. Yixian'!AA58="","",IF('1. Yixian'!AA58='2. Nayoung'!AA58,1,0))</f>
        <v>1</v>
      </c>
      <c r="Z58" s="20">
        <f>IF('1. Yixian'!AB58="","",IF('1. Yixian'!AB58='2. Nayoung'!AB58,1,0))</f>
        <v>1</v>
      </c>
      <c r="AA58" s="20">
        <f>IF('1. Yixian'!AC58="","",IF('1. Yixian'!AC58='2. Nayoung'!AC58,1,0))</f>
        <v>1</v>
      </c>
      <c r="AB58" s="20">
        <f>IF(OR('2. Nayoung'!AD57="", '1. Yixian'!AD58 = ""),0,1)</f>
        <v>1</v>
      </c>
      <c r="AC58" s="20">
        <f>IF('1. Yixian'!AE58="","",IF('1. Yixian'!AE58='2. Nayoung'!AE58,1,0))</f>
        <v>1</v>
      </c>
      <c r="AD58" s="20">
        <f>IF(OR('2. Nayoung'!AF57="", '1. Yixian'!AF58 = ""),0,1)</f>
        <v>0</v>
      </c>
      <c r="AF58" s="20">
        <f>IF('1. Yixian'!AH58="","",IF('1. Yixian'!AH58='2. Nayoung'!AH58,1,0))</f>
        <v>1</v>
      </c>
      <c r="AG58" s="20">
        <f>IF('1. Yixian'!AI58="","",IF('1. Yixian'!AI58='2. Nayoung'!AI58,1,0))</f>
        <v>1</v>
      </c>
      <c r="AH58" s="20">
        <f>IF('1. Yixian'!AJ58="","",IF('1. Yixian'!AJ58='2. Nayoung'!AJ58,1,0))</f>
        <v>1</v>
      </c>
      <c r="AI58" s="20">
        <f>IF('1. Yixian'!AK58="","",IF('1. Yixian'!AK58='2. Nayoung'!AK58,1,0))</f>
        <v>1</v>
      </c>
      <c r="AJ58" s="20">
        <f>IF('1. Yixian'!AL58="","",IF('1. Yixian'!AL58='2. Nayoung'!AL58,1,0))</f>
        <v>1</v>
      </c>
      <c r="AK58" s="20">
        <f>IF('1. Yixian'!AM58="","",IF('1. Yixian'!AM58='2. Nayoung'!AM58,1,0))</f>
        <v>1</v>
      </c>
      <c r="AL58" s="20" t="str">
        <f>IF('1. Yixian'!AT58="","",IF('1. Yixian'!AT58='2. Nayoung'!AT58,1,0))</f>
        <v/>
      </c>
      <c r="AM58" s="20" t="e">
        <f>IF('1. Yixian'!AU58="","",IF('1. Yixian'!AU58='2. Nayoung'!#REF!,1,0))</f>
        <v>#REF!</v>
      </c>
      <c r="AN58" s="2"/>
    </row>
    <row r="59" spans="1:40" s="20" customFormat="1" ht="17" hidden="1" customHeight="1">
      <c r="A59" s="20" t="str">
        <f>IF('1. Yixian'!A59="","",IF('1. Yixian'!A59='2. Nayoung'!A59,1,0))</f>
        <v/>
      </c>
      <c r="B59" s="20" t="str">
        <f>IF('1. Yixian'!B59="","",IF(RIGHT('1. Yixian'!B59,2)=RIGHT('2. Nayoung'!B59,2),1,0))</f>
        <v/>
      </c>
      <c r="C59" s="20" t="str">
        <f>IF('1. Yixian'!C59="","",IF('1. Yixian'!C59='2. Nayoung'!C59,1,0))</f>
        <v/>
      </c>
      <c r="E59" s="20" t="str">
        <f>IF('1. Yixian'!E59="","",IF('1. Yixian'!E59='2. Nayoung'!E59,1,0))</f>
        <v/>
      </c>
      <c r="F59" s="20" t="str">
        <f>IF('1. Yixian'!F59="","",IF('1. Yixian'!F59='2. Nayoung'!F59,1,0))</f>
        <v/>
      </c>
      <c r="G59" s="20" t="str">
        <f>IF('1. Yixian'!G59="","",IF('1. Yixian'!G59='2. Nayoung'!G59,1,0))</f>
        <v/>
      </c>
      <c r="H59" s="20" t="str">
        <f>IF('1. Yixian'!J59="","",IF(RIGHT('1. Yixian'!J59,3)=RIGHT('2. Nayoung'!J59,3),1,0))</f>
        <v/>
      </c>
      <c r="I59" s="20" t="str">
        <f>IF(H59="","",IF(OR('2. Nayoung'!K59="", '1. Yixian'!K59 = ""),0,1))</f>
        <v/>
      </c>
      <c r="J59" s="20" t="str">
        <f>IF('1. Yixian'!L59="","",IF('1. Yixian'!L59='2. Nayoung'!L59,1,0))</f>
        <v/>
      </c>
      <c r="K59" s="20" t="str">
        <f>IF('1. Yixian'!M59="","",IF('1. Yixian'!M59='2. Nayoung'!M59,1,0))</f>
        <v/>
      </c>
      <c r="L59" s="20" t="str">
        <f>IF('1. Yixian'!N59="","",IF('1. Yixian'!N59='2. Nayoung'!N59,1,0))</f>
        <v/>
      </c>
      <c r="M59" s="20" t="str">
        <f>IF('1. Yixian'!O59="","",IF('1. Yixian'!O59='2. Nayoung'!O59,1,0))</f>
        <v/>
      </c>
      <c r="N59" s="20" t="str">
        <f>IF('1. Yixian'!P59="","",IF('1. Yixian'!P59='2. Nayoung'!P59,1,0))</f>
        <v/>
      </c>
      <c r="O59" s="20" t="str">
        <f>IF('1. Yixian'!Q59="","",IF('1. Yixian'!Q59='2. Nayoung'!Q59,1,0))</f>
        <v/>
      </c>
      <c r="P59" s="20" t="str">
        <f>IF('1. Yixian'!R59="","",IF('1. Yixian'!R59='2. Nayoung'!R59,1,0))</f>
        <v/>
      </c>
      <c r="Q59" s="20" t="str">
        <f>IF('1. Yixian'!S59="","",IF('1. Yixian'!S59='2. Nayoung'!S59,1,0))</f>
        <v/>
      </c>
      <c r="R59" s="20" t="str">
        <f>IF('1. Yixian'!T59="","",IF('1. Yixian'!T59='2. Nayoung'!T59,1,0))</f>
        <v/>
      </c>
      <c r="S59" s="20" t="str">
        <f>IF(R59="","",IF(OR('2. Nayoung'!U59="", '1. Yixian'!U59 = ""),0,1))</f>
        <v/>
      </c>
      <c r="T59" s="20" t="str">
        <f>IF('1. Yixian'!V59="","",IF('1. Yixian'!V59='2. Nayoung'!V59,1,0))</f>
        <v/>
      </c>
      <c r="U59" s="20" t="str">
        <f>IF('1. Yixian'!W59="","",IF('1. Yixian'!W59='2. Nayoung'!W59,1,0))</f>
        <v/>
      </c>
      <c r="V59" s="20" t="str">
        <f>IF('1. Yixian'!X59="","",IF('1. Yixian'!X59='2. Nayoung'!X59,1,0))</f>
        <v/>
      </c>
      <c r="W59" s="20" t="str">
        <f>IF('1. Yixian'!Y59="","",IF('1. Yixian'!Y59='2. Nayoung'!Y59,1,0))</f>
        <v/>
      </c>
      <c r="X59" s="20" t="str">
        <f>IF('1. Yixian'!Z59="","",IF('1. Yixian'!Z59='2. Nayoung'!Z59,1,0))</f>
        <v/>
      </c>
      <c r="Y59" s="20" t="str">
        <f>IF('1. Yixian'!AA59="","",IF('1. Yixian'!AA59='2. Nayoung'!AA59,1,0))</f>
        <v/>
      </c>
      <c r="Z59" s="20" t="str">
        <f>IF('1. Yixian'!AB59="","",IF('1. Yixian'!AB59='2. Nayoung'!AB59,1,0))</f>
        <v/>
      </c>
      <c r="AA59" s="20" t="str">
        <f>IF('1. Yixian'!AC59="","",IF('1. Yixian'!AC59='2. Nayoung'!AC59,1,0))</f>
        <v/>
      </c>
      <c r="AB59" s="20">
        <f>IF(OR('2. Nayoung'!AD58="", '1. Yixian'!AD59 = ""),0,1)</f>
        <v>1</v>
      </c>
      <c r="AC59" s="20">
        <f>IF('1. Yixian'!AE59="","",IF('1. Yixian'!AE59='2. Nayoung'!AE59,1,0))</f>
        <v>1</v>
      </c>
      <c r="AD59" s="20">
        <f>IF(OR('2. Nayoung'!AF58="", '1. Yixian'!AF59 = ""),0,1)</f>
        <v>1</v>
      </c>
      <c r="AF59" s="20">
        <f>IF('1. Yixian'!AH59="","",IF('1. Yixian'!AH59='2. Nayoung'!AH59,1,0))</f>
        <v>1</v>
      </c>
      <c r="AG59" s="20">
        <f>IF('1. Yixian'!AI59="","",IF('1. Yixian'!AI59='2. Nayoung'!AI59,1,0))</f>
        <v>1</v>
      </c>
      <c r="AH59" s="20">
        <f>IF('1. Yixian'!AJ59="","",IF('1. Yixian'!AJ59='2. Nayoung'!AJ59,1,0))</f>
        <v>1</v>
      </c>
      <c r="AI59" s="20">
        <f>IF('1. Yixian'!AK59="","",IF('1. Yixian'!AK59='2. Nayoung'!AK59,1,0))</f>
        <v>1</v>
      </c>
      <c r="AJ59" s="20">
        <f>IF('1. Yixian'!AL59="","",IF('1. Yixian'!AL59='2. Nayoung'!AL59,1,0))</f>
        <v>1</v>
      </c>
      <c r="AK59" s="20">
        <f>IF('1. Yixian'!AM59="","",IF('1. Yixian'!AM59='2. Nayoung'!AM59,1,0))</f>
        <v>1</v>
      </c>
      <c r="AL59" s="20" t="str">
        <f>IF('1. Yixian'!AT59="","",IF('1. Yixian'!AT59='2. Nayoung'!AT59,1,0))</f>
        <v/>
      </c>
      <c r="AM59" s="20" t="e">
        <f>IF('1. Yixian'!AU59="","",IF('1. Yixian'!AU59='2. Nayoung'!#REF!,1,0))</f>
        <v>#REF!</v>
      </c>
      <c r="AN59" s="2"/>
    </row>
    <row r="60" spans="1:40" s="20" customFormat="1" ht="17" hidden="1" customHeight="1">
      <c r="A60" s="20" t="str">
        <f>IF('1. Yixian'!A60="","",IF('1. Yixian'!A60='2. Nayoung'!A60,1,0))</f>
        <v/>
      </c>
      <c r="B60" s="20" t="str">
        <f>IF('1. Yixian'!B60="","",IF(RIGHT('1. Yixian'!B60,2)=RIGHT('2. Nayoung'!B60,2),1,0))</f>
        <v/>
      </c>
      <c r="C60" s="20" t="str">
        <f>IF('1. Yixian'!C60="","",IF('1. Yixian'!C60='2. Nayoung'!C60,1,0))</f>
        <v/>
      </c>
      <c r="E60" s="20" t="str">
        <f>IF('1. Yixian'!E60="","",IF('1. Yixian'!E60='2. Nayoung'!E60,1,0))</f>
        <v/>
      </c>
      <c r="F60" s="20" t="str">
        <f>IF('1. Yixian'!F60="","",IF('1. Yixian'!F60='2. Nayoung'!F60,1,0))</f>
        <v/>
      </c>
      <c r="G60" s="20" t="str">
        <f>IF('1. Yixian'!G60="","",IF('1. Yixian'!G60='2. Nayoung'!G60,1,0))</f>
        <v/>
      </c>
      <c r="H60" s="20" t="str">
        <f>IF('1. Yixian'!J60="","",IF(RIGHT('1. Yixian'!J60,3)=RIGHT('2. Nayoung'!J60,3),1,0))</f>
        <v/>
      </c>
      <c r="I60" s="20" t="str">
        <f>IF(H60="","",IF(OR('2. Nayoung'!K60="", '1. Yixian'!K60 = ""),0,1))</f>
        <v/>
      </c>
      <c r="J60" s="20" t="str">
        <f>IF('1. Yixian'!L60="","",IF('1. Yixian'!L60='2. Nayoung'!L60,1,0))</f>
        <v/>
      </c>
      <c r="K60" s="20" t="str">
        <f>IF('1. Yixian'!M60="","",IF('1. Yixian'!M60='2. Nayoung'!M60,1,0))</f>
        <v/>
      </c>
      <c r="L60" s="20" t="str">
        <f>IF('1. Yixian'!N60="","",IF('1. Yixian'!N60='2. Nayoung'!N60,1,0))</f>
        <v/>
      </c>
      <c r="M60" s="20" t="str">
        <f>IF('1. Yixian'!O60="","",IF('1. Yixian'!O60='2. Nayoung'!O60,1,0))</f>
        <v/>
      </c>
      <c r="N60" s="20" t="str">
        <f>IF('1. Yixian'!P60="","",IF('1. Yixian'!P60='2. Nayoung'!P60,1,0))</f>
        <v/>
      </c>
      <c r="O60" s="20" t="str">
        <f>IF('1. Yixian'!Q60="","",IF('1. Yixian'!Q60='2. Nayoung'!Q60,1,0))</f>
        <v/>
      </c>
      <c r="P60" s="20" t="str">
        <f>IF('1. Yixian'!R60="","",IF('1. Yixian'!R60='2. Nayoung'!R60,1,0))</f>
        <v/>
      </c>
      <c r="Q60" s="20" t="str">
        <f>IF('1. Yixian'!S60="","",IF('1. Yixian'!S60='2. Nayoung'!S60,1,0))</f>
        <v/>
      </c>
      <c r="R60" s="20" t="str">
        <f>IF('1. Yixian'!T60="","",IF('1. Yixian'!T60='2. Nayoung'!T60,1,0))</f>
        <v/>
      </c>
      <c r="S60" s="20" t="str">
        <f>IF(R60="","",IF(OR('2. Nayoung'!U60="", '1. Yixian'!U60 = ""),0,1))</f>
        <v/>
      </c>
      <c r="T60" s="20" t="str">
        <f>IF('1. Yixian'!V60="","",IF('1. Yixian'!V60='2. Nayoung'!V60,1,0))</f>
        <v/>
      </c>
      <c r="U60" s="20" t="str">
        <f>IF('1. Yixian'!W60="","",IF('1. Yixian'!W60='2. Nayoung'!W60,1,0))</f>
        <v/>
      </c>
      <c r="V60" s="20" t="str">
        <f>IF('1. Yixian'!X60="","",IF('1. Yixian'!X60='2. Nayoung'!X60,1,0))</f>
        <v/>
      </c>
      <c r="W60" s="20" t="str">
        <f>IF('1. Yixian'!Y60="","",IF('1. Yixian'!Y60='2. Nayoung'!Y60,1,0))</f>
        <v/>
      </c>
      <c r="X60" s="20" t="str">
        <f>IF('1. Yixian'!Z60="","",IF('1. Yixian'!Z60='2. Nayoung'!Z60,1,0))</f>
        <v/>
      </c>
      <c r="Y60" s="20" t="str">
        <f>IF('1. Yixian'!AA60="","",IF('1. Yixian'!AA60='2. Nayoung'!AA60,1,0))</f>
        <v/>
      </c>
      <c r="Z60" s="20" t="str">
        <f>IF('1. Yixian'!AB60="","",IF('1. Yixian'!AB60='2. Nayoung'!AB60,1,0))</f>
        <v/>
      </c>
      <c r="AA60" s="20" t="str">
        <f>IF('1. Yixian'!AC60="","",IF('1. Yixian'!AC60='2. Nayoung'!AC60,1,0))</f>
        <v/>
      </c>
      <c r="AB60" s="20">
        <f>IF(OR('2. Nayoung'!AD59="", '1. Yixian'!AD60 = ""),0,1)</f>
        <v>1</v>
      </c>
      <c r="AC60" s="20">
        <f>IF('1. Yixian'!AE60="","",IF('1. Yixian'!AE60='2. Nayoung'!AE60,1,0))</f>
        <v>1</v>
      </c>
      <c r="AD60" s="20">
        <f>IF(OR('2. Nayoung'!AF59="", '1. Yixian'!AF60 = ""),0,1)</f>
        <v>1</v>
      </c>
      <c r="AF60" s="20">
        <f>IF('1. Yixian'!AH60="","",IF('1. Yixian'!AH60='2. Nayoung'!AH60,1,0))</f>
        <v>1</v>
      </c>
      <c r="AG60" s="20">
        <f>IF('1. Yixian'!AI60="","",IF('1. Yixian'!AI60='2. Nayoung'!AI60,1,0))</f>
        <v>1</v>
      </c>
      <c r="AH60" s="20">
        <f>IF('1. Yixian'!AJ60="","",IF('1. Yixian'!AJ60='2. Nayoung'!AJ60,1,0))</f>
        <v>1</v>
      </c>
      <c r="AI60" s="20">
        <f>IF('1. Yixian'!AK60="","",IF('1. Yixian'!AK60='2. Nayoung'!AK60,1,0))</f>
        <v>1</v>
      </c>
      <c r="AJ60" s="20">
        <f>IF('1. Yixian'!AL60="","",IF('1. Yixian'!AL60='2. Nayoung'!AL60,1,0))</f>
        <v>1</v>
      </c>
      <c r="AK60" s="20">
        <f>IF('1. Yixian'!AM60="","",IF('1. Yixian'!AM60='2. Nayoung'!AM60,1,0))</f>
        <v>1</v>
      </c>
      <c r="AL60" s="20" t="str">
        <f>IF('1. Yixian'!AT60="","",IF('1. Yixian'!AT60='2. Nayoung'!AT60,1,0))</f>
        <v/>
      </c>
      <c r="AM60" s="20" t="e">
        <f>IF('1. Yixian'!AU60="","",IF('1. Yixian'!AU60='2. Nayoung'!#REF!,1,0))</f>
        <v>#REF!</v>
      </c>
      <c r="AN60" s="2"/>
    </row>
    <row r="61" spans="1:40" s="20" customFormat="1" ht="17" hidden="1" customHeight="1">
      <c r="A61" s="20" t="str">
        <f>IF('1. Yixian'!A61="","",IF('1. Yixian'!A61='2. Nayoung'!A61,1,0))</f>
        <v/>
      </c>
      <c r="B61" s="20" t="str">
        <f>IF('1. Yixian'!B61="","",IF(RIGHT('1. Yixian'!B61,2)=RIGHT('2. Nayoung'!B61,2),1,0))</f>
        <v/>
      </c>
      <c r="C61" s="20" t="str">
        <f>IF('1. Yixian'!C61="","",IF('1. Yixian'!C61='2. Nayoung'!C61,1,0))</f>
        <v/>
      </c>
      <c r="E61" s="20" t="str">
        <f>IF('1. Yixian'!E61="","",IF('1. Yixian'!E61='2. Nayoung'!E61,1,0))</f>
        <v/>
      </c>
      <c r="F61" s="20" t="str">
        <f>IF('1. Yixian'!F61="","",IF('1. Yixian'!F61='2. Nayoung'!F61,1,0))</f>
        <v/>
      </c>
      <c r="G61" s="20" t="str">
        <f>IF('1. Yixian'!G61="","",IF('1. Yixian'!G61='2. Nayoung'!G61,1,0))</f>
        <v/>
      </c>
      <c r="H61" s="20" t="str">
        <f>IF('1. Yixian'!J61="","",IF(RIGHT('1. Yixian'!J61,3)=RIGHT('2. Nayoung'!J61,3),1,0))</f>
        <v/>
      </c>
      <c r="I61" s="20" t="str">
        <f>IF(H61="","",IF(OR('2. Nayoung'!K61="", '1. Yixian'!K61 = ""),0,1))</f>
        <v/>
      </c>
      <c r="J61" s="20" t="str">
        <f>IF('1. Yixian'!L61="","",IF('1. Yixian'!L61='2. Nayoung'!L61,1,0))</f>
        <v/>
      </c>
      <c r="K61" s="20" t="str">
        <f>IF('1. Yixian'!M61="","",IF('1. Yixian'!M61='2. Nayoung'!M61,1,0))</f>
        <v/>
      </c>
      <c r="L61" s="20" t="str">
        <f>IF('1. Yixian'!N61="","",IF('1. Yixian'!N61='2. Nayoung'!N61,1,0))</f>
        <v/>
      </c>
      <c r="M61" s="20" t="str">
        <f>IF('1. Yixian'!O61="","",IF('1. Yixian'!O61='2. Nayoung'!O61,1,0))</f>
        <v/>
      </c>
      <c r="N61" s="20" t="str">
        <f>IF('1. Yixian'!P61="","",IF('1. Yixian'!P61='2. Nayoung'!P61,1,0))</f>
        <v/>
      </c>
      <c r="O61" s="20" t="str">
        <f>IF('1. Yixian'!Q61="","",IF('1. Yixian'!Q61='2. Nayoung'!Q61,1,0))</f>
        <v/>
      </c>
      <c r="P61" s="20" t="str">
        <f>IF('1. Yixian'!R61="","",IF('1. Yixian'!R61='2. Nayoung'!R61,1,0))</f>
        <v/>
      </c>
      <c r="Q61" s="20" t="str">
        <f>IF('1. Yixian'!S61="","",IF('1. Yixian'!S61='2. Nayoung'!S61,1,0))</f>
        <v/>
      </c>
      <c r="R61" s="20" t="str">
        <f>IF('1. Yixian'!T61="","",IF('1. Yixian'!T61='2. Nayoung'!T61,1,0))</f>
        <v/>
      </c>
      <c r="S61" s="20" t="str">
        <f>IF(R61="","",IF(OR('2. Nayoung'!U61="", '1. Yixian'!U61 = ""),0,1))</f>
        <v/>
      </c>
      <c r="T61" s="20" t="str">
        <f>IF('1. Yixian'!V61="","",IF('1. Yixian'!V61='2. Nayoung'!V61,1,0))</f>
        <v/>
      </c>
      <c r="U61" s="20" t="str">
        <f>IF('1. Yixian'!W61="","",IF('1. Yixian'!W61='2. Nayoung'!W61,1,0))</f>
        <v/>
      </c>
      <c r="V61" s="20" t="str">
        <f>IF('1. Yixian'!X61="","",IF('1. Yixian'!X61='2. Nayoung'!X61,1,0))</f>
        <v/>
      </c>
      <c r="W61" s="20" t="str">
        <f>IF('1. Yixian'!Y61="","",IF('1. Yixian'!Y61='2. Nayoung'!Y61,1,0))</f>
        <v/>
      </c>
      <c r="X61" s="20" t="str">
        <f>IF('1. Yixian'!Z61="","",IF('1. Yixian'!Z61='2. Nayoung'!Z61,1,0))</f>
        <v/>
      </c>
      <c r="Y61" s="20" t="str">
        <f>IF('1. Yixian'!AA61="","",IF('1. Yixian'!AA61='2. Nayoung'!AA61,1,0))</f>
        <v/>
      </c>
      <c r="Z61" s="20" t="str">
        <f>IF('1. Yixian'!AB61="","",IF('1. Yixian'!AB61='2. Nayoung'!AB61,1,0))</f>
        <v/>
      </c>
      <c r="AA61" s="20" t="str">
        <f>IF('1. Yixian'!AC61="","",IF('1. Yixian'!AC61='2. Nayoung'!AC61,1,0))</f>
        <v/>
      </c>
      <c r="AB61" s="20">
        <f>IF(OR('2. Nayoung'!AD60="", '1. Yixian'!AD61 = ""),0,1)</f>
        <v>1</v>
      </c>
      <c r="AC61" s="20">
        <f>IF('1. Yixian'!AE61="","",IF('1. Yixian'!AE61='2. Nayoung'!AE61,1,0))</f>
        <v>1</v>
      </c>
      <c r="AD61" s="20">
        <f>IF(OR('2. Nayoung'!AF60="", '1. Yixian'!AF61 = ""),0,1)</f>
        <v>1</v>
      </c>
      <c r="AF61" s="20">
        <f>IF('1. Yixian'!AH61="","",IF('1. Yixian'!AH61='2. Nayoung'!AH61,1,0))</f>
        <v>1</v>
      </c>
      <c r="AG61" s="20">
        <f>IF('1. Yixian'!AI61="","",IF('1. Yixian'!AI61='2. Nayoung'!AI61,1,0))</f>
        <v>1</v>
      </c>
      <c r="AH61" s="20">
        <f>IF('1. Yixian'!AJ61="","",IF('1. Yixian'!AJ61='2. Nayoung'!AJ61,1,0))</f>
        <v>1</v>
      </c>
      <c r="AI61" s="20">
        <f>IF('1. Yixian'!AK61="","",IF('1. Yixian'!AK61='2. Nayoung'!AK61,1,0))</f>
        <v>1</v>
      </c>
      <c r="AJ61" s="20">
        <f>IF('1. Yixian'!AL61="","",IF('1. Yixian'!AL61='2. Nayoung'!AL61,1,0))</f>
        <v>1</v>
      </c>
      <c r="AK61" s="20">
        <f>IF('1. Yixian'!AM61="","",IF('1. Yixian'!AM61='2. Nayoung'!AM61,1,0))</f>
        <v>1</v>
      </c>
      <c r="AL61" s="20" t="str">
        <f>IF('1. Yixian'!AT61="","",IF('1. Yixian'!AT61='2. Nayoung'!AT61,1,0))</f>
        <v/>
      </c>
      <c r="AM61" s="20" t="e">
        <f>IF('1. Yixian'!AU61="","",IF('1. Yixian'!AU61='2. Nayoung'!#REF!,1,0))</f>
        <v>#REF!</v>
      </c>
      <c r="AN61" s="2"/>
    </row>
    <row r="62" spans="1:40" s="20" customFormat="1" ht="17" hidden="1" customHeight="1">
      <c r="A62" s="20" t="str">
        <f>IF('1. Yixian'!A62="","",IF('1. Yixian'!A62='2. Nayoung'!A62,1,0))</f>
        <v/>
      </c>
      <c r="B62" s="20" t="str">
        <f>IF('1. Yixian'!B62="","",IF(RIGHT('1. Yixian'!B62,2)=RIGHT('2. Nayoung'!B62,2),1,0))</f>
        <v/>
      </c>
      <c r="C62" s="20" t="str">
        <f>IF('1. Yixian'!C62="","",IF('1. Yixian'!C62='2. Nayoung'!C62,1,0))</f>
        <v/>
      </c>
      <c r="E62" s="20" t="str">
        <f>IF('1. Yixian'!E62="","",IF('1. Yixian'!E62='2. Nayoung'!E62,1,0))</f>
        <v/>
      </c>
      <c r="F62" s="20" t="str">
        <f>IF('1. Yixian'!F62="","",IF('1. Yixian'!F62='2. Nayoung'!F62,1,0))</f>
        <v/>
      </c>
      <c r="G62" s="20" t="str">
        <f>IF('1. Yixian'!G62="","",IF('1. Yixian'!G62='2. Nayoung'!G62,1,0))</f>
        <v/>
      </c>
      <c r="H62" s="20">
        <f>IF('1. Yixian'!J62="","",IF(RIGHT('1. Yixian'!J62,3)=RIGHT('2. Nayoung'!J62,3),1,0))</f>
        <v>0</v>
      </c>
      <c r="I62" s="20">
        <f>IF(H62="","",IF(OR('2. Nayoung'!K62="", '1. Yixian'!K62 = ""),0,1))</f>
        <v>1</v>
      </c>
      <c r="J62" s="20">
        <f>IF('1. Yixian'!L62="","",IF('1. Yixian'!L62='2. Nayoung'!L62,1,0))</f>
        <v>1</v>
      </c>
      <c r="K62" s="20">
        <f>IF('1. Yixian'!M62="","",IF('1. Yixian'!M62='2. Nayoung'!M62,1,0))</f>
        <v>1</v>
      </c>
      <c r="L62" s="20">
        <f>IF('1. Yixian'!N62="","",IF('1. Yixian'!N62='2. Nayoung'!N62,1,0))</f>
        <v>1</v>
      </c>
      <c r="M62" s="20">
        <f>IF('1. Yixian'!O62="","",IF('1. Yixian'!O62='2. Nayoung'!O62,1,0))</f>
        <v>1</v>
      </c>
      <c r="N62" s="20">
        <f>IF('1. Yixian'!P62="","",IF('1. Yixian'!P62='2. Nayoung'!P62,1,0))</f>
        <v>1</v>
      </c>
      <c r="O62" s="20">
        <f>IF('1. Yixian'!Q62="","",IF('1. Yixian'!Q62='2. Nayoung'!Q62,1,0))</f>
        <v>1</v>
      </c>
      <c r="P62" s="20">
        <f>IF('1. Yixian'!R62="","",IF('1. Yixian'!R62='2. Nayoung'!R62,1,0))</f>
        <v>1</v>
      </c>
      <c r="Q62" s="20">
        <f>IF('1. Yixian'!S62="","",IF('1. Yixian'!S62='2. Nayoung'!S62,1,0))</f>
        <v>1</v>
      </c>
      <c r="R62" s="20">
        <f>IF('1. Yixian'!T62="","",IF('1. Yixian'!T62='2. Nayoung'!T62,1,0))</f>
        <v>1</v>
      </c>
      <c r="S62" s="20">
        <f>IF(R62="","",IF(OR('2. Nayoung'!U62="", '1. Yixian'!U62 = ""),0,1))</f>
        <v>1</v>
      </c>
      <c r="T62" s="20">
        <f>IF('1. Yixian'!V62="","",IF('1. Yixian'!V62='2. Nayoung'!V62,1,0))</f>
        <v>1</v>
      </c>
      <c r="U62" s="20">
        <f>IF('1. Yixian'!W62="","",IF('1. Yixian'!W62='2. Nayoung'!W62,1,0))</f>
        <v>1</v>
      </c>
      <c r="V62" s="20">
        <f>IF('1. Yixian'!X62="","",IF('1. Yixian'!X62='2. Nayoung'!X62,1,0))</f>
        <v>1</v>
      </c>
      <c r="W62" s="20">
        <f>IF('1. Yixian'!Y62="","",IF('1. Yixian'!Y62='2. Nayoung'!Y62,1,0))</f>
        <v>1</v>
      </c>
      <c r="X62" s="20">
        <f>IF('1. Yixian'!Z62="","",IF('1. Yixian'!Z62='2. Nayoung'!Z62,1,0))</f>
        <v>1</v>
      </c>
      <c r="Y62" s="20">
        <f>IF('1. Yixian'!AA62="","",IF('1. Yixian'!AA62='2. Nayoung'!AA62,1,0))</f>
        <v>1</v>
      </c>
      <c r="Z62" s="20">
        <f>IF('1. Yixian'!AB62="","",IF('1. Yixian'!AB62='2. Nayoung'!AB62,1,0))</f>
        <v>1</v>
      </c>
      <c r="AA62" s="20">
        <f>IF('1. Yixian'!AC62="","",IF('1. Yixian'!AC62='2. Nayoung'!AC62,1,0))</f>
        <v>1</v>
      </c>
      <c r="AB62" s="20">
        <f>IF(OR('2. Nayoung'!AD61="", '1. Yixian'!AD62 = ""),0,1)</f>
        <v>1</v>
      </c>
      <c r="AC62" s="20">
        <f>IF('1. Yixian'!AE62="","",IF('1. Yixian'!AE62='2. Nayoung'!AE62,1,0))</f>
        <v>1</v>
      </c>
      <c r="AD62" s="20">
        <f>IF(OR('2. Nayoung'!AF61="", '1. Yixian'!AF62 = ""),0,1)</f>
        <v>1</v>
      </c>
      <c r="AF62" s="20">
        <f>IF('1. Yixian'!AH62="","",IF('1. Yixian'!AH62='2. Nayoung'!AH62,1,0))</f>
        <v>1</v>
      </c>
      <c r="AG62" s="20">
        <f>IF('1. Yixian'!AI62="","",IF('1. Yixian'!AI62='2. Nayoung'!AI62,1,0))</f>
        <v>1</v>
      </c>
      <c r="AH62" s="20">
        <f>IF('1. Yixian'!AJ62="","",IF('1. Yixian'!AJ62='2. Nayoung'!AJ62,1,0))</f>
        <v>1</v>
      </c>
      <c r="AI62" s="20">
        <f>IF('1. Yixian'!AK62="","",IF('1. Yixian'!AK62='2. Nayoung'!AK62,1,0))</f>
        <v>1</v>
      </c>
      <c r="AJ62" s="20">
        <f>IF('1. Yixian'!AL62="","",IF('1. Yixian'!AL62='2. Nayoung'!AL62,1,0))</f>
        <v>1</v>
      </c>
      <c r="AK62" s="20">
        <f>IF('1. Yixian'!AM62="","",IF('1. Yixian'!AM62='2. Nayoung'!AM62,1,0))</f>
        <v>1</v>
      </c>
      <c r="AL62" s="20" t="str">
        <f>IF('1. Yixian'!AT62="","",IF('1. Yixian'!AT62='2. Nayoung'!AT62,1,0))</f>
        <v/>
      </c>
      <c r="AM62" s="20" t="e">
        <f>IF('1. Yixian'!AU62="","",IF('1. Yixian'!AU62='2. Nayoung'!#REF!,1,0))</f>
        <v>#REF!</v>
      </c>
      <c r="AN62" s="2"/>
    </row>
    <row r="63" spans="1:40" s="20" customFormat="1" ht="17" hidden="1" customHeight="1">
      <c r="A63" s="20" t="str">
        <f>IF('1. Yixian'!A63="","",IF('1. Yixian'!A63='2. Nayoung'!A63,1,0))</f>
        <v/>
      </c>
      <c r="B63" s="20" t="str">
        <f>IF('1. Yixian'!B63="","",IF(RIGHT('1. Yixian'!B63,2)=RIGHT('2. Nayoung'!B63,2),1,0))</f>
        <v/>
      </c>
      <c r="C63" s="20" t="str">
        <f>IF('1. Yixian'!C63="","",IF('1. Yixian'!C63='2. Nayoung'!C63,1,0))</f>
        <v/>
      </c>
      <c r="E63" s="20" t="str">
        <f>IF('1. Yixian'!E63="","",IF('1. Yixian'!E63='2. Nayoung'!E63,1,0))</f>
        <v/>
      </c>
      <c r="F63" s="20" t="str">
        <f>IF('1. Yixian'!F63="","",IF('1. Yixian'!F63='2. Nayoung'!F63,1,0))</f>
        <v/>
      </c>
      <c r="G63" s="20" t="str">
        <f>IF('1. Yixian'!G63="","",IF('1. Yixian'!G63='2. Nayoung'!G63,1,0))</f>
        <v/>
      </c>
      <c r="H63" s="20" t="str">
        <f>IF('1. Yixian'!J63="","",IF(RIGHT('1. Yixian'!J63,3)=RIGHT('2. Nayoung'!J63,3),1,0))</f>
        <v/>
      </c>
      <c r="I63" s="20" t="str">
        <f>IF(H63="","",IF(OR('2. Nayoung'!K63="", '1. Yixian'!K63 = ""),0,1))</f>
        <v/>
      </c>
      <c r="J63" s="20" t="str">
        <f>IF('1. Yixian'!L63="","",IF('1. Yixian'!L63='2. Nayoung'!L63,1,0))</f>
        <v/>
      </c>
      <c r="K63" s="20" t="str">
        <f>IF('1. Yixian'!M63="","",IF('1. Yixian'!M63='2. Nayoung'!M63,1,0))</f>
        <v/>
      </c>
      <c r="L63" s="20" t="str">
        <f>IF('1. Yixian'!N63="","",IF('1. Yixian'!N63='2. Nayoung'!N63,1,0))</f>
        <v/>
      </c>
      <c r="M63" s="20" t="str">
        <f>IF('1. Yixian'!O63="","",IF('1. Yixian'!O63='2. Nayoung'!O63,1,0))</f>
        <v/>
      </c>
      <c r="N63" s="20" t="str">
        <f>IF('1. Yixian'!P63="","",IF('1. Yixian'!P63='2. Nayoung'!P63,1,0))</f>
        <v/>
      </c>
      <c r="O63" s="20" t="str">
        <f>IF('1. Yixian'!Q63="","",IF('1. Yixian'!Q63='2. Nayoung'!Q63,1,0))</f>
        <v/>
      </c>
      <c r="P63" s="20" t="str">
        <f>IF('1. Yixian'!R63="","",IF('1. Yixian'!R63='2. Nayoung'!R63,1,0))</f>
        <v/>
      </c>
      <c r="Q63" s="20" t="str">
        <f>IF('1. Yixian'!S63="","",IF('1. Yixian'!S63='2. Nayoung'!S63,1,0))</f>
        <v/>
      </c>
      <c r="R63" s="20" t="str">
        <f>IF('1. Yixian'!T63="","",IF('1. Yixian'!T63='2. Nayoung'!T63,1,0))</f>
        <v/>
      </c>
      <c r="S63" s="20" t="str">
        <f>IF(R63="","",IF(OR('2. Nayoung'!U63="", '1. Yixian'!U63 = ""),0,1))</f>
        <v/>
      </c>
      <c r="T63" s="20" t="str">
        <f>IF('1. Yixian'!V63="","",IF('1. Yixian'!V63='2. Nayoung'!V63,1,0))</f>
        <v/>
      </c>
      <c r="U63" s="20" t="str">
        <f>IF('1. Yixian'!W63="","",IF('1. Yixian'!W63='2. Nayoung'!W63,1,0))</f>
        <v/>
      </c>
      <c r="V63" s="20" t="str">
        <f>IF('1. Yixian'!X63="","",IF('1. Yixian'!X63='2. Nayoung'!X63,1,0))</f>
        <v/>
      </c>
      <c r="W63" s="20" t="str">
        <f>IF('1. Yixian'!Y63="","",IF('1. Yixian'!Y63='2. Nayoung'!Y63,1,0))</f>
        <v/>
      </c>
      <c r="X63" s="20" t="str">
        <f>IF('1. Yixian'!Z63="","",IF('1. Yixian'!Z63='2. Nayoung'!Z63,1,0))</f>
        <v/>
      </c>
      <c r="Y63" s="20" t="str">
        <f>IF('1. Yixian'!AA63="","",IF('1. Yixian'!AA63='2. Nayoung'!AA63,1,0))</f>
        <v/>
      </c>
      <c r="Z63" s="20" t="str">
        <f>IF('1. Yixian'!AB63="","",IF('1. Yixian'!AB63='2. Nayoung'!AB63,1,0))</f>
        <v/>
      </c>
      <c r="AA63" s="20" t="str">
        <f>IF('1. Yixian'!AC63="","",IF('1. Yixian'!AC63='2. Nayoung'!AC63,1,0))</f>
        <v/>
      </c>
      <c r="AB63" s="20">
        <f>IF(OR('2. Nayoung'!AD62="", '1. Yixian'!AD63 = ""),0,1)</f>
        <v>1</v>
      </c>
      <c r="AC63" s="20">
        <f>IF('1. Yixian'!AE63="","",IF('1. Yixian'!AE63='2. Nayoung'!AE63,1,0))</f>
        <v>1</v>
      </c>
      <c r="AD63" s="20">
        <f>IF(OR('2. Nayoung'!AF62="", '1. Yixian'!AF63 = ""),0,1)</f>
        <v>0</v>
      </c>
      <c r="AF63" s="20">
        <f>IF('1. Yixian'!AH63="","",IF('1. Yixian'!AH63='2. Nayoung'!AH63,1,0))</f>
        <v>1</v>
      </c>
      <c r="AG63" s="20">
        <f>IF('1. Yixian'!AI63="","",IF('1. Yixian'!AI63='2. Nayoung'!AI63,1,0))</f>
        <v>1</v>
      </c>
      <c r="AH63" s="20">
        <f>IF('1. Yixian'!AJ63="","",IF('1. Yixian'!AJ63='2. Nayoung'!AJ63,1,0))</f>
        <v>1</v>
      </c>
      <c r="AI63" s="20">
        <f>IF('1. Yixian'!AK63="","",IF('1. Yixian'!AK63='2. Nayoung'!AK63,1,0))</f>
        <v>1</v>
      </c>
      <c r="AJ63" s="20">
        <f>IF('1. Yixian'!AL63="","",IF('1. Yixian'!AL63='2. Nayoung'!AL63,1,0))</f>
        <v>1</v>
      </c>
      <c r="AK63" s="20">
        <f>IF('1. Yixian'!AM63="","",IF('1. Yixian'!AM63='2. Nayoung'!AM63,1,0))</f>
        <v>1</v>
      </c>
      <c r="AL63" s="20" t="str">
        <f>IF('1. Yixian'!AT63="","",IF('1. Yixian'!AT63='2. Nayoung'!AT63,1,0))</f>
        <v/>
      </c>
      <c r="AM63" s="20" t="e">
        <f>IF('1. Yixian'!AU63="","",IF('1. Yixian'!AU63='2. Nayoung'!#REF!,1,0))</f>
        <v>#REF!</v>
      </c>
      <c r="AN63" s="2"/>
    </row>
    <row r="64" spans="1:40" s="20" customFormat="1" ht="17" hidden="1" customHeight="1">
      <c r="A64" s="20" t="str">
        <f>IF('1. Yixian'!A64="","",IF('1. Yixian'!A64='2. Nayoung'!A64,1,0))</f>
        <v/>
      </c>
      <c r="B64" s="20" t="str">
        <f>IF('1. Yixian'!B64="","",IF(RIGHT('1. Yixian'!B64,2)=RIGHT('2. Nayoung'!B64,2),1,0))</f>
        <v/>
      </c>
      <c r="C64" s="20" t="str">
        <f>IF('1. Yixian'!C64="","",IF('1. Yixian'!C64='2. Nayoung'!C64,1,0))</f>
        <v/>
      </c>
      <c r="E64" s="20" t="str">
        <f>IF('1. Yixian'!E64="","",IF('1. Yixian'!E64='2. Nayoung'!E64,1,0))</f>
        <v/>
      </c>
      <c r="F64" s="20" t="str">
        <f>IF('1. Yixian'!F64="","",IF('1. Yixian'!F64='2. Nayoung'!F64,1,0))</f>
        <v/>
      </c>
      <c r="G64" s="20" t="str">
        <f>IF('1. Yixian'!G64="","",IF('1. Yixian'!G64='2. Nayoung'!G64,1,0))</f>
        <v/>
      </c>
      <c r="H64" s="20" t="str">
        <f>IF('1. Yixian'!J64="","",IF(RIGHT('1. Yixian'!J64,3)=RIGHT('2. Nayoung'!J64,3),1,0))</f>
        <v/>
      </c>
      <c r="I64" s="20" t="str">
        <f>IF(H64="","",IF(OR('2. Nayoung'!K64="", '1. Yixian'!K64 = ""),0,1))</f>
        <v/>
      </c>
      <c r="J64" s="20" t="str">
        <f>IF('1. Yixian'!L64="","",IF('1. Yixian'!L64='2. Nayoung'!L64,1,0))</f>
        <v/>
      </c>
      <c r="K64" s="20" t="str">
        <f>IF('1. Yixian'!M64="","",IF('1. Yixian'!M64='2. Nayoung'!M64,1,0))</f>
        <v/>
      </c>
      <c r="L64" s="20" t="str">
        <f>IF('1. Yixian'!N64="","",IF('1. Yixian'!N64='2. Nayoung'!N64,1,0))</f>
        <v/>
      </c>
      <c r="M64" s="20" t="str">
        <f>IF('1. Yixian'!O64="","",IF('1. Yixian'!O64='2. Nayoung'!O64,1,0))</f>
        <v/>
      </c>
      <c r="N64" s="20" t="str">
        <f>IF('1. Yixian'!P64="","",IF('1. Yixian'!P64='2. Nayoung'!P64,1,0))</f>
        <v/>
      </c>
      <c r="O64" s="20" t="str">
        <f>IF('1. Yixian'!Q64="","",IF('1. Yixian'!Q64='2. Nayoung'!Q64,1,0))</f>
        <v/>
      </c>
      <c r="P64" s="20" t="str">
        <f>IF('1. Yixian'!R64="","",IF('1. Yixian'!R64='2. Nayoung'!R64,1,0))</f>
        <v/>
      </c>
      <c r="Q64" s="20" t="str">
        <f>IF('1. Yixian'!S64="","",IF('1. Yixian'!S64='2. Nayoung'!S64,1,0))</f>
        <v/>
      </c>
      <c r="R64" s="20" t="str">
        <f>IF('1. Yixian'!T64="","",IF('1. Yixian'!T64='2. Nayoung'!T64,1,0))</f>
        <v/>
      </c>
      <c r="S64" s="20" t="str">
        <f>IF(R64="","",IF(OR('2. Nayoung'!U64="", '1. Yixian'!U64 = ""),0,1))</f>
        <v/>
      </c>
      <c r="T64" s="20" t="str">
        <f>IF('1. Yixian'!V64="","",IF('1. Yixian'!V64='2. Nayoung'!V64,1,0))</f>
        <v/>
      </c>
      <c r="U64" s="20" t="str">
        <f>IF('1. Yixian'!W64="","",IF('1. Yixian'!W64='2. Nayoung'!W64,1,0))</f>
        <v/>
      </c>
      <c r="V64" s="20" t="str">
        <f>IF('1. Yixian'!X64="","",IF('1. Yixian'!X64='2. Nayoung'!X64,1,0))</f>
        <v/>
      </c>
      <c r="W64" s="20" t="str">
        <f>IF('1. Yixian'!Y64="","",IF('1. Yixian'!Y64='2. Nayoung'!Y64,1,0))</f>
        <v/>
      </c>
      <c r="X64" s="20" t="str">
        <f>IF('1. Yixian'!Z64="","",IF('1. Yixian'!Z64='2. Nayoung'!Z64,1,0))</f>
        <v/>
      </c>
      <c r="Y64" s="20" t="str">
        <f>IF('1. Yixian'!AA64="","",IF('1. Yixian'!AA64='2. Nayoung'!AA64,1,0))</f>
        <v/>
      </c>
      <c r="Z64" s="20" t="str">
        <f>IF('1. Yixian'!AB64="","",IF('1. Yixian'!AB64='2. Nayoung'!AB64,1,0))</f>
        <v/>
      </c>
      <c r="AA64" s="20" t="str">
        <f>IF('1. Yixian'!AC64="","",IF('1. Yixian'!AC64='2. Nayoung'!AC64,1,0))</f>
        <v/>
      </c>
      <c r="AB64" s="20">
        <f>IF(OR('2. Nayoung'!AD63="", '1. Yixian'!AD64 = ""),0,1)</f>
        <v>1</v>
      </c>
      <c r="AC64" s="20">
        <f>IF('1. Yixian'!AE64="","",IF('1. Yixian'!AE64='2. Nayoung'!AE64,1,0))</f>
        <v>1</v>
      </c>
      <c r="AD64" s="20">
        <f>IF(OR('2. Nayoung'!AF63="", '1. Yixian'!AF64 = ""),0,1)</f>
        <v>0</v>
      </c>
      <c r="AF64" s="20">
        <f>IF('1. Yixian'!AH64="","",IF('1. Yixian'!AH64='2. Nayoung'!AH64,1,0))</f>
        <v>1</v>
      </c>
      <c r="AG64" s="20">
        <f>IF('1. Yixian'!AI64="","",IF('1. Yixian'!AI64='2. Nayoung'!AI64,1,0))</f>
        <v>1</v>
      </c>
      <c r="AH64" s="20">
        <f>IF('1. Yixian'!AJ64="","",IF('1. Yixian'!AJ64='2. Nayoung'!AJ64,1,0))</f>
        <v>1</v>
      </c>
      <c r="AI64" s="20">
        <f>IF('1. Yixian'!AK64="","",IF('1. Yixian'!AK64='2. Nayoung'!AK64,1,0))</f>
        <v>1</v>
      </c>
      <c r="AJ64" s="20">
        <f>IF('1. Yixian'!AL64="","",IF('1. Yixian'!AL64='2. Nayoung'!AL64,1,0))</f>
        <v>1</v>
      </c>
      <c r="AK64" s="20">
        <f>IF('1. Yixian'!AM64="","",IF('1. Yixian'!AM64='2. Nayoung'!AM64,1,0))</f>
        <v>1</v>
      </c>
      <c r="AL64" s="20" t="str">
        <f>IF('1. Yixian'!AT64="","",IF('1. Yixian'!AT64='2. Nayoung'!AT64,1,0))</f>
        <v/>
      </c>
      <c r="AM64" s="20" t="e">
        <f>IF('1. Yixian'!AU64="","",IF('1. Yixian'!AU64='2. Nayoung'!#REF!,1,0))</f>
        <v>#REF!</v>
      </c>
      <c r="AN64" s="2"/>
    </row>
    <row r="65" spans="1:40" s="20" customFormat="1" ht="17" hidden="1" customHeight="1">
      <c r="A65" s="20" t="str">
        <f>IF('1. Yixian'!A65="","",IF('1. Yixian'!A65='2. Nayoung'!A65,1,0))</f>
        <v/>
      </c>
      <c r="B65" s="20" t="str">
        <f>IF('1. Yixian'!B65="","",IF(RIGHT('1. Yixian'!B65,2)=RIGHT('2. Nayoung'!B65,2),1,0))</f>
        <v/>
      </c>
      <c r="C65" s="20" t="str">
        <f>IF('1. Yixian'!C65="","",IF('1. Yixian'!C65='2. Nayoung'!C65,1,0))</f>
        <v/>
      </c>
      <c r="E65" s="20" t="str">
        <f>IF('1. Yixian'!E65="","",IF('1. Yixian'!E65='2. Nayoung'!E65,1,0))</f>
        <v/>
      </c>
      <c r="F65" s="20" t="str">
        <f>IF('1. Yixian'!F65="","",IF('1. Yixian'!F65='2. Nayoung'!F65,1,0))</f>
        <v/>
      </c>
      <c r="G65" s="20" t="str">
        <f>IF('1. Yixian'!G65="","",IF('1. Yixian'!G65='2. Nayoung'!G65,1,0))</f>
        <v/>
      </c>
      <c r="H65" s="20" t="str">
        <f>IF('1. Yixian'!J65="","",IF(RIGHT('1. Yixian'!J65,3)=RIGHT('2. Nayoung'!J65,3),1,0))</f>
        <v/>
      </c>
      <c r="I65" s="20" t="str">
        <f>IF(H65="","",IF(OR('2. Nayoung'!K65="", '1. Yixian'!K65 = ""),0,1))</f>
        <v/>
      </c>
      <c r="J65" s="20" t="str">
        <f>IF('1. Yixian'!L65="","",IF('1. Yixian'!L65='2. Nayoung'!L65,1,0))</f>
        <v/>
      </c>
      <c r="K65" s="20" t="str">
        <f>IF('1. Yixian'!M65="","",IF('1. Yixian'!M65='2. Nayoung'!M65,1,0))</f>
        <v/>
      </c>
      <c r="L65" s="20" t="str">
        <f>IF('1. Yixian'!N65="","",IF('1. Yixian'!N65='2. Nayoung'!N65,1,0))</f>
        <v/>
      </c>
      <c r="M65" s="20" t="str">
        <f>IF('1. Yixian'!O65="","",IF('1. Yixian'!O65='2. Nayoung'!O65,1,0))</f>
        <v/>
      </c>
      <c r="N65" s="20" t="str">
        <f>IF('1. Yixian'!P65="","",IF('1. Yixian'!P65='2. Nayoung'!P65,1,0))</f>
        <v/>
      </c>
      <c r="O65" s="20" t="str">
        <f>IF('1. Yixian'!Q65="","",IF('1. Yixian'!Q65='2. Nayoung'!Q65,1,0))</f>
        <v/>
      </c>
      <c r="P65" s="20" t="str">
        <f>IF('1. Yixian'!R65="","",IF('1. Yixian'!R65='2. Nayoung'!R65,1,0))</f>
        <v/>
      </c>
      <c r="Q65" s="20" t="str">
        <f>IF('1. Yixian'!S65="","",IF('1. Yixian'!S65='2. Nayoung'!S65,1,0))</f>
        <v/>
      </c>
      <c r="R65" s="20" t="str">
        <f>IF('1. Yixian'!T65="","",IF('1. Yixian'!T65='2. Nayoung'!T65,1,0))</f>
        <v/>
      </c>
      <c r="S65" s="20" t="str">
        <f>IF(R65="","",IF(OR('2. Nayoung'!U65="", '1. Yixian'!U65 = ""),0,1))</f>
        <v/>
      </c>
      <c r="T65" s="20" t="str">
        <f>IF('1. Yixian'!V65="","",IF('1. Yixian'!V65='2. Nayoung'!V65,1,0))</f>
        <v/>
      </c>
      <c r="U65" s="20" t="str">
        <f>IF('1. Yixian'!W65="","",IF('1. Yixian'!W65='2. Nayoung'!W65,1,0))</f>
        <v/>
      </c>
      <c r="V65" s="20" t="str">
        <f>IF('1. Yixian'!X65="","",IF('1. Yixian'!X65='2. Nayoung'!X65,1,0))</f>
        <v/>
      </c>
      <c r="W65" s="20" t="str">
        <f>IF('1. Yixian'!Y65="","",IF('1. Yixian'!Y65='2. Nayoung'!Y65,1,0))</f>
        <v/>
      </c>
      <c r="X65" s="20" t="str">
        <f>IF('1. Yixian'!Z65="","",IF('1. Yixian'!Z65='2. Nayoung'!Z65,1,0))</f>
        <v/>
      </c>
      <c r="Y65" s="20" t="str">
        <f>IF('1. Yixian'!AA65="","",IF('1. Yixian'!AA65='2. Nayoung'!AA65,1,0))</f>
        <v/>
      </c>
      <c r="Z65" s="20" t="str">
        <f>IF('1. Yixian'!AB65="","",IF('1. Yixian'!AB65='2. Nayoung'!AB65,1,0))</f>
        <v/>
      </c>
      <c r="AA65" s="20" t="str">
        <f>IF('1. Yixian'!AC65="","",IF('1. Yixian'!AC65='2. Nayoung'!AC65,1,0))</f>
        <v/>
      </c>
      <c r="AB65" s="20">
        <f>IF(OR('2. Nayoung'!AD64="", '1. Yixian'!AD65 = ""),0,1)</f>
        <v>1</v>
      </c>
      <c r="AC65" s="20">
        <f>IF('1. Yixian'!AE65="","",IF('1. Yixian'!AE65='2. Nayoung'!AE65,1,0))</f>
        <v>1</v>
      </c>
      <c r="AD65" s="20">
        <f>IF(OR('2. Nayoung'!AF64="", '1. Yixian'!AF65 = ""),0,1)</f>
        <v>0</v>
      </c>
      <c r="AF65" s="20">
        <f>IF('1. Yixian'!AH65="","",IF('1. Yixian'!AH65='2. Nayoung'!AH65,1,0))</f>
        <v>1</v>
      </c>
      <c r="AG65" s="20">
        <f>IF('1. Yixian'!AI65="","",IF('1. Yixian'!AI65='2. Nayoung'!AI65,1,0))</f>
        <v>1</v>
      </c>
      <c r="AH65" s="20">
        <f>IF('1. Yixian'!AJ65="","",IF('1. Yixian'!AJ65='2. Nayoung'!AJ65,1,0))</f>
        <v>1</v>
      </c>
      <c r="AI65" s="20">
        <f>IF('1. Yixian'!AK65="","",IF('1. Yixian'!AK65='2. Nayoung'!AK65,1,0))</f>
        <v>1</v>
      </c>
      <c r="AJ65" s="20">
        <f>IF('1. Yixian'!AL65="","",IF('1. Yixian'!AL65='2. Nayoung'!AL65,1,0))</f>
        <v>1</v>
      </c>
      <c r="AK65" s="20">
        <f>IF('1. Yixian'!AM65="","",IF('1. Yixian'!AM65='2. Nayoung'!AM65,1,0))</f>
        <v>1</v>
      </c>
      <c r="AL65" s="20" t="str">
        <f>IF('1. Yixian'!AT65="","",IF('1. Yixian'!AT65='2. Nayoung'!AT65,1,0))</f>
        <v/>
      </c>
      <c r="AM65" s="20" t="e">
        <f>IF('1. Yixian'!AU65="","",IF('1. Yixian'!AU65='2. Nayoung'!#REF!,1,0))</f>
        <v>#REF!</v>
      </c>
      <c r="AN65" s="2"/>
    </row>
    <row r="66" spans="1:40" s="20" customFormat="1" ht="17" hidden="1" customHeight="1">
      <c r="A66" s="20">
        <f>IF('1. Yixian'!A66="","",IF('1. Yixian'!A66='2. Nayoung'!A66,1,0))</f>
        <v>1</v>
      </c>
      <c r="B66" s="20">
        <f>IF('1. Yixian'!B66="","",IF(RIGHT('1. Yixian'!B66,2)=RIGHT('2. Nayoung'!B66,2),1,0))</f>
        <v>1</v>
      </c>
      <c r="C66" s="20">
        <f>IF('1. Yixian'!C66="","",IF('1. Yixian'!C66='2. Nayoung'!C66,1,0))</f>
        <v>1</v>
      </c>
      <c r="E66" s="20">
        <f>IF('1. Yixian'!E66="","",IF('1. Yixian'!E66='2. Nayoung'!E66,1,0))</f>
        <v>1</v>
      </c>
      <c r="F66" s="20">
        <f>IF('1. Yixian'!F66="","",IF('1. Yixian'!F66='2. Nayoung'!F66,1,0))</f>
        <v>1</v>
      </c>
      <c r="G66" s="20">
        <f>IF('1. Yixian'!G66="","",IF('1. Yixian'!G66='2. Nayoung'!G66,1,0))</f>
        <v>1</v>
      </c>
      <c r="H66" s="20">
        <f>IF('1. Yixian'!J66="","",IF(RIGHT('1. Yixian'!J66,3)=RIGHT('2. Nayoung'!J66,3),1,0))</f>
        <v>0</v>
      </c>
      <c r="I66" s="20">
        <f>IF(H66="","",IF(OR('2. Nayoung'!K66="", '1. Yixian'!K66 = ""),0,1))</f>
        <v>1</v>
      </c>
      <c r="J66" s="20">
        <f>IF('1. Yixian'!L66="","",IF('1. Yixian'!L66='2. Nayoung'!L66,1,0))</f>
        <v>1</v>
      </c>
      <c r="K66" s="20">
        <f>IF('1. Yixian'!M66="","",IF('1. Yixian'!M66='2. Nayoung'!M66,1,0))</f>
        <v>1</v>
      </c>
      <c r="L66" s="20">
        <f>IF('1. Yixian'!N66="","",IF('1. Yixian'!N66='2. Nayoung'!N66,1,0))</f>
        <v>1</v>
      </c>
      <c r="M66" s="20">
        <f>IF('1. Yixian'!O66="","",IF('1. Yixian'!O66='2. Nayoung'!O66,1,0))</f>
        <v>1</v>
      </c>
      <c r="N66" s="20">
        <f>IF('1. Yixian'!P66="","",IF('1. Yixian'!P66='2. Nayoung'!P66,1,0))</f>
        <v>1</v>
      </c>
      <c r="O66" s="20">
        <f>IF('1. Yixian'!Q66="","",IF('1. Yixian'!Q66='2. Nayoung'!Q66,1,0))</f>
        <v>1</v>
      </c>
      <c r="P66" s="20">
        <f>IF('1. Yixian'!R66="","",IF('1. Yixian'!R66='2. Nayoung'!R66,1,0))</f>
        <v>1</v>
      </c>
      <c r="Q66" s="20">
        <f>IF('1. Yixian'!S66="","",IF('1. Yixian'!S66='2. Nayoung'!S66,1,0))</f>
        <v>1</v>
      </c>
      <c r="R66" s="20">
        <f>IF('1. Yixian'!T66="","",IF('1. Yixian'!T66='2. Nayoung'!T66,1,0))</f>
        <v>1</v>
      </c>
      <c r="S66" s="20">
        <f>IF(R66="","",IF(OR('2. Nayoung'!U66="", '1. Yixian'!U66 = ""),0,1))</f>
        <v>1</v>
      </c>
      <c r="T66" s="20">
        <f>IF('1. Yixian'!V66="","",IF('1. Yixian'!V66='2. Nayoung'!V66,1,0))</f>
        <v>1</v>
      </c>
      <c r="U66" s="20">
        <f>IF('1. Yixian'!W66="","",IF('1. Yixian'!W66='2. Nayoung'!W66,1,0))</f>
        <v>1</v>
      </c>
      <c r="V66" s="20">
        <f>IF('1. Yixian'!X66="","",IF('1. Yixian'!X66='2. Nayoung'!X66,1,0))</f>
        <v>1</v>
      </c>
      <c r="W66" s="20">
        <f>IF('1. Yixian'!Y66="","",IF('1. Yixian'!Y66='2. Nayoung'!Y66,1,0))</f>
        <v>1</v>
      </c>
      <c r="X66" s="20">
        <f>IF('1. Yixian'!Z66="","",IF('1. Yixian'!Z66='2. Nayoung'!Z66,1,0))</f>
        <v>1</v>
      </c>
      <c r="Y66" s="20">
        <f>IF('1. Yixian'!AA66="","",IF('1. Yixian'!AA66='2. Nayoung'!AA66,1,0))</f>
        <v>1</v>
      </c>
      <c r="Z66" s="20">
        <f>IF('1. Yixian'!AB66="","",IF('1. Yixian'!AB66='2. Nayoung'!AB66,1,0))</f>
        <v>1</v>
      </c>
      <c r="AA66" s="20" t="str">
        <f>IF('1. Yixian'!AC66="","",IF('1. Yixian'!AC66='2. Nayoung'!AC66,1,0))</f>
        <v/>
      </c>
      <c r="AB66" s="20">
        <f>IF(OR('2. Nayoung'!AD65="", '1. Yixian'!AD66 = ""),0,1)</f>
        <v>1</v>
      </c>
      <c r="AC66" s="20">
        <f>IF('1. Yixian'!AE66="","",IF('1. Yixian'!AE66='2. Nayoung'!AE66,1,0))</f>
        <v>1</v>
      </c>
      <c r="AD66" s="20">
        <f>IF(OR('2. Nayoung'!AF65="", '1. Yixian'!AF66 = ""),0,1)</f>
        <v>0</v>
      </c>
      <c r="AF66" s="20">
        <f>IF('1. Yixian'!AH66="","",IF('1. Yixian'!AH66='2. Nayoung'!AH66,1,0))</f>
        <v>1</v>
      </c>
      <c r="AG66" s="20">
        <f>IF('1. Yixian'!AI66="","",IF('1. Yixian'!AI66='2. Nayoung'!AI66,1,0))</f>
        <v>1</v>
      </c>
      <c r="AH66" s="20">
        <f>IF('1. Yixian'!AJ66="","",IF('1. Yixian'!AJ66='2. Nayoung'!AJ66,1,0))</f>
        <v>1</v>
      </c>
      <c r="AI66" s="20">
        <f>IF('1. Yixian'!AK66="","",IF('1. Yixian'!AK66='2. Nayoung'!AK66,1,0))</f>
        <v>1</v>
      </c>
      <c r="AJ66" s="20">
        <f>IF('1. Yixian'!AL66="","",IF('1. Yixian'!AL66='2. Nayoung'!AL66,1,0))</f>
        <v>1</v>
      </c>
      <c r="AK66" s="20">
        <f>IF('1. Yixian'!AM66="","",IF('1. Yixian'!AM66='2. Nayoung'!AM66,1,0))</f>
        <v>1</v>
      </c>
      <c r="AL66" s="20" t="str">
        <f>IF('1. Yixian'!AT66="","",IF('1. Yixian'!AT66='2. Nayoung'!AT66,1,0))</f>
        <v/>
      </c>
      <c r="AM66" s="20" t="e">
        <f>IF('1. Yixian'!AU66="","",IF('1. Yixian'!AU66='2. Nayoung'!#REF!,1,0))</f>
        <v>#REF!</v>
      </c>
      <c r="AN66" s="2"/>
    </row>
    <row r="67" spans="1:40" s="20" customFormat="1" ht="17" hidden="1" customHeight="1">
      <c r="A67" s="20" t="str">
        <f>IF('1. Yixian'!A67="","",IF('1. Yixian'!A67='2. Nayoung'!A67,1,0))</f>
        <v/>
      </c>
      <c r="B67" s="20" t="str">
        <f>IF('1. Yixian'!B67="","",IF(RIGHT('1. Yixian'!B67,2)=RIGHT('2. Nayoung'!B67,2),1,0))</f>
        <v/>
      </c>
      <c r="C67" s="20" t="str">
        <f>IF('1. Yixian'!C67="","",IF('1. Yixian'!C67='2. Nayoung'!C67,1,0))</f>
        <v/>
      </c>
      <c r="E67" s="20" t="str">
        <f>IF('1. Yixian'!E67="","",IF('1. Yixian'!E67='2. Nayoung'!E67,1,0))</f>
        <v/>
      </c>
      <c r="F67" s="20" t="str">
        <f>IF('1. Yixian'!F67="","",IF('1. Yixian'!F67='2. Nayoung'!F67,1,0))</f>
        <v/>
      </c>
      <c r="G67" s="20" t="str">
        <f>IF('1. Yixian'!G67="","",IF('1. Yixian'!G67='2. Nayoung'!G67,1,0))</f>
        <v/>
      </c>
      <c r="H67" s="20" t="str">
        <f>IF('1. Yixian'!J67="","",IF(RIGHT('1. Yixian'!J67,3)=RIGHT('2. Nayoung'!J67,3),1,0))</f>
        <v/>
      </c>
      <c r="I67" s="20" t="str">
        <f>IF(H67="","",IF(OR('2. Nayoung'!K67="", '1. Yixian'!K67 = ""),0,1))</f>
        <v/>
      </c>
      <c r="J67" s="20" t="str">
        <f>IF('1. Yixian'!L67="","",IF('1. Yixian'!L67='2. Nayoung'!L67,1,0))</f>
        <v/>
      </c>
      <c r="K67" s="20" t="str">
        <f>IF('1. Yixian'!M67="","",IF('1. Yixian'!M67='2. Nayoung'!M67,1,0))</f>
        <v/>
      </c>
      <c r="L67" s="20" t="str">
        <f>IF('1. Yixian'!N67="","",IF('1. Yixian'!N67='2. Nayoung'!N67,1,0))</f>
        <v/>
      </c>
      <c r="M67" s="20" t="str">
        <f>IF('1. Yixian'!O67="","",IF('1. Yixian'!O67='2. Nayoung'!O67,1,0))</f>
        <v/>
      </c>
      <c r="N67" s="20" t="str">
        <f>IF('1. Yixian'!P67="","",IF('1. Yixian'!P67='2. Nayoung'!P67,1,0))</f>
        <v/>
      </c>
      <c r="O67" s="20" t="str">
        <f>IF('1. Yixian'!Q67="","",IF('1. Yixian'!Q67='2. Nayoung'!Q67,1,0))</f>
        <v/>
      </c>
      <c r="P67" s="20" t="str">
        <f>IF('1. Yixian'!R67="","",IF('1. Yixian'!R67='2. Nayoung'!R67,1,0))</f>
        <v/>
      </c>
      <c r="Q67" s="20" t="str">
        <f>IF('1. Yixian'!S67="","",IF('1. Yixian'!S67='2. Nayoung'!S67,1,0))</f>
        <v/>
      </c>
      <c r="R67" s="20" t="str">
        <f>IF('1. Yixian'!T67="","",IF('1. Yixian'!T67='2. Nayoung'!T67,1,0))</f>
        <v/>
      </c>
      <c r="S67" s="20" t="str">
        <f>IF(R67="","",IF(OR('2. Nayoung'!U67="", '1. Yixian'!U67 = ""),0,1))</f>
        <v/>
      </c>
      <c r="T67" s="20" t="str">
        <f>IF('1. Yixian'!V67="","",IF('1. Yixian'!V67='2. Nayoung'!V67,1,0))</f>
        <v/>
      </c>
      <c r="U67" s="20" t="str">
        <f>IF('1. Yixian'!W67="","",IF('1. Yixian'!W67='2. Nayoung'!W67,1,0))</f>
        <v/>
      </c>
      <c r="V67" s="20" t="str">
        <f>IF('1. Yixian'!X67="","",IF('1. Yixian'!X67='2. Nayoung'!X67,1,0))</f>
        <v/>
      </c>
      <c r="W67" s="20" t="str">
        <f>IF('1. Yixian'!Y67="","",IF('1. Yixian'!Y67='2. Nayoung'!Y67,1,0))</f>
        <v/>
      </c>
      <c r="X67" s="20" t="str">
        <f>IF('1. Yixian'!Z67="","",IF('1. Yixian'!Z67='2. Nayoung'!Z67,1,0))</f>
        <v/>
      </c>
      <c r="Y67" s="20" t="str">
        <f>IF('1. Yixian'!AA67="","",IF('1. Yixian'!AA67='2. Nayoung'!AA67,1,0))</f>
        <v/>
      </c>
      <c r="Z67" s="20" t="str">
        <f>IF('1. Yixian'!AB67="","",IF('1. Yixian'!AB67='2. Nayoung'!AB67,1,0))</f>
        <v/>
      </c>
      <c r="AA67" s="20" t="str">
        <f>IF('1. Yixian'!AC67="","",IF('1. Yixian'!AC67='2. Nayoung'!AC67,1,0))</f>
        <v/>
      </c>
      <c r="AB67" s="20">
        <f>IF(OR('2. Nayoung'!AD66="", '1. Yixian'!AD67 = ""),0,1)</f>
        <v>1</v>
      </c>
      <c r="AC67" s="20">
        <f>IF('1. Yixian'!AE67="","",IF('1. Yixian'!AE67='2. Nayoung'!AE67,1,0))</f>
        <v>1</v>
      </c>
      <c r="AD67" s="20">
        <f>IF(OR('2. Nayoung'!AF66="", '1. Yixian'!AF67 = ""),0,1)</f>
        <v>1</v>
      </c>
      <c r="AF67" s="20">
        <f>IF('1. Yixian'!AH67="","",IF('1. Yixian'!AH67='2. Nayoung'!AH67,1,0))</f>
        <v>1</v>
      </c>
      <c r="AG67" s="20">
        <f>IF('1. Yixian'!AI67="","",IF('1. Yixian'!AI67='2. Nayoung'!AI67,1,0))</f>
        <v>1</v>
      </c>
      <c r="AH67" s="20">
        <f>IF('1. Yixian'!AJ67="","",IF('1. Yixian'!AJ67='2. Nayoung'!AJ67,1,0))</f>
        <v>1</v>
      </c>
      <c r="AI67" s="20">
        <f>IF('1. Yixian'!AK67="","",IF('1. Yixian'!AK67='2. Nayoung'!AK67,1,0))</f>
        <v>1</v>
      </c>
      <c r="AJ67" s="20">
        <f>IF('1. Yixian'!AL67="","",IF('1. Yixian'!AL67='2. Nayoung'!AL67,1,0))</f>
        <v>1</v>
      </c>
      <c r="AK67" s="20">
        <f>IF('1. Yixian'!AM67="","",IF('1. Yixian'!AM67='2. Nayoung'!AM67,1,0))</f>
        <v>1</v>
      </c>
      <c r="AL67" s="20" t="str">
        <f>IF('1. Yixian'!AT67="","",IF('1. Yixian'!AT67='2. Nayoung'!AT67,1,0))</f>
        <v/>
      </c>
      <c r="AM67" s="20" t="e">
        <f>IF('1. Yixian'!AU67="","",IF('1. Yixian'!AU67='2. Nayoung'!#REF!,1,0))</f>
        <v>#REF!</v>
      </c>
      <c r="AN67" s="2"/>
    </row>
    <row r="68" spans="1:40" s="20" customFormat="1" ht="17" hidden="1" customHeight="1">
      <c r="A68" s="20" t="str">
        <f>IF('1. Yixian'!A68="","",IF('1. Yixian'!A68='2. Nayoung'!A68,1,0))</f>
        <v/>
      </c>
      <c r="B68" s="20" t="str">
        <f>IF('1. Yixian'!B68="","",IF(RIGHT('1. Yixian'!B68,2)=RIGHT('2. Nayoung'!B68,2),1,0))</f>
        <v/>
      </c>
      <c r="C68" s="20" t="str">
        <f>IF('1. Yixian'!C68="","",IF('1. Yixian'!C68='2. Nayoung'!C68,1,0))</f>
        <v/>
      </c>
      <c r="E68" s="20" t="str">
        <f>IF('1. Yixian'!E68="","",IF('1. Yixian'!E68='2. Nayoung'!E68,1,0))</f>
        <v/>
      </c>
      <c r="F68" s="20" t="str">
        <f>IF('1. Yixian'!F68="","",IF('1. Yixian'!F68='2. Nayoung'!F68,1,0))</f>
        <v/>
      </c>
      <c r="G68" s="20" t="str">
        <f>IF('1. Yixian'!G68="","",IF('1. Yixian'!G68='2. Nayoung'!G68,1,0))</f>
        <v/>
      </c>
      <c r="H68" s="20" t="str">
        <f>IF('1. Yixian'!J68="","",IF(RIGHT('1. Yixian'!J68,3)=RIGHT('2. Nayoung'!J68,3),1,0))</f>
        <v/>
      </c>
      <c r="I68" s="20" t="str">
        <f>IF(H68="","",IF(OR('2. Nayoung'!K68="", '1. Yixian'!K68 = ""),0,1))</f>
        <v/>
      </c>
      <c r="J68" s="20" t="str">
        <f>IF('1. Yixian'!L68="","",IF('1. Yixian'!L68='2. Nayoung'!L68,1,0))</f>
        <v/>
      </c>
      <c r="K68" s="20" t="str">
        <f>IF('1. Yixian'!M68="","",IF('1. Yixian'!M68='2. Nayoung'!M68,1,0))</f>
        <v/>
      </c>
      <c r="L68" s="20" t="str">
        <f>IF('1. Yixian'!N68="","",IF('1. Yixian'!N68='2. Nayoung'!N68,1,0))</f>
        <v/>
      </c>
      <c r="M68" s="20" t="str">
        <f>IF('1. Yixian'!O68="","",IF('1. Yixian'!O68='2. Nayoung'!O68,1,0))</f>
        <v/>
      </c>
      <c r="N68" s="20" t="str">
        <f>IF('1. Yixian'!P68="","",IF('1. Yixian'!P68='2. Nayoung'!P68,1,0))</f>
        <v/>
      </c>
      <c r="O68" s="20" t="str">
        <f>IF('1. Yixian'!Q68="","",IF('1. Yixian'!Q68='2. Nayoung'!Q68,1,0))</f>
        <v/>
      </c>
      <c r="P68" s="20" t="str">
        <f>IF('1. Yixian'!R68="","",IF('1. Yixian'!R68='2. Nayoung'!R68,1,0))</f>
        <v/>
      </c>
      <c r="Q68" s="20" t="str">
        <f>IF('1. Yixian'!S68="","",IF('1. Yixian'!S68='2. Nayoung'!S68,1,0))</f>
        <v/>
      </c>
      <c r="R68" s="20" t="str">
        <f>IF('1. Yixian'!T68="","",IF('1. Yixian'!T68='2. Nayoung'!T68,1,0))</f>
        <v/>
      </c>
      <c r="S68" s="20" t="str">
        <f>IF(R68="","",IF(OR('2. Nayoung'!U68="", '1. Yixian'!U68 = ""),0,1))</f>
        <v/>
      </c>
      <c r="T68" s="20" t="str">
        <f>IF('1. Yixian'!V68="","",IF('1. Yixian'!V68='2. Nayoung'!V68,1,0))</f>
        <v/>
      </c>
      <c r="U68" s="20" t="str">
        <f>IF('1. Yixian'!W68="","",IF('1. Yixian'!W68='2. Nayoung'!W68,1,0))</f>
        <v/>
      </c>
      <c r="V68" s="20" t="str">
        <f>IF('1. Yixian'!X68="","",IF('1. Yixian'!X68='2. Nayoung'!X68,1,0))</f>
        <v/>
      </c>
      <c r="W68" s="20" t="str">
        <f>IF('1. Yixian'!Y68="","",IF('1. Yixian'!Y68='2. Nayoung'!Y68,1,0))</f>
        <v/>
      </c>
      <c r="X68" s="20" t="str">
        <f>IF('1. Yixian'!Z68="","",IF('1. Yixian'!Z68='2. Nayoung'!Z68,1,0))</f>
        <v/>
      </c>
      <c r="Y68" s="20" t="str">
        <f>IF('1. Yixian'!AA68="","",IF('1. Yixian'!AA68='2. Nayoung'!AA68,1,0))</f>
        <v/>
      </c>
      <c r="Z68" s="20" t="str">
        <f>IF('1. Yixian'!AB68="","",IF('1. Yixian'!AB68='2. Nayoung'!AB68,1,0))</f>
        <v/>
      </c>
      <c r="AA68" s="20" t="str">
        <f>IF('1. Yixian'!AC68="","",IF('1. Yixian'!AC68='2. Nayoung'!AC68,1,0))</f>
        <v/>
      </c>
      <c r="AB68" s="20">
        <f>IF(OR('2. Nayoung'!AD67="", '1. Yixian'!AD68 = ""),0,1)</f>
        <v>1</v>
      </c>
      <c r="AC68" s="20">
        <f>IF('1. Yixian'!AE68="","",IF('1. Yixian'!AE68='2. Nayoung'!AE68,1,0))</f>
        <v>1</v>
      </c>
      <c r="AD68" s="20">
        <f>IF(OR('2. Nayoung'!AF67="", '1. Yixian'!AF68 = ""),0,1)</f>
        <v>1</v>
      </c>
      <c r="AF68" s="20">
        <f>IF('1. Yixian'!AH68="","",IF('1. Yixian'!AH68='2. Nayoung'!AH68,1,0))</f>
        <v>1</v>
      </c>
      <c r="AG68" s="20">
        <f>IF('1. Yixian'!AI68="","",IF('1. Yixian'!AI68='2. Nayoung'!AI68,1,0))</f>
        <v>1</v>
      </c>
      <c r="AH68" s="20">
        <f>IF('1. Yixian'!AJ68="","",IF('1. Yixian'!AJ68='2. Nayoung'!AJ68,1,0))</f>
        <v>1</v>
      </c>
      <c r="AI68" s="20">
        <f>IF('1. Yixian'!AK68="","",IF('1. Yixian'!AK68='2. Nayoung'!AK68,1,0))</f>
        <v>1</v>
      </c>
      <c r="AJ68" s="20">
        <f>IF('1. Yixian'!AL68="","",IF('1. Yixian'!AL68='2. Nayoung'!AL68,1,0))</f>
        <v>1</v>
      </c>
      <c r="AK68" s="20">
        <f>IF('1. Yixian'!AM68="","",IF('1. Yixian'!AM68='2. Nayoung'!AM68,1,0))</f>
        <v>1</v>
      </c>
      <c r="AL68" s="20" t="str">
        <f>IF('1. Yixian'!AT68="","",IF('1. Yixian'!AT68='2. Nayoung'!AT68,1,0))</f>
        <v/>
      </c>
      <c r="AM68" s="20" t="e">
        <f>IF('1. Yixian'!AU68="","",IF('1. Yixian'!AU68='2. Nayoung'!#REF!,1,0))</f>
        <v>#REF!</v>
      </c>
      <c r="AN68" s="2"/>
    </row>
    <row r="69" spans="1:40" s="20" customFormat="1" ht="17" hidden="1" customHeight="1">
      <c r="A69" s="20" t="str">
        <f>IF('1. Yixian'!A69="","",IF('1. Yixian'!A69='2. Nayoung'!A69,1,0))</f>
        <v/>
      </c>
      <c r="B69" s="20" t="str">
        <f>IF('1. Yixian'!B69="","",IF(RIGHT('1. Yixian'!B69,2)=RIGHT('2. Nayoung'!B69,2),1,0))</f>
        <v/>
      </c>
      <c r="C69" s="20" t="str">
        <f>IF('1. Yixian'!C69="","",IF('1. Yixian'!C69='2. Nayoung'!C69,1,0))</f>
        <v/>
      </c>
      <c r="E69" s="20" t="str">
        <f>IF('1. Yixian'!E69="","",IF('1. Yixian'!E69='2. Nayoung'!E69,1,0))</f>
        <v/>
      </c>
      <c r="F69" s="20" t="str">
        <f>IF('1. Yixian'!F69="","",IF('1. Yixian'!F69='2. Nayoung'!F69,1,0))</f>
        <v/>
      </c>
      <c r="G69" s="20" t="str">
        <f>IF('1. Yixian'!G69="","",IF('1. Yixian'!G69='2. Nayoung'!G69,1,0))</f>
        <v/>
      </c>
      <c r="H69" s="20" t="str">
        <f>IF('1. Yixian'!J69="","",IF(RIGHT('1. Yixian'!J69,3)=RIGHT('2. Nayoung'!J69,3),1,0))</f>
        <v/>
      </c>
      <c r="I69" s="20" t="str">
        <f>IF(H69="","",IF(OR('2. Nayoung'!K69="", '1. Yixian'!K69 = ""),0,1))</f>
        <v/>
      </c>
      <c r="J69" s="20" t="str">
        <f>IF('1. Yixian'!L69="","",IF('1. Yixian'!L69='2. Nayoung'!L69,1,0))</f>
        <v/>
      </c>
      <c r="K69" s="20" t="str">
        <f>IF('1. Yixian'!M69="","",IF('1. Yixian'!M69='2. Nayoung'!M69,1,0))</f>
        <v/>
      </c>
      <c r="L69" s="20" t="str">
        <f>IF('1. Yixian'!N69="","",IF('1. Yixian'!N69='2. Nayoung'!N69,1,0))</f>
        <v/>
      </c>
      <c r="M69" s="20" t="str">
        <f>IF('1. Yixian'!O69="","",IF('1. Yixian'!O69='2. Nayoung'!O69,1,0))</f>
        <v/>
      </c>
      <c r="N69" s="20" t="str">
        <f>IF('1. Yixian'!P69="","",IF('1. Yixian'!P69='2. Nayoung'!P69,1,0))</f>
        <v/>
      </c>
      <c r="O69" s="20" t="str">
        <f>IF('1. Yixian'!Q69="","",IF('1. Yixian'!Q69='2. Nayoung'!Q69,1,0))</f>
        <v/>
      </c>
      <c r="P69" s="20" t="str">
        <f>IF('1. Yixian'!R69="","",IF('1. Yixian'!R69='2. Nayoung'!R69,1,0))</f>
        <v/>
      </c>
      <c r="Q69" s="20" t="str">
        <f>IF('1. Yixian'!S69="","",IF('1. Yixian'!S69='2. Nayoung'!S69,1,0))</f>
        <v/>
      </c>
      <c r="R69" s="20" t="str">
        <f>IF('1. Yixian'!T69="","",IF('1. Yixian'!T69='2. Nayoung'!T69,1,0))</f>
        <v/>
      </c>
      <c r="S69" s="20" t="str">
        <f>IF(R69="","",IF(OR('2. Nayoung'!U69="", '1. Yixian'!U69 = ""),0,1))</f>
        <v/>
      </c>
      <c r="T69" s="20" t="str">
        <f>IF('1. Yixian'!V69="","",IF('1. Yixian'!V69='2. Nayoung'!V69,1,0))</f>
        <v/>
      </c>
      <c r="U69" s="20" t="str">
        <f>IF('1. Yixian'!W69="","",IF('1. Yixian'!W69='2. Nayoung'!W69,1,0))</f>
        <v/>
      </c>
      <c r="V69" s="20" t="str">
        <f>IF('1. Yixian'!X69="","",IF('1. Yixian'!X69='2. Nayoung'!X69,1,0))</f>
        <v/>
      </c>
      <c r="W69" s="20" t="str">
        <f>IF('1. Yixian'!Y69="","",IF('1. Yixian'!Y69='2. Nayoung'!Y69,1,0))</f>
        <v/>
      </c>
      <c r="X69" s="20" t="str">
        <f>IF('1. Yixian'!Z69="","",IF('1. Yixian'!Z69='2. Nayoung'!Z69,1,0))</f>
        <v/>
      </c>
      <c r="Y69" s="20" t="str">
        <f>IF('1. Yixian'!AA69="","",IF('1. Yixian'!AA69='2. Nayoung'!AA69,1,0))</f>
        <v/>
      </c>
      <c r="Z69" s="20" t="str">
        <f>IF('1. Yixian'!AB69="","",IF('1. Yixian'!AB69='2. Nayoung'!AB69,1,0))</f>
        <v/>
      </c>
      <c r="AA69" s="20" t="str">
        <f>IF('1. Yixian'!AC69="","",IF('1. Yixian'!AC69='2. Nayoung'!AC69,1,0))</f>
        <v/>
      </c>
      <c r="AB69" s="20">
        <f>IF(OR('2. Nayoung'!AD68="", '1. Yixian'!AD69 = ""),0,1)</f>
        <v>1</v>
      </c>
      <c r="AC69" s="20">
        <f>IF('1. Yixian'!AE69="","",IF('1. Yixian'!AE69='2. Nayoung'!AE69,1,0))</f>
        <v>1</v>
      </c>
      <c r="AD69" s="20">
        <f>IF(OR('2. Nayoung'!AF68="", '1. Yixian'!AF69 = ""),0,1)</f>
        <v>1</v>
      </c>
      <c r="AF69" s="20">
        <f>IF('1. Yixian'!AH69="","",IF('1. Yixian'!AH69='2. Nayoung'!AH69,1,0))</f>
        <v>1</v>
      </c>
      <c r="AG69" s="20">
        <f>IF('1. Yixian'!AI69="","",IF('1. Yixian'!AI69='2. Nayoung'!AI69,1,0))</f>
        <v>1</v>
      </c>
      <c r="AH69" s="20">
        <f>IF('1. Yixian'!AJ69="","",IF('1. Yixian'!AJ69='2. Nayoung'!AJ69,1,0))</f>
        <v>1</v>
      </c>
      <c r="AI69" s="20">
        <f>IF('1. Yixian'!AK69="","",IF('1. Yixian'!AK69='2. Nayoung'!AK69,1,0))</f>
        <v>1</v>
      </c>
      <c r="AJ69" s="20">
        <f>IF('1. Yixian'!AL69="","",IF('1. Yixian'!AL69='2. Nayoung'!AL69,1,0))</f>
        <v>1</v>
      </c>
      <c r="AK69" s="20">
        <f>IF('1. Yixian'!AM69="","",IF('1. Yixian'!AM69='2. Nayoung'!AM69,1,0))</f>
        <v>1</v>
      </c>
      <c r="AL69" s="20" t="str">
        <f>IF('1. Yixian'!AT69="","",IF('1. Yixian'!AT69='2. Nayoung'!AT69,1,0))</f>
        <v/>
      </c>
      <c r="AM69" s="20" t="e">
        <f>IF('1. Yixian'!AU69="","",IF('1. Yixian'!AU69='2. Nayoung'!#REF!,1,0))</f>
        <v>#REF!</v>
      </c>
      <c r="AN69" s="2"/>
    </row>
    <row r="70" spans="1:40" s="20" customFormat="1" ht="17" hidden="1" customHeight="1">
      <c r="A70" s="20" t="str">
        <f>IF('1. Yixian'!A70="","",IF('1. Yixian'!A70='2. Nayoung'!A70,1,0))</f>
        <v/>
      </c>
      <c r="B70" s="20" t="str">
        <f>IF('1. Yixian'!B70="","",IF(RIGHT('1. Yixian'!B70,2)=RIGHT('2. Nayoung'!B70,2),1,0))</f>
        <v/>
      </c>
      <c r="C70" s="20" t="str">
        <f>IF('1. Yixian'!C70="","",IF('1. Yixian'!C70='2. Nayoung'!C70,1,0))</f>
        <v/>
      </c>
      <c r="E70" s="20" t="str">
        <f>IF('1. Yixian'!E70="","",IF('1. Yixian'!E70='2. Nayoung'!E70,1,0))</f>
        <v/>
      </c>
      <c r="F70" s="20" t="str">
        <f>IF('1. Yixian'!F70="","",IF('1. Yixian'!F70='2. Nayoung'!F70,1,0))</f>
        <v/>
      </c>
      <c r="G70" s="20" t="str">
        <f>IF('1. Yixian'!G70="","",IF('1. Yixian'!G70='2. Nayoung'!G70,1,0))</f>
        <v/>
      </c>
      <c r="H70" s="20" t="str">
        <f>IF('1. Yixian'!J70="","",IF(RIGHT('1. Yixian'!J70,3)=RIGHT('2. Nayoung'!J70,3),1,0))</f>
        <v/>
      </c>
      <c r="I70" s="20" t="str">
        <f>IF(H70="","",IF(OR('2. Nayoung'!K70="", '1. Yixian'!K70 = ""),0,1))</f>
        <v/>
      </c>
      <c r="J70" s="20" t="str">
        <f>IF('1. Yixian'!L70="","",IF('1. Yixian'!L70='2. Nayoung'!L70,1,0))</f>
        <v/>
      </c>
      <c r="K70" s="20" t="str">
        <f>IF('1. Yixian'!M70="","",IF('1. Yixian'!M70='2. Nayoung'!M70,1,0))</f>
        <v/>
      </c>
      <c r="L70" s="20" t="str">
        <f>IF('1. Yixian'!N70="","",IF('1. Yixian'!N70='2. Nayoung'!N70,1,0))</f>
        <v/>
      </c>
      <c r="M70" s="20" t="str">
        <f>IF('1. Yixian'!O70="","",IF('1. Yixian'!O70='2. Nayoung'!O70,1,0))</f>
        <v/>
      </c>
      <c r="N70" s="20" t="str">
        <f>IF('1. Yixian'!P70="","",IF('1. Yixian'!P70='2. Nayoung'!P70,1,0))</f>
        <v/>
      </c>
      <c r="O70" s="20" t="str">
        <f>IF('1. Yixian'!Q70="","",IF('1. Yixian'!Q70='2. Nayoung'!Q70,1,0))</f>
        <v/>
      </c>
      <c r="P70" s="20" t="str">
        <f>IF('1. Yixian'!R70="","",IF('1. Yixian'!R70='2. Nayoung'!R70,1,0))</f>
        <v/>
      </c>
      <c r="Q70" s="20" t="str">
        <f>IF('1. Yixian'!S70="","",IF('1. Yixian'!S70='2. Nayoung'!S70,1,0))</f>
        <v/>
      </c>
      <c r="R70" s="20" t="str">
        <f>IF('1. Yixian'!T70="","",IF('1. Yixian'!T70='2. Nayoung'!T70,1,0))</f>
        <v/>
      </c>
      <c r="S70" s="20" t="str">
        <f>IF(R70="","",IF(OR('2. Nayoung'!U70="", '1. Yixian'!U70 = ""),0,1))</f>
        <v/>
      </c>
      <c r="T70" s="20" t="str">
        <f>IF('1. Yixian'!V70="","",IF('1. Yixian'!V70='2. Nayoung'!V70,1,0))</f>
        <v/>
      </c>
      <c r="U70" s="20" t="str">
        <f>IF('1. Yixian'!W70="","",IF('1. Yixian'!W70='2. Nayoung'!W70,1,0))</f>
        <v/>
      </c>
      <c r="V70" s="20" t="str">
        <f>IF('1. Yixian'!X70="","",IF('1. Yixian'!X70='2. Nayoung'!X70,1,0))</f>
        <v/>
      </c>
      <c r="W70" s="20" t="str">
        <f>IF('1. Yixian'!Y70="","",IF('1. Yixian'!Y70='2. Nayoung'!Y70,1,0))</f>
        <v/>
      </c>
      <c r="X70" s="20" t="str">
        <f>IF('1. Yixian'!Z70="","",IF('1. Yixian'!Z70='2. Nayoung'!Z70,1,0))</f>
        <v/>
      </c>
      <c r="Y70" s="20" t="str">
        <f>IF('1. Yixian'!AA70="","",IF('1. Yixian'!AA70='2. Nayoung'!AA70,1,0))</f>
        <v/>
      </c>
      <c r="Z70" s="20" t="str">
        <f>IF('1. Yixian'!AB70="","",IF('1. Yixian'!AB70='2. Nayoung'!AB70,1,0))</f>
        <v/>
      </c>
      <c r="AA70" s="20" t="str">
        <f>IF('1. Yixian'!AC70="","",IF('1. Yixian'!AC70='2. Nayoung'!AC70,1,0))</f>
        <v/>
      </c>
      <c r="AB70" s="20">
        <f>IF(OR('2. Nayoung'!AD69="", '1. Yixian'!AD70 = ""),0,1)</f>
        <v>1</v>
      </c>
      <c r="AC70" s="20">
        <f>IF('1. Yixian'!AE70="","",IF('1. Yixian'!AE70='2. Nayoung'!AE70,1,0))</f>
        <v>1</v>
      </c>
      <c r="AD70" s="20">
        <f>IF(OR('2. Nayoung'!AF69="", '1. Yixian'!AF70 = ""),0,1)</f>
        <v>1</v>
      </c>
      <c r="AF70" s="20">
        <f>IF('1. Yixian'!AH70="","",IF('1. Yixian'!AH70='2. Nayoung'!AH70,1,0))</f>
        <v>1</v>
      </c>
      <c r="AG70" s="20">
        <f>IF('1. Yixian'!AI70="","",IF('1. Yixian'!AI70='2. Nayoung'!AI70,1,0))</f>
        <v>1</v>
      </c>
      <c r="AH70" s="20">
        <f>IF('1. Yixian'!AJ70="","",IF('1. Yixian'!AJ70='2. Nayoung'!AJ70,1,0))</f>
        <v>1</v>
      </c>
      <c r="AI70" s="20">
        <f>IF('1. Yixian'!AK70="","",IF('1. Yixian'!AK70='2. Nayoung'!AK70,1,0))</f>
        <v>1</v>
      </c>
      <c r="AJ70" s="20">
        <f>IF('1. Yixian'!AL70="","",IF('1. Yixian'!AL70='2. Nayoung'!AL70,1,0))</f>
        <v>1</v>
      </c>
      <c r="AK70" s="20">
        <f>IF('1. Yixian'!AM70="","",IF('1. Yixian'!AM70='2. Nayoung'!AM70,1,0))</f>
        <v>1</v>
      </c>
      <c r="AL70" s="20" t="str">
        <f>IF('1. Yixian'!AT70="","",IF('1. Yixian'!AT70='2. Nayoung'!AT70,1,0))</f>
        <v/>
      </c>
      <c r="AM70" s="20" t="e">
        <f>IF('1. Yixian'!AU70="","",IF('1. Yixian'!AU70='2. Nayoung'!#REF!,1,0))</f>
        <v>#REF!</v>
      </c>
      <c r="AN70" s="2"/>
    </row>
    <row r="71" spans="1:40" s="20" customFormat="1" ht="17" hidden="1" customHeight="1">
      <c r="A71" s="20" t="str">
        <f>IF('1. Yixian'!A71="","",IF('1. Yixian'!A71='2. Nayoung'!A71,1,0))</f>
        <v/>
      </c>
      <c r="B71" s="20" t="str">
        <f>IF('1. Yixian'!B71="","",IF(RIGHT('1. Yixian'!B71,2)=RIGHT('2. Nayoung'!B71,2),1,0))</f>
        <v/>
      </c>
      <c r="C71" s="20" t="str">
        <f>IF('1. Yixian'!C71="","",IF('1. Yixian'!C71='2. Nayoung'!C71,1,0))</f>
        <v/>
      </c>
      <c r="E71" s="20" t="str">
        <f>IF('1. Yixian'!E71="","",IF('1. Yixian'!E71='2. Nayoung'!E71,1,0))</f>
        <v/>
      </c>
      <c r="F71" s="20" t="str">
        <f>IF('1. Yixian'!F71="","",IF('1. Yixian'!F71='2. Nayoung'!F71,1,0))</f>
        <v/>
      </c>
      <c r="G71" s="20" t="str">
        <f>IF('1. Yixian'!G71="","",IF('1. Yixian'!G71='2. Nayoung'!G71,1,0))</f>
        <v/>
      </c>
      <c r="H71" s="20">
        <f>IF('1. Yixian'!J71="","",IF(RIGHT('1. Yixian'!J71,3)=RIGHT('2. Nayoung'!J71,3),1,0))</f>
        <v>0</v>
      </c>
      <c r="I71" s="20">
        <f>IF(H71="","",IF(OR('2. Nayoung'!K71="", '1. Yixian'!K71 = ""),0,1))</f>
        <v>1</v>
      </c>
      <c r="J71" s="20">
        <f>IF('1. Yixian'!L71="","",IF('1. Yixian'!L71='2. Nayoung'!L71,1,0))</f>
        <v>1</v>
      </c>
      <c r="K71" s="20">
        <f>IF('1. Yixian'!M71="","",IF('1. Yixian'!M71='2. Nayoung'!M71,1,0))</f>
        <v>1</v>
      </c>
      <c r="L71" s="20">
        <f>IF('1. Yixian'!N71="","",IF('1. Yixian'!N71='2. Nayoung'!N71,1,0))</f>
        <v>1</v>
      </c>
      <c r="M71" s="20">
        <f>IF('1. Yixian'!O71="","",IF('1. Yixian'!O71='2. Nayoung'!O71,1,0))</f>
        <v>1</v>
      </c>
      <c r="N71" s="20">
        <f>IF('1. Yixian'!P71="","",IF('1. Yixian'!P71='2. Nayoung'!P71,1,0))</f>
        <v>1</v>
      </c>
      <c r="O71" s="20">
        <f>IF('1. Yixian'!Q71="","",IF('1. Yixian'!Q71='2. Nayoung'!Q71,1,0))</f>
        <v>1</v>
      </c>
      <c r="P71" s="20">
        <f>IF('1. Yixian'!R71="","",IF('1. Yixian'!R71='2. Nayoung'!R71,1,0))</f>
        <v>1</v>
      </c>
      <c r="Q71" s="20">
        <f>IF('1. Yixian'!S71="","",IF('1. Yixian'!S71='2. Nayoung'!S71,1,0))</f>
        <v>1</v>
      </c>
      <c r="R71" s="20">
        <f>IF('1. Yixian'!T71="","",IF('1. Yixian'!T71='2. Nayoung'!T71,1,0))</f>
        <v>1</v>
      </c>
      <c r="S71" s="20">
        <f>IF(R71="","",IF(OR('2. Nayoung'!U71="", '1. Yixian'!U71 = ""),0,1))</f>
        <v>1</v>
      </c>
      <c r="T71" s="20">
        <f>IF('1. Yixian'!V71="","",IF('1. Yixian'!V71='2. Nayoung'!V71,1,0))</f>
        <v>1</v>
      </c>
      <c r="U71" s="20">
        <f>IF('1. Yixian'!W71="","",IF('1. Yixian'!W71='2. Nayoung'!W71,1,0))</f>
        <v>1</v>
      </c>
      <c r="V71" s="20">
        <f>IF('1. Yixian'!X71="","",IF('1. Yixian'!X71='2. Nayoung'!X71,1,0))</f>
        <v>1</v>
      </c>
      <c r="W71" s="20">
        <f>IF('1. Yixian'!Y71="","",IF('1. Yixian'!Y71='2. Nayoung'!Y71,1,0))</f>
        <v>1</v>
      </c>
      <c r="X71" s="20">
        <f>IF('1. Yixian'!Z71="","",IF('1. Yixian'!Z71='2. Nayoung'!Z71,1,0))</f>
        <v>1</v>
      </c>
      <c r="Y71" s="20">
        <f>IF('1. Yixian'!AA71="","",IF('1. Yixian'!AA71='2. Nayoung'!AA71,1,0))</f>
        <v>1</v>
      </c>
      <c r="Z71" s="20">
        <f>IF('1. Yixian'!AB71="","",IF('1. Yixian'!AB71='2. Nayoung'!AB71,1,0))</f>
        <v>1</v>
      </c>
      <c r="AA71" s="20" t="str">
        <f>IF('1. Yixian'!AC71="","",IF('1. Yixian'!AC71='2. Nayoung'!AC71,1,0))</f>
        <v/>
      </c>
      <c r="AB71" s="20">
        <f>IF(OR('2. Nayoung'!AD70="", '1. Yixian'!AD71 = ""),0,1)</f>
        <v>1</v>
      </c>
      <c r="AC71" s="20">
        <f>IF('1. Yixian'!AE71="","",IF('1. Yixian'!AE71='2. Nayoung'!AE71,1,0))</f>
        <v>1</v>
      </c>
      <c r="AD71" s="20">
        <f>IF(OR('2. Nayoung'!AF70="", '1. Yixian'!AF71 = ""),0,1)</f>
        <v>1</v>
      </c>
      <c r="AF71" s="20">
        <f>IF('1. Yixian'!AH71="","",IF('1. Yixian'!AH71='2. Nayoung'!AH71,1,0))</f>
        <v>1</v>
      </c>
      <c r="AG71" s="20">
        <f>IF('1. Yixian'!AI71="","",IF('1. Yixian'!AI71='2. Nayoung'!AI71,1,0))</f>
        <v>1</v>
      </c>
      <c r="AH71" s="20">
        <f>IF('1. Yixian'!AJ71="","",IF('1. Yixian'!AJ71='2. Nayoung'!AJ71,1,0))</f>
        <v>1</v>
      </c>
      <c r="AI71" s="20">
        <f>IF('1. Yixian'!AK71="","",IF('1. Yixian'!AK71='2. Nayoung'!AK71,1,0))</f>
        <v>1</v>
      </c>
      <c r="AJ71" s="20">
        <f>IF('1. Yixian'!AL71="","",IF('1. Yixian'!AL71='2. Nayoung'!AL71,1,0))</f>
        <v>1</v>
      </c>
      <c r="AK71" s="20">
        <f>IF('1. Yixian'!AM71="","",IF('1. Yixian'!AM71='2. Nayoung'!AM71,1,0))</f>
        <v>1</v>
      </c>
      <c r="AL71" s="20" t="str">
        <f>IF('1. Yixian'!AT71="","",IF('1. Yixian'!AT71='2. Nayoung'!AT71,1,0))</f>
        <v/>
      </c>
      <c r="AM71" s="20" t="e">
        <f>IF('1. Yixian'!AU71="","",IF('1. Yixian'!AU71='2. Nayoung'!#REF!,1,0))</f>
        <v>#REF!</v>
      </c>
      <c r="AN71" s="2"/>
    </row>
    <row r="72" spans="1:40" s="20" customFormat="1" ht="17" hidden="1" customHeight="1">
      <c r="A72" s="20" t="str">
        <f>IF('1. Yixian'!A72="","",IF('1. Yixian'!A72='2. Nayoung'!A72,1,0))</f>
        <v/>
      </c>
      <c r="B72" s="20" t="str">
        <f>IF('1. Yixian'!B72="","",IF(RIGHT('1. Yixian'!B72,2)=RIGHT('2. Nayoung'!B72,2),1,0))</f>
        <v/>
      </c>
      <c r="C72" s="20" t="str">
        <f>IF('1. Yixian'!C72="","",IF('1. Yixian'!C72='2. Nayoung'!C72,1,0))</f>
        <v/>
      </c>
      <c r="E72" s="20" t="str">
        <f>IF('1. Yixian'!E72="","",IF('1. Yixian'!E72='2. Nayoung'!E72,1,0))</f>
        <v/>
      </c>
      <c r="F72" s="20" t="str">
        <f>IF('1. Yixian'!F72="","",IF('1. Yixian'!F72='2. Nayoung'!F72,1,0))</f>
        <v/>
      </c>
      <c r="G72" s="20" t="str">
        <f>IF('1. Yixian'!G72="","",IF('1. Yixian'!G72='2. Nayoung'!G72,1,0))</f>
        <v/>
      </c>
      <c r="H72" s="20" t="str">
        <f>IF('1. Yixian'!J72="","",IF(RIGHT('1. Yixian'!J72,3)=RIGHT('2. Nayoung'!J72,3),1,0))</f>
        <v/>
      </c>
      <c r="I72" s="20" t="str">
        <f>IF(H72="","",IF(OR('2. Nayoung'!K72="", '1. Yixian'!K72 = ""),0,1))</f>
        <v/>
      </c>
      <c r="J72" s="20" t="str">
        <f>IF('1. Yixian'!L72="","",IF('1. Yixian'!L72='2. Nayoung'!L72,1,0))</f>
        <v/>
      </c>
      <c r="K72" s="20" t="str">
        <f>IF('1. Yixian'!M72="","",IF('1. Yixian'!M72='2. Nayoung'!M72,1,0))</f>
        <v/>
      </c>
      <c r="L72" s="20" t="str">
        <f>IF('1. Yixian'!N72="","",IF('1. Yixian'!N72='2. Nayoung'!N72,1,0))</f>
        <v/>
      </c>
      <c r="M72" s="20" t="str">
        <f>IF('1. Yixian'!O72="","",IF('1. Yixian'!O72='2. Nayoung'!O72,1,0))</f>
        <v/>
      </c>
      <c r="N72" s="20" t="str">
        <f>IF('1. Yixian'!P72="","",IF('1. Yixian'!P72='2. Nayoung'!P72,1,0))</f>
        <v/>
      </c>
      <c r="O72" s="20" t="str">
        <f>IF('1. Yixian'!Q72="","",IF('1. Yixian'!Q72='2. Nayoung'!Q72,1,0))</f>
        <v/>
      </c>
      <c r="P72" s="20" t="str">
        <f>IF('1. Yixian'!R72="","",IF('1. Yixian'!R72='2. Nayoung'!R72,1,0))</f>
        <v/>
      </c>
      <c r="Q72" s="20" t="str">
        <f>IF('1. Yixian'!S72="","",IF('1. Yixian'!S72='2. Nayoung'!S72,1,0))</f>
        <v/>
      </c>
      <c r="R72" s="20" t="str">
        <f>IF('1. Yixian'!T72="","",IF('1. Yixian'!T72='2. Nayoung'!T72,1,0))</f>
        <v/>
      </c>
      <c r="S72" s="20" t="str">
        <f>IF(R72="","",IF(OR('2. Nayoung'!U72="", '1. Yixian'!U72 = ""),0,1))</f>
        <v/>
      </c>
      <c r="T72" s="20" t="str">
        <f>IF('1. Yixian'!V72="","",IF('1. Yixian'!V72='2. Nayoung'!V72,1,0))</f>
        <v/>
      </c>
      <c r="U72" s="20" t="str">
        <f>IF('1. Yixian'!W72="","",IF('1. Yixian'!W72='2. Nayoung'!W72,1,0))</f>
        <v/>
      </c>
      <c r="V72" s="20" t="str">
        <f>IF('1. Yixian'!X72="","",IF('1. Yixian'!X72='2. Nayoung'!X72,1,0))</f>
        <v/>
      </c>
      <c r="W72" s="20" t="str">
        <f>IF('1. Yixian'!Y72="","",IF('1. Yixian'!Y72='2. Nayoung'!Y72,1,0))</f>
        <v/>
      </c>
      <c r="X72" s="20" t="str">
        <f>IF('1. Yixian'!Z72="","",IF('1. Yixian'!Z72='2. Nayoung'!Z72,1,0))</f>
        <v/>
      </c>
      <c r="Y72" s="20" t="str">
        <f>IF('1. Yixian'!AA72="","",IF('1. Yixian'!AA72='2. Nayoung'!AA72,1,0))</f>
        <v/>
      </c>
      <c r="Z72" s="20" t="str">
        <f>IF('1. Yixian'!AB72="","",IF('1. Yixian'!AB72='2. Nayoung'!AB72,1,0))</f>
        <v/>
      </c>
      <c r="AA72" s="20" t="str">
        <f>IF('1. Yixian'!AC72="","",IF('1. Yixian'!AC72='2. Nayoung'!AC72,1,0))</f>
        <v/>
      </c>
      <c r="AB72" s="20">
        <f>IF(OR('2. Nayoung'!AD71="", '1. Yixian'!AD72 = ""),0,1)</f>
        <v>1</v>
      </c>
      <c r="AC72" s="20">
        <f>IF('1. Yixian'!AE72="","",IF('1. Yixian'!AE72='2. Nayoung'!AE72,1,0))</f>
        <v>1</v>
      </c>
      <c r="AD72" s="20">
        <f>IF(OR('2. Nayoung'!AF71="", '1. Yixian'!AF72 = ""),0,1)</f>
        <v>0</v>
      </c>
      <c r="AF72" s="20">
        <f>IF('1. Yixian'!AH72="","",IF('1. Yixian'!AH72='2. Nayoung'!AH72,1,0))</f>
        <v>1</v>
      </c>
      <c r="AG72" s="20">
        <f>IF('1. Yixian'!AI72="","",IF('1. Yixian'!AI72='2. Nayoung'!AI72,1,0))</f>
        <v>1</v>
      </c>
      <c r="AH72" s="20">
        <f>IF('1. Yixian'!AJ72="","",IF('1. Yixian'!AJ72='2. Nayoung'!AJ72,1,0))</f>
        <v>1</v>
      </c>
      <c r="AI72" s="20">
        <f>IF('1. Yixian'!AK72="","",IF('1. Yixian'!AK72='2. Nayoung'!AK72,1,0))</f>
        <v>1</v>
      </c>
      <c r="AJ72" s="20">
        <f>IF('1. Yixian'!AL72="","",IF('1. Yixian'!AL72='2. Nayoung'!AL72,1,0))</f>
        <v>1</v>
      </c>
      <c r="AK72" s="20">
        <f>IF('1. Yixian'!AM72="","",IF('1. Yixian'!AM72='2. Nayoung'!AM72,1,0))</f>
        <v>1</v>
      </c>
      <c r="AL72" s="20" t="str">
        <f>IF('1. Yixian'!AT72="","",IF('1. Yixian'!AT72='2. Nayoung'!AT72,1,0))</f>
        <v/>
      </c>
      <c r="AM72" s="20" t="e">
        <f>IF('1. Yixian'!AU72="","",IF('1. Yixian'!AU72='2. Nayoung'!#REF!,1,0))</f>
        <v>#REF!</v>
      </c>
      <c r="AN72" s="2"/>
    </row>
    <row r="73" spans="1:40" s="20" customFormat="1" ht="17" hidden="1" customHeight="1">
      <c r="A73" s="20" t="str">
        <f>IF('1. Yixian'!A73="","",IF('1. Yixian'!A73='2. Nayoung'!A73,1,0))</f>
        <v/>
      </c>
      <c r="B73" s="20" t="str">
        <f>IF('1. Yixian'!B73="","",IF(RIGHT('1. Yixian'!B73,2)=RIGHT('2. Nayoung'!B73,2),1,0))</f>
        <v/>
      </c>
      <c r="C73" s="20" t="str">
        <f>IF('1. Yixian'!C73="","",IF('1. Yixian'!C73='2. Nayoung'!C73,1,0))</f>
        <v/>
      </c>
      <c r="E73" s="20" t="str">
        <f>IF('1. Yixian'!E73="","",IF('1. Yixian'!E73='2. Nayoung'!E73,1,0))</f>
        <v/>
      </c>
      <c r="F73" s="20" t="str">
        <f>IF('1. Yixian'!F73="","",IF('1. Yixian'!F73='2. Nayoung'!F73,1,0))</f>
        <v/>
      </c>
      <c r="G73" s="20" t="str">
        <f>IF('1. Yixian'!G73="","",IF('1. Yixian'!G73='2. Nayoung'!G73,1,0))</f>
        <v/>
      </c>
      <c r="H73" s="20" t="str">
        <f>IF('1. Yixian'!J73="","",IF(RIGHT('1. Yixian'!J73,3)=RIGHT('2. Nayoung'!J73,3),1,0))</f>
        <v/>
      </c>
      <c r="I73" s="20" t="str">
        <f>IF(H73="","",IF(OR('2. Nayoung'!K73="", '1. Yixian'!K73 = ""),0,1))</f>
        <v/>
      </c>
      <c r="J73" s="20" t="str">
        <f>IF('1. Yixian'!L73="","",IF('1. Yixian'!L73='2. Nayoung'!L73,1,0))</f>
        <v/>
      </c>
      <c r="K73" s="20" t="str">
        <f>IF('1. Yixian'!M73="","",IF('1. Yixian'!M73='2. Nayoung'!M73,1,0))</f>
        <v/>
      </c>
      <c r="L73" s="20" t="str">
        <f>IF('1. Yixian'!N73="","",IF('1. Yixian'!N73='2. Nayoung'!N73,1,0))</f>
        <v/>
      </c>
      <c r="M73" s="20" t="str">
        <f>IF('1. Yixian'!O73="","",IF('1. Yixian'!O73='2. Nayoung'!O73,1,0))</f>
        <v/>
      </c>
      <c r="N73" s="20" t="str">
        <f>IF('1. Yixian'!P73="","",IF('1. Yixian'!P73='2. Nayoung'!P73,1,0))</f>
        <v/>
      </c>
      <c r="O73" s="20" t="str">
        <f>IF('1. Yixian'!Q73="","",IF('1. Yixian'!Q73='2. Nayoung'!Q73,1,0))</f>
        <v/>
      </c>
      <c r="P73" s="20" t="str">
        <f>IF('1. Yixian'!R73="","",IF('1. Yixian'!R73='2. Nayoung'!R73,1,0))</f>
        <v/>
      </c>
      <c r="Q73" s="20" t="str">
        <f>IF('1. Yixian'!S73="","",IF('1. Yixian'!S73='2. Nayoung'!S73,1,0))</f>
        <v/>
      </c>
      <c r="R73" s="20" t="str">
        <f>IF('1. Yixian'!T73="","",IF('1. Yixian'!T73='2. Nayoung'!T73,1,0))</f>
        <v/>
      </c>
      <c r="S73" s="20" t="str">
        <f>IF(R73="","",IF(OR('2. Nayoung'!U73="", '1. Yixian'!U73 = ""),0,1))</f>
        <v/>
      </c>
      <c r="T73" s="20" t="str">
        <f>IF('1. Yixian'!V73="","",IF('1. Yixian'!V73='2. Nayoung'!V73,1,0))</f>
        <v/>
      </c>
      <c r="U73" s="20" t="str">
        <f>IF('1. Yixian'!W73="","",IF('1. Yixian'!W73='2. Nayoung'!W73,1,0))</f>
        <v/>
      </c>
      <c r="V73" s="20" t="str">
        <f>IF('1. Yixian'!X73="","",IF('1. Yixian'!X73='2. Nayoung'!X73,1,0))</f>
        <v/>
      </c>
      <c r="W73" s="20" t="str">
        <f>IF('1. Yixian'!Y73="","",IF('1. Yixian'!Y73='2. Nayoung'!Y73,1,0))</f>
        <v/>
      </c>
      <c r="X73" s="20" t="str">
        <f>IF('1. Yixian'!Z73="","",IF('1. Yixian'!Z73='2. Nayoung'!Z73,1,0))</f>
        <v/>
      </c>
      <c r="Y73" s="20" t="str">
        <f>IF('1. Yixian'!AA73="","",IF('1. Yixian'!AA73='2. Nayoung'!AA73,1,0))</f>
        <v/>
      </c>
      <c r="Z73" s="20" t="str">
        <f>IF('1. Yixian'!AB73="","",IF('1. Yixian'!AB73='2. Nayoung'!AB73,1,0))</f>
        <v/>
      </c>
      <c r="AA73" s="20" t="str">
        <f>IF('1. Yixian'!AC73="","",IF('1. Yixian'!AC73='2. Nayoung'!AC73,1,0))</f>
        <v/>
      </c>
      <c r="AB73" s="20">
        <f>IF(OR('2. Nayoung'!AD72="", '1. Yixian'!AD73 = ""),0,1)</f>
        <v>1</v>
      </c>
      <c r="AC73" s="20">
        <f>IF('1. Yixian'!AE73="","",IF('1. Yixian'!AE73='2. Nayoung'!AE73,1,0))</f>
        <v>1</v>
      </c>
      <c r="AD73" s="20">
        <f>IF(OR('2. Nayoung'!AF72="", '1. Yixian'!AF73 = ""),0,1)</f>
        <v>0</v>
      </c>
      <c r="AF73" s="20">
        <f>IF('1. Yixian'!AH73="","",IF('1. Yixian'!AH73='2. Nayoung'!AH73,1,0))</f>
        <v>1</v>
      </c>
      <c r="AG73" s="20">
        <f>IF('1. Yixian'!AI73="","",IF('1. Yixian'!AI73='2. Nayoung'!AI73,1,0))</f>
        <v>1</v>
      </c>
      <c r="AH73" s="20">
        <f>IF('1. Yixian'!AJ73="","",IF('1. Yixian'!AJ73='2. Nayoung'!AJ73,1,0))</f>
        <v>1</v>
      </c>
      <c r="AI73" s="20">
        <f>IF('1. Yixian'!AK73="","",IF('1. Yixian'!AK73='2. Nayoung'!AK73,1,0))</f>
        <v>1</v>
      </c>
      <c r="AJ73" s="20">
        <f>IF('1. Yixian'!AL73="","",IF('1. Yixian'!AL73='2. Nayoung'!AL73,1,0))</f>
        <v>1</v>
      </c>
      <c r="AK73" s="20">
        <f>IF('1. Yixian'!AM73="","",IF('1. Yixian'!AM73='2. Nayoung'!AM73,1,0))</f>
        <v>1</v>
      </c>
      <c r="AL73" s="20" t="str">
        <f>IF('1. Yixian'!AT73="","",IF('1. Yixian'!AT73='2. Nayoung'!AT73,1,0))</f>
        <v/>
      </c>
      <c r="AM73" s="20" t="e">
        <f>IF('1. Yixian'!AU73="","",IF('1. Yixian'!AU73='2. Nayoung'!#REF!,1,0))</f>
        <v>#REF!</v>
      </c>
      <c r="AN73" s="2"/>
    </row>
    <row r="74" spans="1:40" s="20" customFormat="1" ht="17" hidden="1" customHeight="1">
      <c r="A74" s="20" t="str">
        <f>IF('1. Yixian'!A74="","",IF('1. Yixian'!A74='2. Nayoung'!A74,1,0))</f>
        <v/>
      </c>
      <c r="B74" s="20" t="str">
        <f>IF('1. Yixian'!B74="","",IF(RIGHT('1. Yixian'!B74,2)=RIGHT('2. Nayoung'!B74,2),1,0))</f>
        <v/>
      </c>
      <c r="C74" s="20" t="str">
        <f>IF('1. Yixian'!C74="","",IF('1. Yixian'!C74='2. Nayoung'!C74,1,0))</f>
        <v/>
      </c>
      <c r="E74" s="20" t="str">
        <f>IF('1. Yixian'!E74="","",IF('1. Yixian'!E74='2. Nayoung'!E74,1,0))</f>
        <v/>
      </c>
      <c r="F74" s="20" t="str">
        <f>IF('1. Yixian'!F74="","",IF('1. Yixian'!F74='2. Nayoung'!F74,1,0))</f>
        <v/>
      </c>
      <c r="G74" s="20" t="str">
        <f>IF('1. Yixian'!G74="","",IF('1. Yixian'!G74='2. Nayoung'!G74,1,0))</f>
        <v/>
      </c>
      <c r="H74" s="20" t="str">
        <f>IF('1. Yixian'!J74="","",IF(RIGHT('1. Yixian'!J74,3)=RIGHT('2. Nayoung'!J74,3),1,0))</f>
        <v/>
      </c>
      <c r="I74" s="20" t="str">
        <f>IF(H74="","",IF(OR('2. Nayoung'!K74="", '1. Yixian'!K74 = ""),0,1))</f>
        <v/>
      </c>
      <c r="J74" s="20" t="str">
        <f>IF('1. Yixian'!L74="","",IF('1. Yixian'!L74='2. Nayoung'!L74,1,0))</f>
        <v/>
      </c>
      <c r="K74" s="20" t="str">
        <f>IF('1. Yixian'!M74="","",IF('1. Yixian'!M74='2. Nayoung'!M74,1,0))</f>
        <v/>
      </c>
      <c r="L74" s="20" t="str">
        <f>IF('1. Yixian'!N74="","",IF('1. Yixian'!N74='2. Nayoung'!N74,1,0))</f>
        <v/>
      </c>
      <c r="M74" s="20" t="str">
        <f>IF('1. Yixian'!O74="","",IF('1. Yixian'!O74='2. Nayoung'!O74,1,0))</f>
        <v/>
      </c>
      <c r="N74" s="20" t="str">
        <f>IF('1. Yixian'!P74="","",IF('1. Yixian'!P74='2. Nayoung'!P74,1,0))</f>
        <v/>
      </c>
      <c r="O74" s="20" t="str">
        <f>IF('1. Yixian'!Q74="","",IF('1. Yixian'!Q74='2. Nayoung'!Q74,1,0))</f>
        <v/>
      </c>
      <c r="P74" s="20" t="str">
        <f>IF('1. Yixian'!R74="","",IF('1. Yixian'!R74='2. Nayoung'!R74,1,0))</f>
        <v/>
      </c>
      <c r="Q74" s="20" t="str">
        <f>IF('1. Yixian'!S74="","",IF('1. Yixian'!S74='2. Nayoung'!S74,1,0))</f>
        <v/>
      </c>
      <c r="R74" s="20" t="str">
        <f>IF('1. Yixian'!T74="","",IF('1. Yixian'!T74='2. Nayoung'!T74,1,0))</f>
        <v/>
      </c>
      <c r="S74" s="20" t="str">
        <f>IF(R74="","",IF(OR('2. Nayoung'!U74="", '1. Yixian'!U74 = ""),0,1))</f>
        <v/>
      </c>
      <c r="T74" s="20" t="str">
        <f>IF('1. Yixian'!V74="","",IF('1. Yixian'!V74='2. Nayoung'!V74,1,0))</f>
        <v/>
      </c>
      <c r="U74" s="20" t="str">
        <f>IF('1. Yixian'!W74="","",IF('1. Yixian'!W74='2. Nayoung'!W74,1,0))</f>
        <v/>
      </c>
      <c r="V74" s="20" t="str">
        <f>IF('1. Yixian'!X74="","",IF('1. Yixian'!X74='2. Nayoung'!X74,1,0))</f>
        <v/>
      </c>
      <c r="W74" s="20" t="str">
        <f>IF('1. Yixian'!Y74="","",IF('1. Yixian'!Y74='2. Nayoung'!Y74,1,0))</f>
        <v/>
      </c>
      <c r="X74" s="20" t="str">
        <f>IF('1. Yixian'!Z74="","",IF('1. Yixian'!Z74='2. Nayoung'!Z74,1,0))</f>
        <v/>
      </c>
      <c r="Y74" s="20" t="str">
        <f>IF('1. Yixian'!AA74="","",IF('1. Yixian'!AA74='2. Nayoung'!AA74,1,0))</f>
        <v/>
      </c>
      <c r="Z74" s="20" t="str">
        <f>IF('1. Yixian'!AB74="","",IF('1. Yixian'!AB74='2. Nayoung'!AB74,1,0))</f>
        <v/>
      </c>
      <c r="AA74" s="20" t="str">
        <f>IF('1. Yixian'!AC74="","",IF('1. Yixian'!AC74='2. Nayoung'!AC74,1,0))</f>
        <v/>
      </c>
      <c r="AB74" s="20">
        <f>IF(OR('2. Nayoung'!AD73="", '1. Yixian'!AD74 = ""),0,1)</f>
        <v>1</v>
      </c>
      <c r="AC74" s="20">
        <f>IF('1. Yixian'!AE74="","",IF('1. Yixian'!AE74='2. Nayoung'!AE74,1,0))</f>
        <v>1</v>
      </c>
      <c r="AD74" s="20">
        <f>IF(OR('2. Nayoung'!AF73="", '1. Yixian'!AF74 = ""),0,1)</f>
        <v>0</v>
      </c>
      <c r="AF74" s="20">
        <f>IF('1. Yixian'!AH74="","",IF('1. Yixian'!AH74='2. Nayoung'!AH74,1,0))</f>
        <v>1</v>
      </c>
      <c r="AG74" s="20">
        <f>IF('1. Yixian'!AI74="","",IF('1. Yixian'!AI74='2. Nayoung'!AI74,1,0))</f>
        <v>1</v>
      </c>
      <c r="AH74" s="20">
        <f>IF('1. Yixian'!AJ74="","",IF('1. Yixian'!AJ74='2. Nayoung'!AJ74,1,0))</f>
        <v>1</v>
      </c>
      <c r="AI74" s="20">
        <f>IF('1. Yixian'!AK74="","",IF('1. Yixian'!AK74='2. Nayoung'!AK74,1,0))</f>
        <v>1</v>
      </c>
      <c r="AJ74" s="20">
        <f>IF('1. Yixian'!AL74="","",IF('1. Yixian'!AL74='2. Nayoung'!AL74,1,0))</f>
        <v>1</v>
      </c>
      <c r="AK74" s="20">
        <f>IF('1. Yixian'!AM74="","",IF('1. Yixian'!AM74='2. Nayoung'!AM74,1,0))</f>
        <v>1</v>
      </c>
      <c r="AL74" s="20" t="str">
        <f>IF('1. Yixian'!AT74="","",IF('1. Yixian'!AT74='2. Nayoung'!AT74,1,0))</f>
        <v/>
      </c>
      <c r="AM74" s="20" t="e">
        <f>IF('1. Yixian'!AU74="","",IF('1. Yixian'!AU74='2. Nayoung'!#REF!,1,0))</f>
        <v>#REF!</v>
      </c>
      <c r="AN74" s="2"/>
    </row>
    <row r="75" spans="1:40" s="20" customFormat="1" ht="17" hidden="1" customHeight="1">
      <c r="A75" s="20" t="str">
        <f>IF('1. Yixian'!A75="","",IF('1. Yixian'!A75='2. Nayoung'!A75,1,0))</f>
        <v/>
      </c>
      <c r="B75" s="20" t="str">
        <f>IF('1. Yixian'!B75="","",IF(RIGHT('1. Yixian'!B75,2)=RIGHT('2. Nayoung'!B75,2),1,0))</f>
        <v/>
      </c>
      <c r="C75" s="20" t="str">
        <f>IF('1. Yixian'!C75="","",IF('1. Yixian'!C75='2. Nayoung'!C75,1,0))</f>
        <v/>
      </c>
      <c r="E75" s="20" t="str">
        <f>IF('1. Yixian'!E75="","",IF('1. Yixian'!E75='2. Nayoung'!E75,1,0))</f>
        <v/>
      </c>
      <c r="F75" s="20" t="str">
        <f>IF('1. Yixian'!F75="","",IF('1. Yixian'!F75='2. Nayoung'!F75,1,0))</f>
        <v/>
      </c>
      <c r="G75" s="20" t="str">
        <f>IF('1. Yixian'!G75="","",IF('1. Yixian'!G75='2. Nayoung'!G75,1,0))</f>
        <v/>
      </c>
      <c r="H75" s="20" t="str">
        <f>IF('1. Yixian'!J75="","",IF(RIGHT('1. Yixian'!J75,3)=RIGHT('2. Nayoung'!J75,3),1,0))</f>
        <v/>
      </c>
      <c r="I75" s="20" t="str">
        <f>IF(H75="","",IF(OR('2. Nayoung'!K75="", '1. Yixian'!K75 = ""),0,1))</f>
        <v/>
      </c>
      <c r="J75" s="20" t="str">
        <f>IF('1. Yixian'!L75="","",IF('1. Yixian'!L75='2. Nayoung'!L75,1,0))</f>
        <v/>
      </c>
      <c r="K75" s="20" t="str">
        <f>IF('1. Yixian'!M75="","",IF('1. Yixian'!M75='2. Nayoung'!M75,1,0))</f>
        <v/>
      </c>
      <c r="L75" s="20" t="str">
        <f>IF('1. Yixian'!N75="","",IF('1. Yixian'!N75='2. Nayoung'!N75,1,0))</f>
        <v/>
      </c>
      <c r="M75" s="20" t="str">
        <f>IF('1. Yixian'!O75="","",IF('1. Yixian'!O75='2. Nayoung'!O75,1,0))</f>
        <v/>
      </c>
      <c r="N75" s="20" t="str">
        <f>IF('1. Yixian'!P75="","",IF('1. Yixian'!P75='2. Nayoung'!P75,1,0))</f>
        <v/>
      </c>
      <c r="O75" s="20" t="str">
        <f>IF('1. Yixian'!Q75="","",IF('1. Yixian'!Q75='2. Nayoung'!Q75,1,0))</f>
        <v/>
      </c>
      <c r="P75" s="20" t="str">
        <f>IF('1. Yixian'!R75="","",IF('1. Yixian'!R75='2. Nayoung'!R75,1,0))</f>
        <v/>
      </c>
      <c r="Q75" s="20" t="str">
        <f>IF('1. Yixian'!S75="","",IF('1. Yixian'!S75='2. Nayoung'!S75,1,0))</f>
        <v/>
      </c>
      <c r="R75" s="20" t="str">
        <f>IF('1. Yixian'!T75="","",IF('1. Yixian'!T75='2. Nayoung'!T75,1,0))</f>
        <v/>
      </c>
      <c r="S75" s="20" t="str">
        <f>IF(R75="","",IF(OR('2. Nayoung'!U75="", '1. Yixian'!U75 = ""),0,1))</f>
        <v/>
      </c>
      <c r="T75" s="20" t="str">
        <f>IF('1. Yixian'!V75="","",IF('1. Yixian'!V75='2. Nayoung'!V75,1,0))</f>
        <v/>
      </c>
      <c r="U75" s="20" t="str">
        <f>IF('1. Yixian'!W75="","",IF('1. Yixian'!W75='2. Nayoung'!W75,1,0))</f>
        <v/>
      </c>
      <c r="V75" s="20" t="str">
        <f>IF('1. Yixian'!X75="","",IF('1. Yixian'!X75='2. Nayoung'!X75,1,0))</f>
        <v/>
      </c>
      <c r="W75" s="20" t="str">
        <f>IF('1. Yixian'!Y75="","",IF('1. Yixian'!Y75='2. Nayoung'!Y75,1,0))</f>
        <v/>
      </c>
      <c r="X75" s="20" t="str">
        <f>IF('1. Yixian'!Z75="","",IF('1. Yixian'!Z75='2. Nayoung'!Z75,1,0))</f>
        <v/>
      </c>
      <c r="Y75" s="20" t="str">
        <f>IF('1. Yixian'!AA75="","",IF('1. Yixian'!AA75='2. Nayoung'!AA75,1,0))</f>
        <v/>
      </c>
      <c r="Z75" s="20" t="str">
        <f>IF('1. Yixian'!AB75="","",IF('1. Yixian'!AB75='2. Nayoung'!AB75,1,0))</f>
        <v/>
      </c>
      <c r="AA75" s="20" t="str">
        <f>IF('1. Yixian'!AC75="","",IF('1. Yixian'!AC75='2. Nayoung'!AC75,1,0))</f>
        <v/>
      </c>
      <c r="AB75" s="20">
        <f>IF(OR('2. Nayoung'!AD74="", '1. Yixian'!AD75 = ""),0,1)</f>
        <v>1</v>
      </c>
      <c r="AC75" s="20">
        <f>IF('1. Yixian'!AE75="","",IF('1. Yixian'!AE75='2. Nayoung'!AE75,1,0))</f>
        <v>1</v>
      </c>
      <c r="AD75" s="20">
        <f>IF(OR('2. Nayoung'!AF74="", '1. Yixian'!AF75 = ""),0,1)</f>
        <v>0</v>
      </c>
      <c r="AF75" s="20">
        <f>IF('1. Yixian'!AH75="","",IF('1. Yixian'!AH75='2. Nayoung'!AH75,1,0))</f>
        <v>1</v>
      </c>
      <c r="AG75" s="20">
        <f>IF('1. Yixian'!AI75="","",IF('1. Yixian'!AI75='2. Nayoung'!AI75,1,0))</f>
        <v>1</v>
      </c>
      <c r="AH75" s="20">
        <f>IF('1. Yixian'!AJ75="","",IF('1. Yixian'!AJ75='2. Nayoung'!AJ75,1,0))</f>
        <v>1</v>
      </c>
      <c r="AI75" s="20">
        <f>IF('1. Yixian'!AK75="","",IF('1. Yixian'!AK75='2. Nayoung'!AK75,1,0))</f>
        <v>1</v>
      </c>
      <c r="AJ75" s="20">
        <f>IF('1. Yixian'!AL75="","",IF('1. Yixian'!AL75='2. Nayoung'!AL75,1,0))</f>
        <v>1</v>
      </c>
      <c r="AK75" s="20">
        <f>IF('1. Yixian'!AM75="","",IF('1. Yixian'!AM75='2. Nayoung'!AM75,1,0))</f>
        <v>1</v>
      </c>
      <c r="AL75" s="20" t="str">
        <f>IF('1. Yixian'!AT75="","",IF('1. Yixian'!AT75='2. Nayoung'!AT75,1,0))</f>
        <v/>
      </c>
      <c r="AM75" s="20" t="e">
        <f>IF('1. Yixian'!AU75="","",IF('1. Yixian'!AU75='2. Nayoung'!#REF!,1,0))</f>
        <v>#REF!</v>
      </c>
      <c r="AN75" s="2"/>
    </row>
    <row r="76" spans="1:40" s="20" customFormat="1" ht="17" hidden="1" customHeight="1">
      <c r="A76" s="20" t="str">
        <f>IF('1. Yixian'!A76="","",IF('1. Yixian'!A76='2. Nayoung'!A76,1,0))</f>
        <v/>
      </c>
      <c r="B76" s="20" t="str">
        <f>IF('1. Yixian'!B76="","",IF(RIGHT('1. Yixian'!B76,2)=RIGHT('2. Nayoung'!B76,2),1,0))</f>
        <v/>
      </c>
      <c r="C76" s="20" t="str">
        <f>IF('1. Yixian'!C76="","",IF('1. Yixian'!C76='2. Nayoung'!C76,1,0))</f>
        <v/>
      </c>
      <c r="E76" s="20" t="str">
        <f>IF('1. Yixian'!E76="","",IF('1. Yixian'!E76='2. Nayoung'!E76,1,0))</f>
        <v/>
      </c>
      <c r="F76" s="20" t="str">
        <f>IF('1. Yixian'!F76="","",IF('1. Yixian'!F76='2. Nayoung'!F76,1,0))</f>
        <v/>
      </c>
      <c r="G76" s="20" t="str">
        <f>IF('1. Yixian'!G76="","",IF('1. Yixian'!G76='2. Nayoung'!G76,1,0))</f>
        <v/>
      </c>
      <c r="H76" s="20">
        <f>IF('1. Yixian'!J76="","",IF(RIGHT('1. Yixian'!J76,3)=RIGHT('2. Nayoung'!J76,3),1,0))</f>
        <v>0</v>
      </c>
      <c r="I76" s="20">
        <f>IF(H76="","",IF(OR('2. Nayoung'!K76="", '1. Yixian'!K76 = ""),0,1))</f>
        <v>1</v>
      </c>
      <c r="J76" s="20">
        <f>IF('1. Yixian'!L76="","",IF('1. Yixian'!L76='2. Nayoung'!L76,1,0))</f>
        <v>1</v>
      </c>
      <c r="K76" s="20">
        <f>IF('1. Yixian'!M76="","",IF('1. Yixian'!M76='2. Nayoung'!M76,1,0))</f>
        <v>1</v>
      </c>
      <c r="L76" s="20">
        <f>IF('1. Yixian'!N76="","",IF('1. Yixian'!N76='2. Nayoung'!N76,1,0))</f>
        <v>1</v>
      </c>
      <c r="M76" s="20">
        <f>IF('1. Yixian'!O76="","",IF('1. Yixian'!O76='2. Nayoung'!O76,1,0))</f>
        <v>1</v>
      </c>
      <c r="N76" s="20">
        <f>IF('1. Yixian'!P76="","",IF('1. Yixian'!P76='2. Nayoung'!P76,1,0))</f>
        <v>1</v>
      </c>
      <c r="O76" s="20">
        <f>IF('1. Yixian'!Q76="","",IF('1. Yixian'!Q76='2. Nayoung'!Q76,1,0))</f>
        <v>1</v>
      </c>
      <c r="P76" s="20">
        <f>IF('1. Yixian'!R76="","",IF('1. Yixian'!R76='2. Nayoung'!R76,1,0))</f>
        <v>1</v>
      </c>
      <c r="Q76" s="20">
        <f>IF('1. Yixian'!S76="","",IF('1. Yixian'!S76='2. Nayoung'!S76,1,0))</f>
        <v>1</v>
      </c>
      <c r="R76" s="20">
        <f>IF('1. Yixian'!T76="","",IF('1. Yixian'!T76='2. Nayoung'!T76,1,0))</f>
        <v>1</v>
      </c>
      <c r="S76" s="20">
        <f>IF(R76="","",IF(OR('2. Nayoung'!U76="", '1. Yixian'!U76 = ""),0,1))</f>
        <v>1</v>
      </c>
      <c r="T76" s="20">
        <f>IF('1. Yixian'!V76="","",IF('1. Yixian'!V76='2. Nayoung'!V76,1,0))</f>
        <v>1</v>
      </c>
      <c r="U76" s="20">
        <f>IF('1. Yixian'!W76="","",IF('1. Yixian'!W76='2. Nayoung'!W76,1,0))</f>
        <v>1</v>
      </c>
      <c r="V76" s="20">
        <f>IF('1. Yixian'!X76="","",IF('1. Yixian'!X76='2. Nayoung'!X76,1,0))</f>
        <v>1</v>
      </c>
      <c r="W76" s="20">
        <f>IF('1. Yixian'!Y76="","",IF('1. Yixian'!Y76='2. Nayoung'!Y76,1,0))</f>
        <v>1</v>
      </c>
      <c r="X76" s="20">
        <f>IF('1. Yixian'!Z76="","",IF('1. Yixian'!Z76='2. Nayoung'!Z76,1,0))</f>
        <v>1</v>
      </c>
      <c r="Y76" s="20">
        <f>IF('1. Yixian'!AA76="","",IF('1. Yixian'!AA76='2. Nayoung'!AA76,1,0))</f>
        <v>1</v>
      </c>
      <c r="Z76" s="20">
        <f>IF('1. Yixian'!AB76="","",IF('1. Yixian'!AB76='2. Nayoung'!AB76,1,0))</f>
        <v>1</v>
      </c>
      <c r="AA76" s="20">
        <f>IF('1. Yixian'!AC76="","",IF('1. Yixian'!AC76='2. Nayoung'!AC76,1,0))</f>
        <v>1</v>
      </c>
      <c r="AB76" s="20">
        <f>IF(OR('2. Nayoung'!AD75="", '1. Yixian'!AD76 = ""),0,1)</f>
        <v>1</v>
      </c>
      <c r="AC76" s="20">
        <f>IF('1. Yixian'!AE76="","",IF('1. Yixian'!AE76='2. Nayoung'!AE76,1,0))</f>
        <v>1</v>
      </c>
      <c r="AD76" s="20">
        <f>IF(OR('2. Nayoung'!AF75="", '1. Yixian'!AF76 = ""),0,1)</f>
        <v>0</v>
      </c>
      <c r="AF76" s="20">
        <f>IF('1. Yixian'!AH76="","",IF('1. Yixian'!AH76='2. Nayoung'!AH76,1,0))</f>
        <v>1</v>
      </c>
      <c r="AG76" s="20">
        <f>IF('1. Yixian'!AI76="","",IF('1. Yixian'!AI76='2. Nayoung'!AI76,1,0))</f>
        <v>1</v>
      </c>
      <c r="AH76" s="20">
        <f>IF('1. Yixian'!AJ76="","",IF('1. Yixian'!AJ76='2. Nayoung'!AJ76,1,0))</f>
        <v>1</v>
      </c>
      <c r="AI76" s="20">
        <f>IF('1. Yixian'!AK76="","",IF('1. Yixian'!AK76='2. Nayoung'!AK76,1,0))</f>
        <v>1</v>
      </c>
      <c r="AJ76" s="20">
        <f>IF('1. Yixian'!AL76="","",IF('1. Yixian'!AL76='2. Nayoung'!AL76,1,0))</f>
        <v>1</v>
      </c>
      <c r="AK76" s="20">
        <f>IF('1. Yixian'!AM76="","",IF('1. Yixian'!AM76='2. Nayoung'!AM76,1,0))</f>
        <v>1</v>
      </c>
      <c r="AL76" s="20" t="str">
        <f>IF('1. Yixian'!AT76="","",IF('1. Yixian'!AT76='2. Nayoung'!AT76,1,0))</f>
        <v/>
      </c>
      <c r="AM76" s="20" t="e">
        <f>IF('1. Yixian'!AU76="","",IF('1. Yixian'!AU76='2. Nayoung'!#REF!,1,0))</f>
        <v>#REF!</v>
      </c>
      <c r="AN76" s="2"/>
    </row>
    <row r="77" spans="1:40" s="20" customFormat="1" ht="17" hidden="1" customHeight="1">
      <c r="A77" s="20" t="str">
        <f>IF('1. Yixian'!A77="","",IF('1. Yixian'!A77='2. Nayoung'!A77,1,0))</f>
        <v/>
      </c>
      <c r="B77" s="20" t="str">
        <f>IF('1. Yixian'!B77="","",IF(RIGHT('1. Yixian'!B77,2)=RIGHT('2. Nayoung'!B77,2),1,0))</f>
        <v/>
      </c>
      <c r="C77" s="20" t="str">
        <f>IF('1. Yixian'!C77="","",IF('1. Yixian'!C77='2. Nayoung'!C77,1,0))</f>
        <v/>
      </c>
      <c r="E77" s="20" t="str">
        <f>IF('1. Yixian'!E77="","",IF('1. Yixian'!E77='2. Nayoung'!E77,1,0))</f>
        <v/>
      </c>
      <c r="F77" s="20" t="str">
        <f>IF('1. Yixian'!F77="","",IF('1. Yixian'!F77='2. Nayoung'!F77,1,0))</f>
        <v/>
      </c>
      <c r="G77" s="20" t="str">
        <f>IF('1. Yixian'!G77="","",IF('1. Yixian'!G77='2. Nayoung'!G77,1,0))</f>
        <v/>
      </c>
      <c r="H77" s="20" t="str">
        <f>IF('1. Yixian'!J77="","",IF(RIGHT('1. Yixian'!J77,3)=RIGHT('2. Nayoung'!J77,3),1,0))</f>
        <v/>
      </c>
      <c r="I77" s="20" t="str">
        <f>IF(H77="","",IF(OR('2. Nayoung'!K77="", '1. Yixian'!K77 = ""),0,1))</f>
        <v/>
      </c>
      <c r="J77" s="20" t="str">
        <f>IF('1. Yixian'!L77="","",IF('1. Yixian'!L77='2. Nayoung'!L77,1,0))</f>
        <v/>
      </c>
      <c r="K77" s="20" t="str">
        <f>IF('1. Yixian'!M77="","",IF('1. Yixian'!M77='2. Nayoung'!M77,1,0))</f>
        <v/>
      </c>
      <c r="L77" s="20" t="str">
        <f>IF('1. Yixian'!N77="","",IF('1. Yixian'!N77='2. Nayoung'!N77,1,0))</f>
        <v/>
      </c>
      <c r="M77" s="20" t="str">
        <f>IF('1. Yixian'!O77="","",IF('1. Yixian'!O77='2. Nayoung'!O77,1,0))</f>
        <v/>
      </c>
      <c r="N77" s="20" t="str">
        <f>IF('1. Yixian'!P77="","",IF('1. Yixian'!P77='2. Nayoung'!P77,1,0))</f>
        <v/>
      </c>
      <c r="O77" s="20" t="str">
        <f>IF('1. Yixian'!Q77="","",IF('1. Yixian'!Q77='2. Nayoung'!Q77,1,0))</f>
        <v/>
      </c>
      <c r="P77" s="20" t="str">
        <f>IF('1. Yixian'!R77="","",IF('1. Yixian'!R77='2. Nayoung'!R77,1,0))</f>
        <v/>
      </c>
      <c r="Q77" s="20" t="str">
        <f>IF('1. Yixian'!S77="","",IF('1. Yixian'!S77='2. Nayoung'!S77,1,0))</f>
        <v/>
      </c>
      <c r="R77" s="20" t="str">
        <f>IF('1. Yixian'!T77="","",IF('1. Yixian'!T77='2. Nayoung'!T77,1,0))</f>
        <v/>
      </c>
      <c r="S77" s="20" t="str">
        <f>IF(R77="","",IF(OR('2. Nayoung'!U77="", '1. Yixian'!U77 = ""),0,1))</f>
        <v/>
      </c>
      <c r="T77" s="20" t="str">
        <f>IF('1. Yixian'!V77="","",IF('1. Yixian'!V77='2. Nayoung'!V77,1,0))</f>
        <v/>
      </c>
      <c r="U77" s="20" t="str">
        <f>IF('1. Yixian'!W77="","",IF('1. Yixian'!W77='2. Nayoung'!W77,1,0))</f>
        <v/>
      </c>
      <c r="V77" s="20" t="str">
        <f>IF('1. Yixian'!X77="","",IF('1. Yixian'!X77='2. Nayoung'!X77,1,0))</f>
        <v/>
      </c>
      <c r="W77" s="20" t="str">
        <f>IF('1. Yixian'!Y77="","",IF('1. Yixian'!Y77='2. Nayoung'!Y77,1,0))</f>
        <v/>
      </c>
      <c r="X77" s="20" t="str">
        <f>IF('1. Yixian'!Z77="","",IF('1. Yixian'!Z77='2. Nayoung'!Z77,1,0))</f>
        <v/>
      </c>
      <c r="Y77" s="20" t="str">
        <f>IF('1. Yixian'!AA77="","",IF('1. Yixian'!AA77='2. Nayoung'!AA77,1,0))</f>
        <v/>
      </c>
      <c r="Z77" s="20" t="str">
        <f>IF('1. Yixian'!AB77="","",IF('1. Yixian'!AB77='2. Nayoung'!AB77,1,0))</f>
        <v/>
      </c>
      <c r="AA77" s="20" t="str">
        <f>IF('1. Yixian'!AC77="","",IF('1. Yixian'!AC77='2. Nayoung'!AC77,1,0))</f>
        <v/>
      </c>
      <c r="AB77" s="20">
        <f>IF(OR('2. Nayoung'!AD76="", '1. Yixian'!AD77 = ""),0,1)</f>
        <v>1</v>
      </c>
      <c r="AC77" s="20">
        <f>IF('1. Yixian'!AE77="","",IF('1. Yixian'!AE77='2. Nayoung'!AE77,1,0))</f>
        <v>1</v>
      </c>
      <c r="AD77" s="20">
        <f>IF(OR('2. Nayoung'!AF76="", '1. Yixian'!AF77 = ""),0,1)</f>
        <v>0</v>
      </c>
      <c r="AF77" s="20">
        <f>IF('1. Yixian'!AH77="","",IF('1. Yixian'!AH77='2. Nayoung'!AH77,1,0))</f>
        <v>1</v>
      </c>
      <c r="AG77" s="20">
        <f>IF('1. Yixian'!AI77="","",IF('1. Yixian'!AI77='2. Nayoung'!AI77,1,0))</f>
        <v>1</v>
      </c>
      <c r="AH77" s="20">
        <f>IF('1. Yixian'!AJ77="","",IF('1. Yixian'!AJ77='2. Nayoung'!AJ77,1,0))</f>
        <v>1</v>
      </c>
      <c r="AI77" s="20">
        <f>IF('1. Yixian'!AK77="","",IF('1. Yixian'!AK77='2. Nayoung'!AK77,1,0))</f>
        <v>1</v>
      </c>
      <c r="AJ77" s="20">
        <f>IF('1. Yixian'!AL77="","",IF('1. Yixian'!AL77='2. Nayoung'!AL77,1,0))</f>
        <v>1</v>
      </c>
      <c r="AK77" s="20">
        <f>IF('1. Yixian'!AM77="","",IF('1. Yixian'!AM77='2. Nayoung'!AM77,1,0))</f>
        <v>1</v>
      </c>
      <c r="AL77" s="20" t="str">
        <f>IF('1. Yixian'!AT77="","",IF('1. Yixian'!AT77='2. Nayoung'!AT77,1,0))</f>
        <v/>
      </c>
      <c r="AM77" s="20" t="e">
        <f>IF('1. Yixian'!AU77="","",IF('1. Yixian'!AU77='2. Nayoung'!#REF!,1,0))</f>
        <v>#REF!</v>
      </c>
      <c r="AN77" s="2"/>
    </row>
    <row r="78" spans="1:40" s="20" customFormat="1" ht="17" hidden="1" customHeight="1">
      <c r="A78" s="20" t="str">
        <f>IF('1. Yixian'!A78="","",IF('1. Yixian'!A78='2. Nayoung'!A78,1,0))</f>
        <v/>
      </c>
      <c r="B78" s="20" t="str">
        <f>IF('1. Yixian'!B78="","",IF(RIGHT('1. Yixian'!B78,2)=RIGHT('2. Nayoung'!B78,2),1,0))</f>
        <v/>
      </c>
      <c r="C78" s="20" t="str">
        <f>IF('1. Yixian'!C78="","",IF('1. Yixian'!C78='2. Nayoung'!C78,1,0))</f>
        <v/>
      </c>
      <c r="E78" s="20" t="str">
        <f>IF('1. Yixian'!E78="","",IF('1. Yixian'!E78='2. Nayoung'!E78,1,0))</f>
        <v/>
      </c>
      <c r="F78" s="20" t="str">
        <f>IF('1. Yixian'!F78="","",IF('1. Yixian'!F78='2. Nayoung'!F78,1,0))</f>
        <v/>
      </c>
      <c r="G78" s="20" t="str">
        <f>IF('1. Yixian'!G78="","",IF('1. Yixian'!G78='2. Nayoung'!G78,1,0))</f>
        <v/>
      </c>
      <c r="H78" s="20" t="str">
        <f>IF('1. Yixian'!J78="","",IF(RIGHT('1. Yixian'!J78,3)=RIGHT('2. Nayoung'!J78,3),1,0))</f>
        <v/>
      </c>
      <c r="I78" s="20" t="str">
        <f>IF(H78="","",IF(OR('2. Nayoung'!K78="", '1. Yixian'!K78 = ""),0,1))</f>
        <v/>
      </c>
      <c r="J78" s="20" t="str">
        <f>IF('1. Yixian'!L78="","",IF('1. Yixian'!L78='2. Nayoung'!L78,1,0))</f>
        <v/>
      </c>
      <c r="K78" s="20" t="str">
        <f>IF('1. Yixian'!M78="","",IF('1. Yixian'!M78='2. Nayoung'!M78,1,0))</f>
        <v/>
      </c>
      <c r="L78" s="20" t="str">
        <f>IF('1. Yixian'!N78="","",IF('1. Yixian'!N78='2. Nayoung'!N78,1,0))</f>
        <v/>
      </c>
      <c r="M78" s="20" t="str">
        <f>IF('1. Yixian'!O78="","",IF('1. Yixian'!O78='2. Nayoung'!O78,1,0))</f>
        <v/>
      </c>
      <c r="N78" s="20" t="str">
        <f>IF('1. Yixian'!P78="","",IF('1. Yixian'!P78='2. Nayoung'!P78,1,0))</f>
        <v/>
      </c>
      <c r="O78" s="20" t="str">
        <f>IF('1. Yixian'!Q78="","",IF('1. Yixian'!Q78='2. Nayoung'!Q78,1,0))</f>
        <v/>
      </c>
      <c r="P78" s="20" t="str">
        <f>IF('1. Yixian'!R78="","",IF('1. Yixian'!R78='2. Nayoung'!R78,1,0))</f>
        <v/>
      </c>
      <c r="Q78" s="20" t="str">
        <f>IF('1. Yixian'!S78="","",IF('1. Yixian'!S78='2. Nayoung'!S78,1,0))</f>
        <v/>
      </c>
      <c r="R78" s="20" t="str">
        <f>IF('1. Yixian'!T78="","",IF('1. Yixian'!T78='2. Nayoung'!T78,1,0))</f>
        <v/>
      </c>
      <c r="S78" s="20" t="str">
        <f>IF(R78="","",IF(OR('2. Nayoung'!U78="", '1. Yixian'!U78 = ""),0,1))</f>
        <v/>
      </c>
      <c r="T78" s="20" t="str">
        <f>IF('1. Yixian'!V78="","",IF('1. Yixian'!V78='2. Nayoung'!V78,1,0))</f>
        <v/>
      </c>
      <c r="U78" s="20" t="str">
        <f>IF('1. Yixian'!W78="","",IF('1. Yixian'!W78='2. Nayoung'!W78,1,0))</f>
        <v/>
      </c>
      <c r="V78" s="20" t="str">
        <f>IF('1. Yixian'!X78="","",IF('1. Yixian'!X78='2. Nayoung'!X78,1,0))</f>
        <v/>
      </c>
      <c r="W78" s="20" t="str">
        <f>IF('1. Yixian'!Y78="","",IF('1. Yixian'!Y78='2. Nayoung'!Y78,1,0))</f>
        <v/>
      </c>
      <c r="X78" s="20" t="str">
        <f>IF('1. Yixian'!Z78="","",IF('1. Yixian'!Z78='2. Nayoung'!Z78,1,0))</f>
        <v/>
      </c>
      <c r="Y78" s="20" t="str">
        <f>IF('1. Yixian'!AA78="","",IF('1. Yixian'!AA78='2. Nayoung'!AA78,1,0))</f>
        <v/>
      </c>
      <c r="Z78" s="20" t="str">
        <f>IF('1. Yixian'!AB78="","",IF('1. Yixian'!AB78='2. Nayoung'!AB78,1,0))</f>
        <v/>
      </c>
      <c r="AA78" s="20" t="str">
        <f>IF('1. Yixian'!AC78="","",IF('1. Yixian'!AC78='2. Nayoung'!AC78,1,0))</f>
        <v/>
      </c>
      <c r="AB78" s="20">
        <f>IF(OR('2. Nayoung'!AD77="", '1. Yixian'!AD78 = ""),0,1)</f>
        <v>1</v>
      </c>
      <c r="AC78" s="20">
        <f>IF('1. Yixian'!AE78="","",IF('1. Yixian'!AE78='2. Nayoung'!AE78,1,0))</f>
        <v>1</v>
      </c>
      <c r="AD78" s="20">
        <f>IF(OR('2. Nayoung'!AF77="", '1. Yixian'!AF78 = ""),0,1)</f>
        <v>0</v>
      </c>
      <c r="AF78" s="20">
        <f>IF('1. Yixian'!AH78="","",IF('1. Yixian'!AH78='2. Nayoung'!AH78,1,0))</f>
        <v>1</v>
      </c>
      <c r="AG78" s="20">
        <f>IF('1. Yixian'!AI78="","",IF('1. Yixian'!AI78='2. Nayoung'!AI78,1,0))</f>
        <v>1</v>
      </c>
      <c r="AH78" s="20">
        <f>IF('1. Yixian'!AJ78="","",IF('1. Yixian'!AJ78='2. Nayoung'!AJ78,1,0))</f>
        <v>1</v>
      </c>
      <c r="AI78" s="20">
        <f>IF('1. Yixian'!AK78="","",IF('1. Yixian'!AK78='2. Nayoung'!AK78,1,0))</f>
        <v>1</v>
      </c>
      <c r="AJ78" s="20">
        <f>IF('1. Yixian'!AL78="","",IF('1. Yixian'!AL78='2. Nayoung'!AL78,1,0))</f>
        <v>1</v>
      </c>
      <c r="AK78" s="20">
        <f>IF('1. Yixian'!AM78="","",IF('1. Yixian'!AM78='2. Nayoung'!AM78,1,0))</f>
        <v>1</v>
      </c>
      <c r="AL78" s="20" t="str">
        <f>IF('1. Yixian'!AT78="","",IF('1. Yixian'!AT78='2. Nayoung'!AT78,1,0))</f>
        <v/>
      </c>
      <c r="AM78" s="20" t="e">
        <f>IF('1. Yixian'!AU78="","",IF('1. Yixian'!AU78='2. Nayoung'!#REF!,1,0))</f>
        <v>#REF!</v>
      </c>
      <c r="AN78" s="2"/>
    </row>
    <row r="79" spans="1:40" s="20" customFormat="1" ht="17" hidden="1" customHeight="1">
      <c r="A79" s="20" t="str">
        <f>IF('1. Yixian'!A79="","",IF('1. Yixian'!A79='2. Nayoung'!A79,1,0))</f>
        <v/>
      </c>
      <c r="B79" s="20" t="str">
        <f>IF('1. Yixian'!B79="","",IF(RIGHT('1. Yixian'!B79,2)=RIGHT('2. Nayoung'!B79,2),1,0))</f>
        <v/>
      </c>
      <c r="C79" s="20" t="str">
        <f>IF('1. Yixian'!C79="","",IF('1. Yixian'!C79='2. Nayoung'!C79,1,0))</f>
        <v/>
      </c>
      <c r="E79" s="20" t="str">
        <f>IF('1. Yixian'!E79="","",IF('1. Yixian'!E79='2. Nayoung'!E79,1,0))</f>
        <v/>
      </c>
      <c r="F79" s="20" t="str">
        <f>IF('1. Yixian'!F79="","",IF('1. Yixian'!F79='2. Nayoung'!F79,1,0))</f>
        <v/>
      </c>
      <c r="G79" s="20" t="str">
        <f>IF('1. Yixian'!G79="","",IF('1. Yixian'!G79='2. Nayoung'!G79,1,0))</f>
        <v/>
      </c>
      <c r="H79" s="20" t="str">
        <f>IF('1. Yixian'!J79="","",IF(RIGHT('1. Yixian'!J79,3)=RIGHT('2. Nayoung'!J79,3),1,0))</f>
        <v/>
      </c>
      <c r="I79" s="20" t="str">
        <f>IF(H79="","",IF(OR('2. Nayoung'!K79="", '1. Yixian'!K79 = ""),0,1))</f>
        <v/>
      </c>
      <c r="J79" s="20" t="str">
        <f>IF('1. Yixian'!L79="","",IF('1. Yixian'!L79='2. Nayoung'!L79,1,0))</f>
        <v/>
      </c>
      <c r="K79" s="20" t="str">
        <f>IF('1. Yixian'!M79="","",IF('1. Yixian'!M79='2. Nayoung'!M79,1,0))</f>
        <v/>
      </c>
      <c r="L79" s="20" t="str">
        <f>IF('1. Yixian'!N79="","",IF('1. Yixian'!N79='2. Nayoung'!N79,1,0))</f>
        <v/>
      </c>
      <c r="M79" s="20" t="str">
        <f>IF('1. Yixian'!O79="","",IF('1. Yixian'!O79='2. Nayoung'!O79,1,0))</f>
        <v/>
      </c>
      <c r="N79" s="20" t="str">
        <f>IF('1. Yixian'!P79="","",IF('1. Yixian'!P79='2. Nayoung'!P79,1,0))</f>
        <v/>
      </c>
      <c r="O79" s="20" t="str">
        <f>IF('1. Yixian'!Q79="","",IF('1. Yixian'!Q79='2. Nayoung'!Q79,1,0))</f>
        <v/>
      </c>
      <c r="P79" s="20" t="str">
        <f>IF('1. Yixian'!R79="","",IF('1. Yixian'!R79='2. Nayoung'!R79,1,0))</f>
        <v/>
      </c>
      <c r="Q79" s="20" t="str">
        <f>IF('1. Yixian'!S79="","",IF('1. Yixian'!S79='2. Nayoung'!S79,1,0))</f>
        <v/>
      </c>
      <c r="R79" s="20" t="str">
        <f>IF('1. Yixian'!T79="","",IF('1. Yixian'!T79='2. Nayoung'!T79,1,0))</f>
        <v/>
      </c>
      <c r="S79" s="20" t="str">
        <f>IF(R79="","",IF(OR('2. Nayoung'!U79="", '1. Yixian'!U79 = ""),0,1))</f>
        <v/>
      </c>
      <c r="T79" s="20" t="str">
        <f>IF('1. Yixian'!V79="","",IF('1. Yixian'!V79='2. Nayoung'!V79,1,0))</f>
        <v/>
      </c>
      <c r="U79" s="20" t="str">
        <f>IF('1. Yixian'!W79="","",IF('1. Yixian'!W79='2. Nayoung'!W79,1,0))</f>
        <v/>
      </c>
      <c r="V79" s="20" t="str">
        <f>IF('1. Yixian'!X79="","",IF('1. Yixian'!X79='2. Nayoung'!X79,1,0))</f>
        <v/>
      </c>
      <c r="W79" s="20" t="str">
        <f>IF('1. Yixian'!Y79="","",IF('1. Yixian'!Y79='2. Nayoung'!Y79,1,0))</f>
        <v/>
      </c>
      <c r="X79" s="20" t="str">
        <f>IF('1. Yixian'!Z79="","",IF('1. Yixian'!Z79='2. Nayoung'!Z79,1,0))</f>
        <v/>
      </c>
      <c r="Y79" s="20" t="str">
        <f>IF('1. Yixian'!AA79="","",IF('1. Yixian'!AA79='2. Nayoung'!AA79,1,0))</f>
        <v/>
      </c>
      <c r="Z79" s="20" t="str">
        <f>IF('1. Yixian'!AB79="","",IF('1. Yixian'!AB79='2. Nayoung'!AB79,1,0))</f>
        <v/>
      </c>
      <c r="AA79" s="20" t="str">
        <f>IF('1. Yixian'!AC79="","",IF('1. Yixian'!AC79='2. Nayoung'!AC79,1,0))</f>
        <v/>
      </c>
      <c r="AB79" s="20">
        <f>IF(OR('2. Nayoung'!AD78="", '1. Yixian'!AD79 = ""),0,1)</f>
        <v>1</v>
      </c>
      <c r="AC79" s="20">
        <f>IF('1. Yixian'!AE79="","",IF('1. Yixian'!AE79='2. Nayoung'!AE79,1,0))</f>
        <v>1</v>
      </c>
      <c r="AD79" s="20">
        <f>IF(OR('2. Nayoung'!AF78="", '1. Yixian'!AF79 = ""),0,1)</f>
        <v>0</v>
      </c>
      <c r="AF79" s="20">
        <f>IF('1. Yixian'!AH79="","",IF('1. Yixian'!AH79='2. Nayoung'!AH79,1,0))</f>
        <v>1</v>
      </c>
      <c r="AG79" s="20">
        <f>IF('1. Yixian'!AI79="","",IF('1. Yixian'!AI79='2. Nayoung'!AI79,1,0))</f>
        <v>1</v>
      </c>
      <c r="AH79" s="20">
        <f>IF('1. Yixian'!AJ79="","",IF('1. Yixian'!AJ79='2. Nayoung'!AJ79,1,0))</f>
        <v>1</v>
      </c>
      <c r="AI79" s="20">
        <f>IF('1. Yixian'!AK79="","",IF('1. Yixian'!AK79='2. Nayoung'!AK79,1,0))</f>
        <v>1</v>
      </c>
      <c r="AJ79" s="20">
        <f>IF('1. Yixian'!AL79="","",IF('1. Yixian'!AL79='2. Nayoung'!AL79,1,0))</f>
        <v>1</v>
      </c>
      <c r="AK79" s="20">
        <f>IF('1. Yixian'!AM79="","",IF('1. Yixian'!AM79='2. Nayoung'!AM79,1,0))</f>
        <v>1</v>
      </c>
      <c r="AL79" s="20" t="str">
        <f>IF('1. Yixian'!AT79="","",IF('1. Yixian'!AT79='2. Nayoung'!AT79,1,0))</f>
        <v/>
      </c>
      <c r="AM79" s="20" t="e">
        <f>IF('1. Yixian'!AU79="","",IF('1. Yixian'!AU79='2. Nayoung'!#REF!,1,0))</f>
        <v>#REF!</v>
      </c>
      <c r="AN79" s="2"/>
    </row>
    <row r="80" spans="1:40" s="20" customFormat="1" ht="17" hidden="1" customHeight="1">
      <c r="A80" s="20" t="str">
        <f>IF('1. Yixian'!A80="","",IF('1. Yixian'!A80='2. Nayoung'!A80,1,0))</f>
        <v/>
      </c>
      <c r="B80" s="20" t="str">
        <f>IF('1. Yixian'!B80="","",IF(RIGHT('1. Yixian'!B80,2)=RIGHT('2. Nayoung'!B80,2),1,0))</f>
        <v/>
      </c>
      <c r="C80" s="20" t="str">
        <f>IF('1. Yixian'!C80="","",IF('1. Yixian'!C80='2. Nayoung'!C80,1,0))</f>
        <v/>
      </c>
      <c r="E80" s="20" t="str">
        <f>IF('1. Yixian'!E80="","",IF('1. Yixian'!E80='2. Nayoung'!E80,1,0))</f>
        <v/>
      </c>
      <c r="F80" s="20" t="str">
        <f>IF('1. Yixian'!F80="","",IF('1. Yixian'!F80='2. Nayoung'!F80,1,0))</f>
        <v/>
      </c>
      <c r="G80" s="20" t="str">
        <f>IF('1. Yixian'!G80="","",IF('1. Yixian'!G80='2. Nayoung'!G80,1,0))</f>
        <v/>
      </c>
      <c r="H80" s="20" t="str">
        <f>IF('1. Yixian'!J80="","",IF(RIGHT('1. Yixian'!J80,3)=RIGHT('2. Nayoung'!J80,3),1,0))</f>
        <v/>
      </c>
      <c r="I80" s="20" t="str">
        <f>IF(H80="","",IF(OR('2. Nayoung'!K80="", '1. Yixian'!K80 = ""),0,1))</f>
        <v/>
      </c>
      <c r="J80" s="20" t="str">
        <f>IF('1. Yixian'!L80="","",IF('1. Yixian'!L80='2. Nayoung'!L80,1,0))</f>
        <v/>
      </c>
      <c r="K80" s="20" t="str">
        <f>IF('1. Yixian'!M80="","",IF('1. Yixian'!M80='2. Nayoung'!M80,1,0))</f>
        <v/>
      </c>
      <c r="L80" s="20" t="str">
        <f>IF('1. Yixian'!N80="","",IF('1. Yixian'!N80='2. Nayoung'!N80,1,0))</f>
        <v/>
      </c>
      <c r="M80" s="20" t="str">
        <f>IF('1. Yixian'!O80="","",IF('1. Yixian'!O80='2. Nayoung'!O80,1,0))</f>
        <v/>
      </c>
      <c r="N80" s="20" t="str">
        <f>IF('1. Yixian'!P80="","",IF('1. Yixian'!P80='2. Nayoung'!P80,1,0))</f>
        <v/>
      </c>
      <c r="O80" s="20" t="str">
        <f>IF('1. Yixian'!Q80="","",IF('1. Yixian'!Q80='2. Nayoung'!Q80,1,0))</f>
        <v/>
      </c>
      <c r="P80" s="20" t="str">
        <f>IF('1. Yixian'!R80="","",IF('1. Yixian'!R80='2. Nayoung'!R80,1,0))</f>
        <v/>
      </c>
      <c r="Q80" s="20" t="str">
        <f>IF('1. Yixian'!S80="","",IF('1. Yixian'!S80='2. Nayoung'!S80,1,0))</f>
        <v/>
      </c>
      <c r="R80" s="20" t="str">
        <f>IF('1. Yixian'!T80="","",IF('1. Yixian'!T80='2. Nayoung'!T80,1,0))</f>
        <v/>
      </c>
      <c r="S80" s="20" t="str">
        <f>IF(R80="","",IF(OR('2. Nayoung'!U80="", '1. Yixian'!U80 = ""),0,1))</f>
        <v/>
      </c>
      <c r="T80" s="20" t="str">
        <f>IF('1. Yixian'!V80="","",IF('1. Yixian'!V80='2. Nayoung'!V80,1,0))</f>
        <v/>
      </c>
      <c r="U80" s="20" t="str">
        <f>IF('1. Yixian'!W80="","",IF('1. Yixian'!W80='2. Nayoung'!W80,1,0))</f>
        <v/>
      </c>
      <c r="V80" s="20" t="str">
        <f>IF('1. Yixian'!X80="","",IF('1. Yixian'!X80='2. Nayoung'!X80,1,0))</f>
        <v/>
      </c>
      <c r="W80" s="20" t="str">
        <f>IF('1. Yixian'!Y80="","",IF('1. Yixian'!Y80='2. Nayoung'!Y80,1,0))</f>
        <v/>
      </c>
      <c r="X80" s="20" t="str">
        <f>IF('1. Yixian'!Z80="","",IF('1. Yixian'!Z80='2. Nayoung'!Z80,1,0))</f>
        <v/>
      </c>
      <c r="Y80" s="20" t="str">
        <f>IF('1. Yixian'!AA80="","",IF('1. Yixian'!AA80='2. Nayoung'!AA80,1,0))</f>
        <v/>
      </c>
      <c r="Z80" s="20" t="str">
        <f>IF('1. Yixian'!AB80="","",IF('1. Yixian'!AB80='2. Nayoung'!AB80,1,0))</f>
        <v/>
      </c>
      <c r="AA80" s="20" t="str">
        <f>IF('1. Yixian'!AC80="","",IF('1. Yixian'!AC80='2. Nayoung'!AC80,1,0))</f>
        <v/>
      </c>
      <c r="AB80" s="20">
        <f>IF(OR('2. Nayoung'!AD79="", '1. Yixian'!AD80 = ""),0,1)</f>
        <v>1</v>
      </c>
      <c r="AC80" s="20">
        <f>IF('1. Yixian'!AE80="","",IF('1. Yixian'!AE80='2. Nayoung'!AE80,1,0))</f>
        <v>1</v>
      </c>
      <c r="AD80" s="20">
        <f>IF(OR('2. Nayoung'!AF79="", '1. Yixian'!AF80 = ""),0,1)</f>
        <v>0</v>
      </c>
      <c r="AF80" s="20">
        <f>IF('1. Yixian'!AH80="","",IF('1. Yixian'!AH80='2. Nayoung'!AH80,1,0))</f>
        <v>1</v>
      </c>
      <c r="AG80" s="20">
        <f>IF('1. Yixian'!AI80="","",IF('1. Yixian'!AI80='2. Nayoung'!AI80,1,0))</f>
        <v>1</v>
      </c>
      <c r="AH80" s="20">
        <f>IF('1. Yixian'!AJ80="","",IF('1. Yixian'!AJ80='2. Nayoung'!AJ80,1,0))</f>
        <v>1</v>
      </c>
      <c r="AI80" s="20">
        <f>IF('1. Yixian'!AK80="","",IF('1. Yixian'!AK80='2. Nayoung'!AK80,1,0))</f>
        <v>1</v>
      </c>
      <c r="AJ80" s="20">
        <f>IF('1. Yixian'!AL80="","",IF('1. Yixian'!AL80='2. Nayoung'!AL80,1,0))</f>
        <v>1</v>
      </c>
      <c r="AK80" s="20">
        <f>IF('1. Yixian'!AM80="","",IF('1. Yixian'!AM80='2. Nayoung'!AM80,1,0))</f>
        <v>1</v>
      </c>
      <c r="AL80" s="20" t="str">
        <f>IF('1. Yixian'!AT80="","",IF('1. Yixian'!AT80='2. Nayoung'!AT80,1,0))</f>
        <v/>
      </c>
      <c r="AM80" s="20" t="e">
        <f>IF('1. Yixian'!AU80="","",IF('1. Yixian'!AU80='2. Nayoung'!#REF!,1,0))</f>
        <v>#REF!</v>
      </c>
      <c r="AN80" s="2"/>
    </row>
    <row r="81" spans="1:40" s="20" customFormat="1" ht="17" hidden="1" customHeight="1">
      <c r="A81" s="20">
        <f>IF('1. Yixian'!A81="","",IF('1. Yixian'!A81='2. Nayoung'!A81,1,0))</f>
        <v>1</v>
      </c>
      <c r="B81" s="20">
        <f>IF('1. Yixian'!B81="","",IF(RIGHT('1. Yixian'!B81,2)=RIGHT('2. Nayoung'!B81,2),1,0))</f>
        <v>1</v>
      </c>
      <c r="C81" s="20">
        <f>IF('1. Yixian'!C81="","",IF('1. Yixian'!C81='2. Nayoung'!C81,1,0))</f>
        <v>1</v>
      </c>
      <c r="E81" s="20">
        <f>IF('1. Yixian'!E81="","",IF('1. Yixian'!E81='2. Nayoung'!E81,1,0))</f>
        <v>1</v>
      </c>
      <c r="F81" s="20">
        <f>IF('1. Yixian'!F81="","",IF('1. Yixian'!F81='2. Nayoung'!F81,1,0))</f>
        <v>1</v>
      </c>
      <c r="G81" s="20">
        <f>IF('1. Yixian'!G81="","",IF('1. Yixian'!G81='2. Nayoung'!G81,1,0))</f>
        <v>1</v>
      </c>
      <c r="H81" s="20">
        <f>IF('1. Yixian'!J81="","",IF(RIGHT('1. Yixian'!J81,3)=RIGHT('2. Nayoung'!J81,3),1,0))</f>
        <v>0</v>
      </c>
      <c r="I81" s="20">
        <f>IF(H81="","",IF(OR('2. Nayoung'!K81="", '1. Yixian'!K81 = ""),0,1))</f>
        <v>1</v>
      </c>
      <c r="J81" s="20">
        <f>IF('1. Yixian'!L81="","",IF('1. Yixian'!L81='2. Nayoung'!L81,1,0))</f>
        <v>1</v>
      </c>
      <c r="K81" s="20">
        <f>IF('1. Yixian'!M81="","",IF('1. Yixian'!M81='2. Nayoung'!M81,1,0))</f>
        <v>1</v>
      </c>
      <c r="L81" s="20">
        <f>IF('1. Yixian'!N81="","",IF('1. Yixian'!N81='2. Nayoung'!N81,1,0))</f>
        <v>1</v>
      </c>
      <c r="M81" s="20">
        <f>IF('1. Yixian'!O81="","",IF('1. Yixian'!O81='2. Nayoung'!O81,1,0))</f>
        <v>1</v>
      </c>
      <c r="N81" s="101">
        <v>1</v>
      </c>
      <c r="O81" s="20">
        <f>IF('1. Yixian'!Q81="","",IF('1. Yixian'!Q81='2. Nayoung'!Q81,1,0))</f>
        <v>1</v>
      </c>
      <c r="P81" s="101">
        <v>1</v>
      </c>
      <c r="Q81" s="20">
        <f>IF('1. Yixian'!S81="","",IF('1. Yixian'!S81='2. Nayoung'!S81,1,0))</f>
        <v>0</v>
      </c>
      <c r="R81" s="20">
        <f>IF('1. Yixian'!T81="","",IF('1. Yixian'!T81='2. Nayoung'!T81,1,0))</f>
        <v>1</v>
      </c>
      <c r="S81" s="20">
        <f>IF(R81="","",IF(OR('2. Nayoung'!U81="", '1. Yixian'!U81 = ""),0,1))</f>
        <v>1</v>
      </c>
      <c r="T81" s="20">
        <f>IF('1. Yixian'!V81="","",IF('1. Yixian'!V81='2. Nayoung'!V81,1,0))</f>
        <v>1</v>
      </c>
      <c r="U81" s="20">
        <f>IF('1. Yixian'!W81="","",IF('1. Yixian'!W81='2. Nayoung'!W81,1,0))</f>
        <v>1</v>
      </c>
      <c r="V81" s="20">
        <f>IF('1. Yixian'!X81="","",IF('1. Yixian'!X81='2. Nayoung'!X81,1,0))</f>
        <v>1</v>
      </c>
      <c r="W81" s="20">
        <f>IF('1. Yixian'!Y81="","",IF('1. Yixian'!Y81='2. Nayoung'!Y81,1,0))</f>
        <v>1</v>
      </c>
      <c r="X81" s="20">
        <f>IF('1. Yixian'!Z81="","",IF('1. Yixian'!Z81='2. Nayoung'!Z81,1,0))</f>
        <v>1</v>
      </c>
      <c r="Y81" s="20">
        <f>IF('1. Yixian'!AA81="","",IF('1. Yixian'!AA81='2. Nayoung'!AA81,1,0))</f>
        <v>1</v>
      </c>
      <c r="Z81" s="20">
        <f>IF('1. Yixian'!AB81="","",IF('1. Yixian'!AB81='2. Nayoung'!AB81,1,0))</f>
        <v>1</v>
      </c>
      <c r="AA81" s="20">
        <f>IF('1. Yixian'!AC81="","",IF('1. Yixian'!AC81='2. Nayoung'!AC81,1,0))</f>
        <v>1</v>
      </c>
      <c r="AB81" s="20">
        <f>IF(OR('2. Nayoung'!AD80="", '1. Yixian'!AD81 = ""),0,1)</f>
        <v>1</v>
      </c>
      <c r="AC81" s="20">
        <f>IF('1. Yixian'!AE81="","",IF('1. Yixian'!AE81='2. Nayoung'!AE81,1,0))</f>
        <v>1</v>
      </c>
      <c r="AD81" s="20">
        <f>IF(OR('2. Nayoung'!AF80="", '1. Yixian'!AF81 = ""),0,1)</f>
        <v>0</v>
      </c>
      <c r="AF81" s="20">
        <f>IF('1. Yixian'!AH81="","",IF('1. Yixian'!AH81='2. Nayoung'!AH81,1,0))</f>
        <v>1</v>
      </c>
      <c r="AG81" s="20">
        <f>IF('1. Yixian'!AI81="","",IF('1. Yixian'!AI81='2. Nayoung'!AI81,1,0))</f>
        <v>1</v>
      </c>
      <c r="AH81" s="20">
        <f>IF('1. Yixian'!AJ81="","",IF('1. Yixian'!AJ81='2. Nayoung'!AJ81,1,0))</f>
        <v>1</v>
      </c>
      <c r="AI81" s="20">
        <f>IF('1. Yixian'!AK81="","",IF('1. Yixian'!AK81='2. Nayoung'!AK81,1,0))</f>
        <v>1</v>
      </c>
      <c r="AJ81" s="20">
        <f>IF('1. Yixian'!AL81="","",IF('1. Yixian'!AL81='2. Nayoung'!AL81,1,0))</f>
        <v>1</v>
      </c>
      <c r="AK81" s="20">
        <f>IF('1. Yixian'!AM81="","",IF('1. Yixian'!AM81='2. Nayoung'!AM81,1,0))</f>
        <v>1</v>
      </c>
      <c r="AL81" s="20" t="str">
        <f>IF('1. Yixian'!AT81="","",IF('1. Yixian'!AT81='2. Nayoung'!AT81,1,0))</f>
        <v/>
      </c>
      <c r="AM81" s="20" t="e">
        <f>IF('1. Yixian'!AU81="","",IF('1. Yixian'!AU81='2. Nayoung'!#REF!,1,0))</f>
        <v>#REF!</v>
      </c>
      <c r="AN81" s="2"/>
    </row>
    <row r="82" spans="1:40" s="20" customFormat="1" ht="17" hidden="1" customHeight="1">
      <c r="A82" s="20" t="str">
        <f>IF('1. Yixian'!A82="","",IF('1. Yixian'!A82='2. Nayoung'!A82,1,0))</f>
        <v/>
      </c>
      <c r="B82" s="20" t="str">
        <f>IF('1. Yixian'!B82="","",IF(RIGHT('1. Yixian'!B82,2)=RIGHT('2. Nayoung'!B82,2),1,0))</f>
        <v/>
      </c>
      <c r="C82" s="20" t="str">
        <f>IF('1. Yixian'!C82="","",IF('1. Yixian'!C82='2. Nayoung'!C82,1,0))</f>
        <v/>
      </c>
      <c r="E82" s="20" t="str">
        <f>IF('1. Yixian'!E82="","",IF('1. Yixian'!E82='2. Nayoung'!E82,1,0))</f>
        <v/>
      </c>
      <c r="F82" s="20" t="str">
        <f>IF('1. Yixian'!F82="","",IF('1. Yixian'!F82='2. Nayoung'!F82,1,0))</f>
        <v/>
      </c>
      <c r="G82" s="20" t="str">
        <f>IF('1. Yixian'!G82="","",IF('1. Yixian'!G82='2. Nayoung'!G82,1,0))</f>
        <v/>
      </c>
      <c r="H82" s="20" t="str">
        <f>IF('1. Yixian'!J82="","",IF(RIGHT('1. Yixian'!J82,3)=RIGHT('2. Nayoung'!J82,3),1,0))</f>
        <v/>
      </c>
      <c r="I82" s="20" t="str">
        <f>IF(H82="","",IF(OR('2. Nayoung'!K82="", '1. Yixian'!K82 = ""),0,1))</f>
        <v/>
      </c>
      <c r="J82" s="20" t="str">
        <f>IF('1. Yixian'!L82="","",IF('1. Yixian'!L82='2. Nayoung'!L82,1,0))</f>
        <v/>
      </c>
      <c r="K82" s="20" t="str">
        <f>IF('1. Yixian'!M82="","",IF('1. Yixian'!M82='2. Nayoung'!M82,1,0))</f>
        <v/>
      </c>
      <c r="L82" s="20" t="str">
        <f>IF('1. Yixian'!N82="","",IF('1. Yixian'!N82='2. Nayoung'!N82,1,0))</f>
        <v/>
      </c>
      <c r="M82" s="20" t="str">
        <f>IF('1. Yixian'!O82="","",IF('1. Yixian'!O82='2. Nayoung'!O82,1,0))</f>
        <v/>
      </c>
      <c r="N82" s="20" t="str">
        <f>IF('1. Yixian'!P82="","",IF('1. Yixian'!P82='2. Nayoung'!P82,1,0))</f>
        <v/>
      </c>
      <c r="O82" s="20" t="str">
        <f>IF('1. Yixian'!Q82="","",IF('1. Yixian'!Q82='2. Nayoung'!Q82,1,0))</f>
        <v/>
      </c>
      <c r="P82" s="20" t="str">
        <f>IF('1. Yixian'!R82="","",IF('1. Yixian'!R82='2. Nayoung'!R82,1,0))</f>
        <v/>
      </c>
      <c r="Q82" s="20" t="str">
        <f>IF('1. Yixian'!S82="","",IF('1. Yixian'!S82='2. Nayoung'!S82,1,0))</f>
        <v/>
      </c>
      <c r="R82" s="20" t="str">
        <f>IF('1. Yixian'!T82="","",IF('1. Yixian'!T82='2. Nayoung'!T82,1,0))</f>
        <v/>
      </c>
      <c r="S82" s="20" t="str">
        <f>IF(R82="","",IF(OR('2. Nayoung'!U82="", '1. Yixian'!U82 = ""),0,1))</f>
        <v/>
      </c>
      <c r="T82" s="20" t="str">
        <f>IF('1. Yixian'!V82="","",IF('1. Yixian'!V82='2. Nayoung'!V82,1,0))</f>
        <v/>
      </c>
      <c r="U82" s="20" t="str">
        <f>IF('1. Yixian'!W82="","",IF('1. Yixian'!W82='2. Nayoung'!W82,1,0))</f>
        <v/>
      </c>
      <c r="V82" s="20" t="str">
        <f>IF('1. Yixian'!X82="","",IF('1. Yixian'!X82='2. Nayoung'!X82,1,0))</f>
        <v/>
      </c>
      <c r="W82" s="20" t="str">
        <f>IF('1. Yixian'!Y82="","",IF('1. Yixian'!Y82='2. Nayoung'!Y82,1,0))</f>
        <v/>
      </c>
      <c r="X82" s="20" t="str">
        <f>IF('1. Yixian'!Z82="","",IF('1. Yixian'!Z82='2. Nayoung'!Z82,1,0))</f>
        <v/>
      </c>
      <c r="Y82" s="20" t="str">
        <f>IF('1. Yixian'!AA82="","",IF('1. Yixian'!AA82='2. Nayoung'!AA82,1,0))</f>
        <v/>
      </c>
      <c r="Z82" s="20" t="str">
        <f>IF('1. Yixian'!AB82="","",IF('1. Yixian'!AB82='2. Nayoung'!AB82,1,0))</f>
        <v/>
      </c>
      <c r="AA82" s="20" t="str">
        <f>IF('1. Yixian'!AC82="","",IF('1. Yixian'!AC82='2. Nayoung'!AC82,1,0))</f>
        <v/>
      </c>
      <c r="AB82" s="20">
        <f>IF(OR('2. Nayoung'!AD81="", '1. Yixian'!AD82 = ""),0,1)</f>
        <v>1</v>
      </c>
      <c r="AC82" s="20">
        <f>IF('1. Yixian'!AE82="","",IF('1. Yixian'!AE82='2. Nayoung'!AE82,1,0))</f>
        <v>1</v>
      </c>
      <c r="AD82" s="20">
        <f>IF(OR('2. Nayoung'!AF81="", '1. Yixian'!AF82 = ""),0,1)</f>
        <v>1</v>
      </c>
      <c r="AF82" s="20">
        <f>IF('1. Yixian'!AH82="","",IF('1. Yixian'!AH82='2. Nayoung'!AH82,1,0))</f>
        <v>1</v>
      </c>
      <c r="AG82" s="20">
        <f>IF('1. Yixian'!AI82="","",IF('1. Yixian'!AI82='2. Nayoung'!AI82,1,0))</f>
        <v>1</v>
      </c>
      <c r="AH82" s="20">
        <f>IF('1. Yixian'!AJ82="","",IF('1. Yixian'!AJ82='2. Nayoung'!AJ82,1,0))</f>
        <v>1</v>
      </c>
      <c r="AI82" s="20">
        <f>IF('1. Yixian'!AK82="","",IF('1. Yixian'!AK82='2. Nayoung'!AK82,1,0))</f>
        <v>1</v>
      </c>
      <c r="AJ82" s="20">
        <f>IF('1. Yixian'!AL82="","",IF('1. Yixian'!AL82='2. Nayoung'!AL82,1,0))</f>
        <v>1</v>
      </c>
      <c r="AK82" s="20">
        <f>IF('1. Yixian'!AM82="","",IF('1. Yixian'!AM82='2. Nayoung'!AM82,1,0))</f>
        <v>1</v>
      </c>
      <c r="AL82" s="20" t="str">
        <f>IF('1. Yixian'!AT82="","",IF('1. Yixian'!AT82='2. Nayoung'!AT82,1,0))</f>
        <v/>
      </c>
      <c r="AM82" s="20" t="e">
        <f>IF('1. Yixian'!AU82="","",IF('1. Yixian'!AU82='2. Nayoung'!#REF!,1,0))</f>
        <v>#REF!</v>
      </c>
      <c r="AN82" s="2"/>
    </row>
    <row r="83" spans="1:40" s="20" customFormat="1" ht="17" hidden="1" customHeight="1">
      <c r="A83" s="20" t="str">
        <f>IF('1. Yixian'!A83="","",IF('1. Yixian'!A83='2. Nayoung'!A83,1,0))</f>
        <v/>
      </c>
      <c r="B83" s="20" t="str">
        <f>IF('1. Yixian'!B83="","",IF(RIGHT('1. Yixian'!B83,2)=RIGHT('2. Nayoung'!B83,2),1,0))</f>
        <v/>
      </c>
      <c r="C83" s="20" t="str">
        <f>IF('1. Yixian'!C83="","",IF('1. Yixian'!C83='2. Nayoung'!C83,1,0))</f>
        <v/>
      </c>
      <c r="E83" s="20" t="str">
        <f>IF('1. Yixian'!E83="","",IF('1. Yixian'!E83='2. Nayoung'!E83,1,0))</f>
        <v/>
      </c>
      <c r="F83" s="20" t="str">
        <f>IF('1. Yixian'!F83="","",IF('1. Yixian'!F83='2. Nayoung'!F83,1,0))</f>
        <v/>
      </c>
      <c r="G83" s="20" t="str">
        <f>IF('1. Yixian'!G83="","",IF('1. Yixian'!G83='2. Nayoung'!G83,1,0))</f>
        <v/>
      </c>
      <c r="H83" s="20">
        <f>IF('1. Yixian'!J83="","",IF(RIGHT('1. Yixian'!J83,3)=RIGHT('2. Nayoung'!J83,3),1,0))</f>
        <v>0</v>
      </c>
      <c r="I83" s="20">
        <f>IF(H83="","",IF(OR('2. Nayoung'!K83="", '1. Yixian'!K83 = ""),0,1))</f>
        <v>1</v>
      </c>
      <c r="J83" s="20">
        <f>IF('1. Yixian'!L83="","",IF('1. Yixian'!L83='2. Nayoung'!L83,1,0))</f>
        <v>1</v>
      </c>
      <c r="K83" s="20">
        <f>IF('1. Yixian'!M83="","",IF('1. Yixian'!M83='2. Nayoung'!M83,1,0))</f>
        <v>1</v>
      </c>
      <c r="L83" s="20">
        <f>IF('1. Yixian'!N83="","",IF('1. Yixian'!N83='2. Nayoung'!N83,1,0))</f>
        <v>1</v>
      </c>
      <c r="M83" s="20">
        <f>IF('1. Yixian'!O83="","",IF('1. Yixian'!O83='2. Nayoung'!O83,1,0))</f>
        <v>1</v>
      </c>
      <c r="N83" s="101">
        <v>1</v>
      </c>
      <c r="O83" s="20">
        <f>IF('1. Yixian'!Q83="","",IF('1. Yixian'!Q83='2. Nayoung'!Q83,1,0))</f>
        <v>1</v>
      </c>
      <c r="P83" s="101">
        <v>1</v>
      </c>
      <c r="Q83" s="20">
        <f>IF('1. Yixian'!S83="","",IF('1. Yixian'!S83='2. Nayoung'!S83,1,0))</f>
        <v>0</v>
      </c>
      <c r="R83" s="20">
        <f>IF('1. Yixian'!T83="","",IF('1. Yixian'!T83='2. Nayoung'!T83,1,0))</f>
        <v>1</v>
      </c>
      <c r="S83" s="20">
        <f>IF(R83="","",IF(OR('2. Nayoung'!U83="", '1. Yixian'!U83 = ""),0,1))</f>
        <v>1</v>
      </c>
      <c r="T83" s="20">
        <f>IF('1. Yixian'!V83="","",IF('1. Yixian'!V83='2. Nayoung'!V83,1,0))</f>
        <v>1</v>
      </c>
      <c r="U83" s="20">
        <f>IF('1. Yixian'!W83="","",IF('1. Yixian'!W83='2. Nayoung'!W83,1,0))</f>
        <v>1</v>
      </c>
      <c r="V83" s="20">
        <f>IF('1. Yixian'!X83="","",IF('1. Yixian'!X83='2. Nayoung'!X83,1,0))</f>
        <v>1</v>
      </c>
      <c r="W83" s="20">
        <f>IF('1. Yixian'!Y83="","",IF('1. Yixian'!Y83='2. Nayoung'!Y83,1,0))</f>
        <v>1</v>
      </c>
      <c r="X83" s="20">
        <f>IF('1. Yixian'!Z83="","",IF('1. Yixian'!Z83='2. Nayoung'!Z83,1,0))</f>
        <v>1</v>
      </c>
      <c r="Y83" s="20">
        <f>IF('1. Yixian'!AA83="","",IF('1. Yixian'!AA83='2. Nayoung'!AA83,1,0))</f>
        <v>1</v>
      </c>
      <c r="Z83" s="20">
        <f>IF('1. Yixian'!AB83="","",IF('1. Yixian'!AB83='2. Nayoung'!AB83,1,0))</f>
        <v>1</v>
      </c>
      <c r="AA83" s="20">
        <f>IF('1. Yixian'!AC83="","",IF('1. Yixian'!AC83='2. Nayoung'!AC83,1,0))</f>
        <v>1</v>
      </c>
      <c r="AB83" s="20">
        <f>IF(OR('2. Nayoung'!AD82="", '1. Yixian'!AD83 = ""),0,1)</f>
        <v>1</v>
      </c>
      <c r="AC83" s="20">
        <f>IF('1. Yixian'!AE83="","",IF('1. Yixian'!AE83='2. Nayoung'!AE83,1,0))</f>
        <v>1</v>
      </c>
      <c r="AD83" s="20">
        <f>IF(OR('2. Nayoung'!AF82="", '1. Yixian'!AF83 = ""),0,1)</f>
        <v>1</v>
      </c>
      <c r="AF83" s="20">
        <f>IF('1. Yixian'!AH83="","",IF('1. Yixian'!AH83='2. Nayoung'!AH83,1,0))</f>
        <v>1</v>
      </c>
      <c r="AG83" s="20">
        <f>IF('1. Yixian'!AI83="","",IF('1. Yixian'!AI83='2. Nayoung'!AI83,1,0))</f>
        <v>1</v>
      </c>
      <c r="AH83" s="20">
        <f>IF('1. Yixian'!AJ83="","",IF('1. Yixian'!AJ83='2. Nayoung'!AJ83,1,0))</f>
        <v>1</v>
      </c>
      <c r="AI83" s="20">
        <f>IF('1. Yixian'!AK83="","",IF('1. Yixian'!AK83='2. Nayoung'!AK83,1,0))</f>
        <v>1</v>
      </c>
      <c r="AJ83" s="20">
        <f>IF('1. Yixian'!AL83="","",IF('1. Yixian'!AL83='2. Nayoung'!AL83,1,0))</f>
        <v>1</v>
      </c>
      <c r="AK83" s="20">
        <f>IF('1. Yixian'!AM83="","",IF('1. Yixian'!AM83='2. Nayoung'!AM83,1,0))</f>
        <v>1</v>
      </c>
      <c r="AL83" s="20" t="str">
        <f>IF('1. Yixian'!AT83="","",IF('1. Yixian'!AT83='2. Nayoung'!AT83,1,0))</f>
        <v/>
      </c>
      <c r="AM83" s="20" t="e">
        <f>IF('1. Yixian'!AU83="","",IF('1. Yixian'!AU83='2. Nayoung'!#REF!,1,0))</f>
        <v>#REF!</v>
      </c>
      <c r="AN83" s="2"/>
    </row>
    <row r="84" spans="1:40" s="20" customFormat="1" ht="17" hidden="1" customHeight="1">
      <c r="A84" s="20" t="str">
        <f>IF('1. Yixian'!A84="","",IF('1. Yixian'!A84='2. Nayoung'!A84,1,0))</f>
        <v/>
      </c>
      <c r="B84" s="20" t="str">
        <f>IF('1. Yixian'!B84="","",IF(RIGHT('1. Yixian'!B84,2)=RIGHT('2. Nayoung'!B84,2),1,0))</f>
        <v/>
      </c>
      <c r="C84" s="20" t="str">
        <f>IF('1. Yixian'!C84="","",IF('1. Yixian'!C84='2. Nayoung'!C84,1,0))</f>
        <v/>
      </c>
      <c r="E84" s="20" t="str">
        <f>IF('1. Yixian'!E84="","",IF('1. Yixian'!E84='2. Nayoung'!E84,1,0))</f>
        <v/>
      </c>
      <c r="F84" s="20" t="str">
        <f>IF('1. Yixian'!F84="","",IF('1. Yixian'!F84='2. Nayoung'!F84,1,0))</f>
        <v/>
      </c>
      <c r="G84" s="20" t="str">
        <f>IF('1. Yixian'!G84="","",IF('1. Yixian'!G84='2. Nayoung'!G84,1,0))</f>
        <v/>
      </c>
      <c r="H84" s="20" t="str">
        <f>IF('1. Yixian'!J84="","",IF(RIGHT('1. Yixian'!J84,3)=RIGHT('2. Nayoung'!J84,3),1,0))</f>
        <v/>
      </c>
      <c r="I84" s="20" t="str">
        <f>IF(H84="","",IF(OR('2. Nayoung'!K84="", '1. Yixian'!K84 = ""),0,1))</f>
        <v/>
      </c>
      <c r="J84" s="20" t="str">
        <f>IF('1. Yixian'!L84="","",IF('1. Yixian'!L84='2. Nayoung'!L84,1,0))</f>
        <v/>
      </c>
      <c r="K84" s="20" t="str">
        <f>IF('1. Yixian'!M84="","",IF('1. Yixian'!M84='2. Nayoung'!M84,1,0))</f>
        <v/>
      </c>
      <c r="L84" s="20" t="str">
        <f>IF('1. Yixian'!N84="","",IF('1. Yixian'!N84='2. Nayoung'!N84,1,0))</f>
        <v/>
      </c>
      <c r="M84" s="20" t="str">
        <f>IF('1. Yixian'!O84="","",IF('1. Yixian'!O84='2. Nayoung'!O84,1,0))</f>
        <v/>
      </c>
      <c r="N84" s="20" t="str">
        <f>IF('1. Yixian'!P84="","",IF('1. Yixian'!P84='2. Nayoung'!P84,1,0))</f>
        <v/>
      </c>
      <c r="O84" s="20" t="str">
        <f>IF('1. Yixian'!Q84="","",IF('1. Yixian'!Q84='2. Nayoung'!Q84,1,0))</f>
        <v/>
      </c>
      <c r="P84" s="20" t="str">
        <f>IF('1. Yixian'!R84="","",IF('1. Yixian'!R84='2. Nayoung'!R84,1,0))</f>
        <v/>
      </c>
      <c r="Q84" s="20" t="str">
        <f>IF('1. Yixian'!S84="","",IF('1. Yixian'!S84='2. Nayoung'!S84,1,0))</f>
        <v/>
      </c>
      <c r="R84" s="20" t="str">
        <f>IF('1. Yixian'!T84="","",IF('1. Yixian'!T84='2. Nayoung'!T84,1,0))</f>
        <v/>
      </c>
      <c r="S84" s="20" t="str">
        <f>IF(R84="","",IF(OR('2. Nayoung'!U84="", '1. Yixian'!U84 = ""),0,1))</f>
        <v/>
      </c>
      <c r="T84" s="20" t="str">
        <f>IF('1. Yixian'!V84="","",IF('1. Yixian'!V84='2. Nayoung'!V84,1,0))</f>
        <v/>
      </c>
      <c r="U84" s="20" t="str">
        <f>IF('1. Yixian'!W84="","",IF('1. Yixian'!W84='2. Nayoung'!W84,1,0))</f>
        <v/>
      </c>
      <c r="V84" s="20" t="str">
        <f>IF('1. Yixian'!X84="","",IF('1. Yixian'!X84='2. Nayoung'!X84,1,0))</f>
        <v/>
      </c>
      <c r="W84" s="20" t="str">
        <f>IF('1. Yixian'!Y84="","",IF('1. Yixian'!Y84='2. Nayoung'!Y84,1,0))</f>
        <v/>
      </c>
      <c r="X84" s="20" t="str">
        <f>IF('1. Yixian'!Z84="","",IF('1. Yixian'!Z84='2. Nayoung'!Z84,1,0))</f>
        <v/>
      </c>
      <c r="Y84" s="20" t="str">
        <f>IF('1. Yixian'!AA84="","",IF('1. Yixian'!AA84='2. Nayoung'!AA84,1,0))</f>
        <v/>
      </c>
      <c r="Z84" s="20" t="str">
        <f>IF('1. Yixian'!AB84="","",IF('1. Yixian'!AB84='2. Nayoung'!AB84,1,0))</f>
        <v/>
      </c>
      <c r="AA84" s="20" t="str">
        <f>IF('1. Yixian'!AC84="","",IF('1. Yixian'!AC84='2. Nayoung'!AC84,1,0))</f>
        <v/>
      </c>
      <c r="AB84" s="20">
        <f>IF(OR('2. Nayoung'!AD83="", '1. Yixian'!AD84 = ""),0,1)</f>
        <v>1</v>
      </c>
      <c r="AC84" s="20">
        <f>IF('1. Yixian'!AE84="","",IF('1. Yixian'!AE84='2. Nayoung'!AE84,1,0))</f>
        <v>1</v>
      </c>
      <c r="AD84" s="20">
        <f>IF(OR('2. Nayoung'!AF83="", '1. Yixian'!AF84 = ""),0,1)</f>
        <v>0</v>
      </c>
      <c r="AF84" s="20">
        <f>IF('1. Yixian'!AH84="","",IF('1. Yixian'!AH84='2. Nayoung'!AH84,1,0))</f>
        <v>1</v>
      </c>
      <c r="AG84" s="20">
        <f>IF('1. Yixian'!AI84="","",IF('1. Yixian'!AI84='2. Nayoung'!AI84,1,0))</f>
        <v>1</v>
      </c>
      <c r="AH84" s="20">
        <f>IF('1. Yixian'!AJ84="","",IF('1. Yixian'!AJ84='2. Nayoung'!AJ84,1,0))</f>
        <v>1</v>
      </c>
      <c r="AI84" s="20">
        <f>IF('1. Yixian'!AK84="","",IF('1. Yixian'!AK84='2. Nayoung'!AK84,1,0))</f>
        <v>1</v>
      </c>
      <c r="AJ84" s="20">
        <f>IF('1. Yixian'!AL84="","",IF('1. Yixian'!AL84='2. Nayoung'!AL84,1,0))</f>
        <v>1</v>
      </c>
      <c r="AK84" s="20">
        <f>IF('1. Yixian'!AM84="","",IF('1. Yixian'!AM84='2. Nayoung'!AM84,1,0))</f>
        <v>1</v>
      </c>
      <c r="AL84" s="20" t="str">
        <f>IF('1. Yixian'!AT84="","",IF('1. Yixian'!AT84='2. Nayoung'!AT84,1,0))</f>
        <v/>
      </c>
      <c r="AM84" s="20" t="e">
        <f>IF('1. Yixian'!AU84="","",IF('1. Yixian'!AU84='2. Nayoung'!#REF!,1,0))</f>
        <v>#REF!</v>
      </c>
      <c r="AN84" s="2"/>
    </row>
    <row r="85" spans="1:40" s="20" customFormat="1" ht="17" hidden="1" customHeight="1">
      <c r="A85" s="20">
        <f>IF('1. Yixian'!A85="","",IF('1. Yixian'!A85='2. Nayoung'!A85,1,0))</f>
        <v>1</v>
      </c>
      <c r="B85" s="20">
        <f>IF('1. Yixian'!B85="","",IF(RIGHT('1. Yixian'!B85,2)=RIGHT('2. Nayoung'!B85,2),1,0))</f>
        <v>1</v>
      </c>
      <c r="C85" s="20">
        <f>IF('1. Yixian'!C85="","",IF('1. Yixian'!C85='2. Nayoung'!C85,1,0))</f>
        <v>1</v>
      </c>
      <c r="E85" s="20">
        <f>IF('1. Yixian'!E85="","",IF('1. Yixian'!E85='2. Nayoung'!E85,1,0))</f>
        <v>1</v>
      </c>
      <c r="F85" s="20">
        <f>IF('1. Yixian'!F85="","",IF('1. Yixian'!F85='2. Nayoung'!F85,1,0))</f>
        <v>1</v>
      </c>
      <c r="G85" s="20">
        <f>IF('1. Yixian'!G85="","",IF('1. Yixian'!G85='2. Nayoung'!G85,1,0))</f>
        <v>1</v>
      </c>
      <c r="H85" s="20">
        <f>IF('1. Yixian'!J85="","",IF(RIGHT('1. Yixian'!J85,3)=RIGHT('2. Nayoung'!J85,3),1,0))</f>
        <v>0</v>
      </c>
      <c r="I85" s="20">
        <f>IF(H85="","",IF(OR('2. Nayoung'!K85="", '1. Yixian'!K85 = ""),0,1))</f>
        <v>1</v>
      </c>
      <c r="J85" s="20">
        <f>IF('1. Yixian'!L85="","",IF('1. Yixian'!L85='2. Nayoung'!L85,1,0))</f>
        <v>1</v>
      </c>
      <c r="K85" s="20">
        <f>IF('1. Yixian'!M85="","",IF('1. Yixian'!M85='2. Nayoung'!M85,1,0))</f>
        <v>1</v>
      </c>
      <c r="L85" s="20">
        <f>IF('1. Yixian'!N85="","",IF('1. Yixian'!N85='2. Nayoung'!N85,1,0))</f>
        <v>1</v>
      </c>
      <c r="M85" s="101">
        <v>1</v>
      </c>
      <c r="N85" s="20">
        <f>IF('1. Yixian'!P85="","",IF('1. Yixian'!P85='2. Nayoung'!P85,1,0))</f>
        <v>1</v>
      </c>
      <c r="O85" s="101">
        <v>1</v>
      </c>
      <c r="P85" s="101">
        <v>1</v>
      </c>
      <c r="Q85" s="20">
        <f>IF('1. Yixian'!S85="","",IF('1. Yixian'!S85='2. Nayoung'!S85,1,0))</f>
        <v>0</v>
      </c>
      <c r="R85" s="20">
        <f>IF('1. Yixian'!T85="","",IF('1. Yixian'!T85='2. Nayoung'!T85,1,0))</f>
        <v>1</v>
      </c>
      <c r="S85" s="20">
        <f>IF(R85="","",IF(OR('2. Nayoung'!U85="", '1. Yixian'!U85 = ""),0,1))</f>
        <v>1</v>
      </c>
      <c r="T85" s="20">
        <f>IF('1. Yixian'!V85="","",IF('1. Yixian'!V85='2. Nayoung'!V85,1,0))</f>
        <v>1</v>
      </c>
      <c r="U85" s="20">
        <f>IF('1. Yixian'!W85="","",IF('1. Yixian'!W85='2. Nayoung'!W85,1,0))</f>
        <v>1</v>
      </c>
      <c r="V85" s="20">
        <f>IF('1. Yixian'!X85="","",IF('1. Yixian'!X85='2. Nayoung'!X85,1,0))</f>
        <v>1</v>
      </c>
      <c r="W85" s="20">
        <f>IF('1. Yixian'!Y85="","",IF('1. Yixian'!Y85='2. Nayoung'!Y85,1,0))</f>
        <v>1</v>
      </c>
      <c r="X85" s="20">
        <f>IF('1. Yixian'!Z85="","",IF('1. Yixian'!Z85='2. Nayoung'!Z85,1,0))</f>
        <v>1</v>
      </c>
      <c r="Y85" s="20">
        <f>IF('1. Yixian'!AA85="","",IF('1. Yixian'!AA85='2. Nayoung'!AA85,1,0))</f>
        <v>1</v>
      </c>
      <c r="Z85" s="20">
        <f>IF('1. Yixian'!AB85="","",IF('1. Yixian'!AB85='2. Nayoung'!AB85,1,0))</f>
        <v>1</v>
      </c>
      <c r="AA85" s="20">
        <f>IF('1. Yixian'!AC85="","",IF('1. Yixian'!AC85='2. Nayoung'!AC85,1,0))</f>
        <v>1</v>
      </c>
      <c r="AB85" s="20">
        <f>IF(OR('2. Nayoung'!AD84="", '1. Yixian'!AD85 = ""),0,1)</f>
        <v>1</v>
      </c>
      <c r="AC85" s="20">
        <f>IF('1. Yixian'!AE85="","",IF('1. Yixian'!AE85='2. Nayoung'!AE85,1,0))</f>
        <v>1</v>
      </c>
      <c r="AD85" s="20">
        <f>IF(OR('2. Nayoung'!AF84="", '1. Yixian'!AF85 = ""),0,1)</f>
        <v>0</v>
      </c>
      <c r="AF85" s="20">
        <f>IF('1. Yixian'!AH85="","",IF('1. Yixian'!AH85='2. Nayoung'!AH85,1,0))</f>
        <v>1</v>
      </c>
      <c r="AG85" s="20">
        <f>IF('1. Yixian'!AI85="","",IF('1. Yixian'!AI85='2. Nayoung'!AI85,1,0))</f>
        <v>1</v>
      </c>
      <c r="AH85" s="20">
        <f>IF('1. Yixian'!AJ85="","",IF('1. Yixian'!AJ85='2. Nayoung'!AJ85,1,0))</f>
        <v>1</v>
      </c>
      <c r="AI85" s="20">
        <f>IF('1. Yixian'!AK85="","",IF('1. Yixian'!AK85='2. Nayoung'!AK85,1,0))</f>
        <v>1</v>
      </c>
      <c r="AJ85" s="20">
        <f>IF('1. Yixian'!AL85="","",IF('1. Yixian'!AL85='2. Nayoung'!AL85,1,0))</f>
        <v>1</v>
      </c>
      <c r="AK85" s="20">
        <f>IF('1. Yixian'!AM85="","",IF('1. Yixian'!AM85='2. Nayoung'!AM85,1,0))</f>
        <v>1</v>
      </c>
      <c r="AL85" s="20" t="str">
        <f>IF('1. Yixian'!AT85="","",IF('1. Yixian'!AT85='2. Nayoung'!AT85,1,0))</f>
        <v/>
      </c>
      <c r="AM85" s="20" t="e">
        <f>IF('1. Yixian'!AU85="","",IF('1. Yixian'!AU85='2. Nayoung'!#REF!,1,0))</f>
        <v>#REF!</v>
      </c>
      <c r="AN85" s="2"/>
    </row>
    <row r="86" spans="1:40" s="20" customFormat="1" ht="17" hidden="1" customHeight="1">
      <c r="A86" s="20" t="str">
        <f>IF('1. Yixian'!A86="","",IF('1. Yixian'!A86='2. Nayoung'!A86,1,0))</f>
        <v/>
      </c>
      <c r="B86" s="20" t="str">
        <f>IF('1. Yixian'!B86="","",IF(RIGHT('1. Yixian'!B86,2)=RIGHT('2. Nayoung'!B86,2),1,0))</f>
        <v/>
      </c>
      <c r="C86" s="20" t="str">
        <f>IF('1. Yixian'!C86="","",IF('1. Yixian'!C86='2. Nayoung'!C86,1,0))</f>
        <v/>
      </c>
      <c r="E86" s="20" t="str">
        <f>IF('1. Yixian'!E86="","",IF('1. Yixian'!E86='2. Nayoung'!E86,1,0))</f>
        <v/>
      </c>
      <c r="F86" s="20" t="str">
        <f>IF('1. Yixian'!F86="","",IF('1. Yixian'!F86='2. Nayoung'!F86,1,0))</f>
        <v/>
      </c>
      <c r="G86" s="20" t="str">
        <f>IF('1. Yixian'!G86="","",IF('1. Yixian'!G86='2. Nayoung'!G86,1,0))</f>
        <v/>
      </c>
      <c r="H86" s="20" t="str">
        <f>IF('1. Yixian'!J86="","",IF(RIGHT('1. Yixian'!J86,3)=RIGHT('2. Nayoung'!J86,3),1,0))</f>
        <v/>
      </c>
      <c r="I86" s="20" t="str">
        <f>IF(H86="","",IF(OR('2. Nayoung'!K86="", '1. Yixian'!K86 = ""),0,1))</f>
        <v/>
      </c>
      <c r="J86" s="20" t="str">
        <f>IF('1. Yixian'!L86="","",IF('1. Yixian'!L86='2. Nayoung'!L86,1,0))</f>
        <v/>
      </c>
      <c r="K86" s="20" t="str">
        <f>IF('1. Yixian'!M86="","",IF('1. Yixian'!M86='2. Nayoung'!M86,1,0))</f>
        <v/>
      </c>
      <c r="L86" s="20" t="str">
        <f>IF('1. Yixian'!N86="","",IF('1. Yixian'!N86='2. Nayoung'!N86,1,0))</f>
        <v/>
      </c>
      <c r="M86" s="20" t="str">
        <f>IF('1. Yixian'!O86="","",IF('1. Yixian'!O86='2. Nayoung'!O86,1,0))</f>
        <v/>
      </c>
      <c r="N86" s="20" t="str">
        <f>IF('1. Yixian'!P86="","",IF('1. Yixian'!P86='2. Nayoung'!P86,1,0))</f>
        <v/>
      </c>
      <c r="O86" s="20" t="str">
        <f>IF('1. Yixian'!Q86="","",IF('1. Yixian'!Q86='2. Nayoung'!Q86,1,0))</f>
        <v/>
      </c>
      <c r="P86" s="20" t="str">
        <f>IF('1. Yixian'!R86="","",IF('1. Yixian'!R86='2. Nayoung'!R86,1,0))</f>
        <v/>
      </c>
      <c r="Q86" s="20" t="str">
        <f>IF('1. Yixian'!S86="","",IF('1. Yixian'!S86='2. Nayoung'!S86,1,0))</f>
        <v/>
      </c>
      <c r="R86" s="20" t="str">
        <f>IF('1. Yixian'!T86="","",IF('1. Yixian'!T86='2. Nayoung'!T86,1,0))</f>
        <v/>
      </c>
      <c r="S86" s="20" t="str">
        <f>IF(R86="","",IF(OR('2. Nayoung'!U86="", '1. Yixian'!U86 = ""),0,1))</f>
        <v/>
      </c>
      <c r="T86" s="20" t="str">
        <f>IF('1. Yixian'!V86="","",IF('1. Yixian'!V86='2. Nayoung'!V86,1,0))</f>
        <v/>
      </c>
      <c r="U86" s="20" t="str">
        <f>IF('1. Yixian'!W86="","",IF('1. Yixian'!W86='2. Nayoung'!W86,1,0))</f>
        <v/>
      </c>
      <c r="V86" s="20" t="str">
        <f>IF('1. Yixian'!X86="","",IF('1. Yixian'!X86='2. Nayoung'!X86,1,0))</f>
        <v/>
      </c>
      <c r="W86" s="20" t="str">
        <f>IF('1. Yixian'!Y86="","",IF('1. Yixian'!Y86='2. Nayoung'!Y86,1,0))</f>
        <v/>
      </c>
      <c r="X86" s="20" t="str">
        <f>IF('1. Yixian'!Z86="","",IF('1. Yixian'!Z86='2. Nayoung'!Z86,1,0))</f>
        <v/>
      </c>
      <c r="Y86" s="20" t="str">
        <f>IF('1. Yixian'!AA86="","",IF('1. Yixian'!AA86='2. Nayoung'!AA86,1,0))</f>
        <v/>
      </c>
      <c r="Z86" s="20" t="str">
        <f>IF('1. Yixian'!AB86="","",IF('1. Yixian'!AB86='2. Nayoung'!AB86,1,0))</f>
        <v/>
      </c>
      <c r="AA86" s="20" t="str">
        <f>IF('1. Yixian'!AC86="","",IF('1. Yixian'!AC86='2. Nayoung'!AC86,1,0))</f>
        <v/>
      </c>
      <c r="AB86" s="20">
        <f>IF(OR('2. Nayoung'!AD85="", '1. Yixian'!AD86 = ""),0,1)</f>
        <v>1</v>
      </c>
      <c r="AC86" s="20">
        <f>IF('1. Yixian'!AE86="","",IF('1. Yixian'!AE86='2. Nayoung'!AE86,1,0))</f>
        <v>1</v>
      </c>
      <c r="AD86" s="20">
        <f>IF(OR('2. Nayoung'!AF85="", '1. Yixian'!AF86 = ""),0,1)</f>
        <v>1</v>
      </c>
      <c r="AF86" s="20">
        <f>IF('1. Yixian'!AH86="","",IF('1. Yixian'!AH86='2. Nayoung'!AH86,1,0))</f>
        <v>1</v>
      </c>
      <c r="AG86" s="20">
        <f>IF('1. Yixian'!AI86="","",IF('1. Yixian'!AI86='2. Nayoung'!AI86,1,0))</f>
        <v>1</v>
      </c>
      <c r="AH86" s="20">
        <f>IF('1. Yixian'!AJ86="","",IF('1. Yixian'!AJ86='2. Nayoung'!AJ86,1,0))</f>
        <v>1</v>
      </c>
      <c r="AI86" s="20">
        <f>IF('1. Yixian'!AK86="","",IF('1. Yixian'!AK86='2. Nayoung'!AK86,1,0))</f>
        <v>1</v>
      </c>
      <c r="AJ86" s="20">
        <f>IF('1. Yixian'!AL86="","",IF('1. Yixian'!AL86='2. Nayoung'!AL86,1,0))</f>
        <v>1</v>
      </c>
      <c r="AK86" s="20">
        <f>IF('1. Yixian'!AM86="","",IF('1. Yixian'!AM86='2. Nayoung'!AM86,1,0))</f>
        <v>1</v>
      </c>
      <c r="AL86" s="20" t="str">
        <f>IF('1. Yixian'!AT86="","",IF('1. Yixian'!AT86='2. Nayoung'!AT86,1,0))</f>
        <v/>
      </c>
      <c r="AM86" s="20" t="e">
        <f>IF('1. Yixian'!AU86="","",IF('1. Yixian'!AU86='2. Nayoung'!#REF!,1,0))</f>
        <v>#REF!</v>
      </c>
      <c r="AN86" s="2"/>
    </row>
    <row r="87" spans="1:40" s="20" customFormat="1" ht="17" hidden="1" customHeight="1">
      <c r="A87" s="20" t="str">
        <f>IF('1. Yixian'!A87="","",IF('1. Yixian'!A87='2. Nayoung'!A87,1,0))</f>
        <v/>
      </c>
      <c r="B87" s="20" t="str">
        <f>IF('1. Yixian'!B87="","",IF(RIGHT('1. Yixian'!B87,2)=RIGHT('2. Nayoung'!B87,2),1,0))</f>
        <v/>
      </c>
      <c r="C87" s="20" t="str">
        <f>IF('1. Yixian'!C87="","",IF('1. Yixian'!C87='2. Nayoung'!C87,1,0))</f>
        <v/>
      </c>
      <c r="E87" s="20" t="str">
        <f>IF('1. Yixian'!E87="","",IF('1. Yixian'!E87='2. Nayoung'!E87,1,0))</f>
        <v/>
      </c>
      <c r="F87" s="20" t="str">
        <f>IF('1. Yixian'!F87="","",IF('1. Yixian'!F87='2. Nayoung'!F87,1,0))</f>
        <v/>
      </c>
      <c r="G87" s="20" t="str">
        <f>IF('1. Yixian'!G87="","",IF('1. Yixian'!G87='2. Nayoung'!G87,1,0))</f>
        <v/>
      </c>
      <c r="H87" s="20">
        <f>IF('1. Yixian'!J87="","",IF(RIGHT('1. Yixian'!J87,3)=RIGHT('2. Nayoung'!J87,3),1,0))</f>
        <v>0</v>
      </c>
      <c r="I87" s="20">
        <f>IF(H87="","",IF(OR('2. Nayoung'!K87="", '1. Yixian'!K87 = ""),0,1))</f>
        <v>1</v>
      </c>
      <c r="J87" s="20">
        <f>IF('1. Yixian'!L87="","",IF('1. Yixian'!L87='2. Nayoung'!L87,1,0))</f>
        <v>1</v>
      </c>
      <c r="K87" s="20">
        <f>IF('1. Yixian'!M87="","",IF('1. Yixian'!M87='2. Nayoung'!M87,1,0))</f>
        <v>1</v>
      </c>
      <c r="L87" s="20">
        <f>IF('1. Yixian'!N87="","",IF('1. Yixian'!N87='2. Nayoung'!N87,1,0))</f>
        <v>1</v>
      </c>
      <c r="M87" s="101">
        <v>1</v>
      </c>
      <c r="N87" s="20">
        <f>IF('1. Yixian'!P87="","",IF('1. Yixian'!P87='2. Nayoung'!P87,1,0))</f>
        <v>1</v>
      </c>
      <c r="O87" s="101">
        <v>1</v>
      </c>
      <c r="P87" s="101">
        <v>1</v>
      </c>
      <c r="Q87" s="101">
        <v>1</v>
      </c>
      <c r="R87" s="20">
        <f>IF('1. Yixian'!T87="","",IF('1. Yixian'!T87='2. Nayoung'!T87,1,0))</f>
        <v>1</v>
      </c>
      <c r="S87" s="20">
        <f>IF(R87="","",IF(OR('2. Nayoung'!U87="", '1. Yixian'!U87 = ""),0,1))</f>
        <v>1</v>
      </c>
      <c r="T87" s="20">
        <f>IF('1. Yixian'!V87="","",IF('1. Yixian'!V87='2. Nayoung'!V87,1,0))</f>
        <v>0</v>
      </c>
      <c r="U87" s="20">
        <f>IF('1. Yixian'!W87="","",IF('1. Yixian'!W87='2. Nayoung'!W87,1,0))</f>
        <v>1</v>
      </c>
      <c r="V87" s="20">
        <f>IF('1. Yixian'!X87="","",IF('1. Yixian'!X87='2. Nayoung'!X87,1,0))</f>
        <v>1</v>
      </c>
      <c r="W87" s="20">
        <f>IF('1. Yixian'!Y87="","",IF('1. Yixian'!Y87='2. Nayoung'!Y87,1,0))</f>
        <v>1</v>
      </c>
      <c r="X87" s="20">
        <f>IF('1. Yixian'!Z87="","",IF('1. Yixian'!Z87='2. Nayoung'!Z87,1,0))</f>
        <v>1</v>
      </c>
      <c r="Y87" s="20">
        <f>IF('1. Yixian'!AA87="","",IF('1. Yixian'!AA87='2. Nayoung'!AA87,1,0))</f>
        <v>1</v>
      </c>
      <c r="Z87" s="20">
        <f>IF('1. Yixian'!AB87="","",IF('1. Yixian'!AB87='2. Nayoung'!AB87,1,0))</f>
        <v>1</v>
      </c>
      <c r="AA87" s="20">
        <f>IF('1. Yixian'!AC87="","",IF('1. Yixian'!AC87='2. Nayoung'!AC87,1,0))</f>
        <v>1</v>
      </c>
      <c r="AB87" s="20">
        <f>IF(OR('2. Nayoung'!AD86="", '1. Yixian'!AD87 = ""),0,1)</f>
        <v>1</v>
      </c>
      <c r="AC87" s="20">
        <f>IF('1. Yixian'!AE87="","",IF('1. Yixian'!AE87='2. Nayoung'!AE87,1,0))</f>
        <v>1</v>
      </c>
      <c r="AD87" s="20">
        <f>IF(OR('2. Nayoung'!AF86="", '1. Yixian'!AF87 = ""),0,1)</f>
        <v>1</v>
      </c>
      <c r="AF87" s="20">
        <f>IF('1. Yixian'!AH87="","",IF('1. Yixian'!AH87='2. Nayoung'!AH87,1,0))</f>
        <v>1</v>
      </c>
      <c r="AG87" s="20">
        <f>IF('1. Yixian'!AI87="","",IF('1. Yixian'!AI87='2. Nayoung'!AI87,1,0))</f>
        <v>1</v>
      </c>
      <c r="AH87" s="20">
        <f>IF('1. Yixian'!AJ87="","",IF('1. Yixian'!AJ87='2. Nayoung'!AJ87,1,0))</f>
        <v>1</v>
      </c>
      <c r="AI87" s="20">
        <f>IF('1. Yixian'!AK87="","",IF('1. Yixian'!AK87='2. Nayoung'!AK87,1,0))</f>
        <v>1</v>
      </c>
      <c r="AJ87" s="20">
        <f>IF('1. Yixian'!AL87="","",IF('1. Yixian'!AL87='2. Nayoung'!AL87,1,0))</f>
        <v>1</v>
      </c>
      <c r="AK87" s="20">
        <f>IF('1. Yixian'!AM87="","",IF('1. Yixian'!AM87='2. Nayoung'!AM87,1,0))</f>
        <v>1</v>
      </c>
      <c r="AL87" s="20" t="str">
        <f>IF('1. Yixian'!AT87="","",IF('1. Yixian'!AT87='2. Nayoung'!AT87,1,0))</f>
        <v/>
      </c>
      <c r="AM87" s="20" t="e">
        <f>IF('1. Yixian'!AU87="","",IF('1. Yixian'!AU87='2. Nayoung'!#REF!,1,0))</f>
        <v>#REF!</v>
      </c>
      <c r="AN87" s="2"/>
    </row>
    <row r="88" spans="1:40" s="20" customFormat="1" ht="17" hidden="1" customHeight="1">
      <c r="A88" s="20" t="str">
        <f>IF('1. Yixian'!A88="","",IF('1. Yixian'!A88='2. Nayoung'!A88,1,0))</f>
        <v/>
      </c>
      <c r="B88" s="20" t="str">
        <f>IF('1. Yixian'!B88="","",IF(RIGHT('1. Yixian'!B88,2)=RIGHT('2. Nayoung'!B88,2),1,0))</f>
        <v/>
      </c>
      <c r="C88" s="20" t="str">
        <f>IF('1. Yixian'!C88="","",IF('1. Yixian'!C88='2. Nayoung'!C88,1,0))</f>
        <v/>
      </c>
      <c r="E88" s="20" t="str">
        <f>IF('1. Yixian'!E88="","",IF('1. Yixian'!E88='2. Nayoung'!E88,1,0))</f>
        <v/>
      </c>
      <c r="F88" s="20" t="str">
        <f>IF('1. Yixian'!F88="","",IF('1. Yixian'!F88='2. Nayoung'!F88,1,0))</f>
        <v/>
      </c>
      <c r="G88" s="20" t="str">
        <f>IF('1. Yixian'!G88="","",IF('1. Yixian'!G88='2. Nayoung'!G88,1,0))</f>
        <v/>
      </c>
      <c r="H88" s="20" t="str">
        <f>IF('1. Yixian'!J88="","",IF(RIGHT('1. Yixian'!J88,3)=RIGHT('2. Nayoung'!J88,3),1,0))</f>
        <v/>
      </c>
      <c r="I88" s="20" t="str">
        <f>IF(H88="","",IF(OR('2. Nayoung'!K88="", '1. Yixian'!K88 = ""),0,1))</f>
        <v/>
      </c>
      <c r="J88" s="20" t="str">
        <f>IF('1. Yixian'!L88="","",IF('1. Yixian'!L88='2. Nayoung'!L88,1,0))</f>
        <v/>
      </c>
      <c r="K88" s="20" t="str">
        <f>IF('1. Yixian'!M88="","",IF('1. Yixian'!M88='2. Nayoung'!M88,1,0))</f>
        <v/>
      </c>
      <c r="L88" s="20" t="str">
        <f>IF('1. Yixian'!N88="","",IF('1. Yixian'!N88='2. Nayoung'!N88,1,0))</f>
        <v/>
      </c>
      <c r="M88" s="20" t="str">
        <f>IF('1. Yixian'!O88="","",IF('1. Yixian'!O88='2. Nayoung'!O88,1,0))</f>
        <v/>
      </c>
      <c r="N88" s="20" t="str">
        <f>IF('1. Yixian'!P88="","",IF('1. Yixian'!P88='2. Nayoung'!P88,1,0))</f>
        <v/>
      </c>
      <c r="O88" s="20" t="str">
        <f>IF('1. Yixian'!Q88="","",IF('1. Yixian'!Q88='2. Nayoung'!Q88,1,0))</f>
        <v/>
      </c>
      <c r="P88" s="20" t="str">
        <f>IF('1. Yixian'!R88="","",IF('1. Yixian'!R88='2. Nayoung'!R88,1,0))</f>
        <v/>
      </c>
      <c r="Q88" s="20" t="str">
        <f>IF('1. Yixian'!S88="","",IF('1. Yixian'!S88='2. Nayoung'!S88,1,0))</f>
        <v/>
      </c>
      <c r="R88" s="20" t="str">
        <f>IF('1. Yixian'!T88="","",IF('1. Yixian'!T88='2. Nayoung'!T88,1,0))</f>
        <v/>
      </c>
      <c r="S88" s="20" t="str">
        <f>IF(R88="","",IF(OR('2. Nayoung'!U88="", '1. Yixian'!U88 = ""),0,1))</f>
        <v/>
      </c>
      <c r="T88" s="20" t="str">
        <f>IF('1. Yixian'!V88="","",IF('1. Yixian'!V88='2. Nayoung'!V88,1,0))</f>
        <v/>
      </c>
      <c r="U88" s="20" t="str">
        <f>IF('1. Yixian'!W88="","",IF('1. Yixian'!W88='2. Nayoung'!W88,1,0))</f>
        <v/>
      </c>
      <c r="V88" s="20" t="str">
        <f>IF('1. Yixian'!X88="","",IF('1. Yixian'!X88='2. Nayoung'!X88,1,0))</f>
        <v/>
      </c>
      <c r="W88" s="20" t="str">
        <f>IF('1. Yixian'!Y88="","",IF('1. Yixian'!Y88='2. Nayoung'!Y88,1,0))</f>
        <v/>
      </c>
      <c r="X88" s="20" t="str">
        <f>IF('1. Yixian'!Z88="","",IF('1. Yixian'!Z88='2. Nayoung'!Z88,1,0))</f>
        <v/>
      </c>
      <c r="Y88" s="20" t="str">
        <f>IF('1. Yixian'!AA88="","",IF('1. Yixian'!AA88='2. Nayoung'!AA88,1,0))</f>
        <v/>
      </c>
      <c r="Z88" s="20" t="str">
        <f>IF('1. Yixian'!AB88="","",IF('1. Yixian'!AB88='2. Nayoung'!AB88,1,0))</f>
        <v/>
      </c>
      <c r="AA88" s="20" t="str">
        <f>IF('1. Yixian'!AC88="","",IF('1. Yixian'!AC88='2. Nayoung'!AC88,1,0))</f>
        <v/>
      </c>
      <c r="AB88" s="20">
        <f>IF(OR('2. Nayoung'!AD87="", '1. Yixian'!AD88 = ""),0,1)</f>
        <v>1</v>
      </c>
      <c r="AC88" s="20">
        <f>IF('1. Yixian'!AE88="","",IF('1. Yixian'!AE88='2. Nayoung'!AE88,1,0))</f>
        <v>1</v>
      </c>
      <c r="AD88" s="20">
        <f>IF(OR('2. Nayoung'!AF87="", '1. Yixian'!AF88 = ""),0,1)</f>
        <v>0</v>
      </c>
      <c r="AF88" s="20">
        <f>IF('1. Yixian'!AH88="","",IF('1. Yixian'!AH88='2. Nayoung'!AH88,1,0))</f>
        <v>1</v>
      </c>
      <c r="AG88" s="20">
        <f>IF('1. Yixian'!AI88="","",IF('1. Yixian'!AI88='2. Nayoung'!AI88,1,0))</f>
        <v>1</v>
      </c>
      <c r="AH88" s="20">
        <f>IF('1. Yixian'!AJ88="","",IF('1. Yixian'!AJ88='2. Nayoung'!AJ88,1,0))</f>
        <v>1</v>
      </c>
      <c r="AI88" s="20">
        <f>IF('1. Yixian'!AK88="","",IF('1. Yixian'!AK88='2. Nayoung'!AK88,1,0))</f>
        <v>1</v>
      </c>
      <c r="AJ88" s="20">
        <f>IF('1. Yixian'!AL88="","",IF('1. Yixian'!AL88='2. Nayoung'!AL88,1,0))</f>
        <v>1</v>
      </c>
      <c r="AK88" s="20">
        <f>IF('1. Yixian'!AM88="","",IF('1. Yixian'!AM88='2. Nayoung'!AM88,1,0))</f>
        <v>1</v>
      </c>
      <c r="AL88" s="20" t="str">
        <f>IF('1. Yixian'!AT88="","",IF('1. Yixian'!AT88='2. Nayoung'!AT88,1,0))</f>
        <v/>
      </c>
      <c r="AM88" s="20" t="e">
        <f>IF('1. Yixian'!AU88="","",IF('1. Yixian'!AU88='2. Nayoung'!#REF!,1,0))</f>
        <v>#REF!</v>
      </c>
      <c r="AN88" s="2"/>
    </row>
    <row r="89" spans="1:40" s="20" customFormat="1" ht="17" hidden="1" customHeight="1">
      <c r="A89" s="20" t="str">
        <f>IF('1. Yixian'!A89="","",IF('1. Yixian'!A89='2. Nayoung'!A89,1,0))</f>
        <v/>
      </c>
      <c r="B89" s="20" t="str">
        <f>IF('1. Yixian'!B89="","",IF(RIGHT('1. Yixian'!B89,2)=RIGHT('2. Nayoung'!B89,2),1,0))</f>
        <v/>
      </c>
      <c r="C89" s="20" t="str">
        <f>IF('1. Yixian'!C89="","",IF('1. Yixian'!C89='2. Nayoung'!C89,1,0))</f>
        <v/>
      </c>
      <c r="E89" s="20" t="str">
        <f>IF('1. Yixian'!E89="","",IF('1. Yixian'!E89='2. Nayoung'!E89,1,0))</f>
        <v/>
      </c>
      <c r="F89" s="20" t="str">
        <f>IF('1. Yixian'!F89="","",IF('1. Yixian'!F89='2. Nayoung'!F89,1,0))</f>
        <v/>
      </c>
      <c r="G89" s="20" t="str">
        <f>IF('1. Yixian'!G89="","",IF('1. Yixian'!G89='2. Nayoung'!G89,1,0))</f>
        <v/>
      </c>
      <c r="H89" s="20">
        <f>IF('1. Yixian'!J89="","",IF(RIGHT('1. Yixian'!J89,3)=RIGHT('2. Nayoung'!J89,3),1,0))</f>
        <v>0</v>
      </c>
      <c r="I89" s="20">
        <f>IF(H89="","",IF(OR('2. Nayoung'!K89="", '1. Yixian'!K89 = ""),0,1))</f>
        <v>1</v>
      </c>
      <c r="J89" s="20">
        <f>IF('1. Yixian'!L89="","",IF('1. Yixian'!L89='2. Nayoung'!L89,1,0))</f>
        <v>1</v>
      </c>
      <c r="K89" s="20">
        <f>IF('1. Yixian'!M89="","",IF('1. Yixian'!M89='2. Nayoung'!M89,1,0))</f>
        <v>1</v>
      </c>
      <c r="L89" s="20">
        <f>IF('1. Yixian'!N89="","",IF('1. Yixian'!N89='2. Nayoung'!N89,1,0))</f>
        <v>1</v>
      </c>
      <c r="M89" s="101">
        <v>1</v>
      </c>
      <c r="N89" s="20">
        <f>IF('1. Yixian'!P89="","",IF('1. Yixian'!P89='2. Nayoung'!P89,1,0))</f>
        <v>1</v>
      </c>
      <c r="O89" s="20">
        <f>IF('1. Yixian'!Q89="","",IF('1. Yixian'!Q89='2. Nayoung'!Q89,1,0))</f>
        <v>1</v>
      </c>
      <c r="P89" s="101">
        <v>1</v>
      </c>
      <c r="Q89" s="101">
        <v>1</v>
      </c>
      <c r="R89" s="20">
        <f>IF('1. Yixian'!T89="","",IF('1. Yixian'!T89='2. Nayoung'!T89,1,0))</f>
        <v>1</v>
      </c>
      <c r="S89" s="20">
        <f>IF(R89="","",IF(OR('2. Nayoung'!U89="", '1. Yixian'!U89 = ""),0,1))</f>
        <v>1</v>
      </c>
      <c r="T89" s="20">
        <f>IF('1. Yixian'!V89="","",IF('1. Yixian'!V89='2. Nayoung'!V89,1,0))</f>
        <v>1</v>
      </c>
      <c r="U89" s="20">
        <f>IF('1. Yixian'!W89="","",IF('1. Yixian'!W89='2. Nayoung'!W89,1,0))</f>
        <v>1</v>
      </c>
      <c r="V89" s="20">
        <f>IF('1. Yixian'!X89="","",IF('1. Yixian'!X89='2. Nayoung'!X89,1,0))</f>
        <v>1</v>
      </c>
      <c r="W89" s="20">
        <f>IF('1. Yixian'!Y89="","",IF('1. Yixian'!Y89='2. Nayoung'!Y89,1,0))</f>
        <v>1</v>
      </c>
      <c r="X89" s="20">
        <f>IF('1. Yixian'!Z89="","",IF('1. Yixian'!Z89='2. Nayoung'!Z89,1,0))</f>
        <v>1</v>
      </c>
      <c r="Y89" s="20">
        <f>IF('1. Yixian'!AA89="","",IF('1. Yixian'!AA89='2. Nayoung'!AA89,1,0))</f>
        <v>1</v>
      </c>
      <c r="Z89" s="20">
        <f>IF('1. Yixian'!AB89="","",IF('1. Yixian'!AB89='2. Nayoung'!AB89,1,0))</f>
        <v>1</v>
      </c>
      <c r="AA89" s="20">
        <f>IF('1. Yixian'!AC89="","",IF('1. Yixian'!AC89='2. Nayoung'!AC89,1,0))</f>
        <v>1</v>
      </c>
      <c r="AB89" s="20">
        <f>IF(OR('2. Nayoung'!AD88="", '1. Yixian'!AD89 = ""),0,1)</f>
        <v>1</v>
      </c>
      <c r="AC89" s="20">
        <f>IF('1. Yixian'!AE89="","",IF('1. Yixian'!AE89='2. Nayoung'!AE89,1,0))</f>
        <v>1</v>
      </c>
      <c r="AD89" s="20">
        <f>IF(OR('2. Nayoung'!AF88="", '1. Yixian'!AF89 = ""),0,1)</f>
        <v>0</v>
      </c>
      <c r="AF89" s="20">
        <f>IF('1. Yixian'!AH89="","",IF('1. Yixian'!AH89='2. Nayoung'!AH89,1,0))</f>
        <v>1</v>
      </c>
      <c r="AG89" s="20">
        <f>IF('1. Yixian'!AI89="","",IF('1. Yixian'!AI89='2. Nayoung'!AI89,1,0))</f>
        <v>1</v>
      </c>
      <c r="AH89" s="20">
        <f>IF('1. Yixian'!AJ89="","",IF('1. Yixian'!AJ89='2. Nayoung'!AJ89,1,0))</f>
        <v>1</v>
      </c>
      <c r="AI89" s="20">
        <f>IF('1. Yixian'!AK89="","",IF('1. Yixian'!AK89='2. Nayoung'!AK89,1,0))</f>
        <v>1</v>
      </c>
      <c r="AJ89" s="20">
        <f>IF('1. Yixian'!AL89="","",IF('1. Yixian'!AL89='2. Nayoung'!AL89,1,0))</f>
        <v>1</v>
      </c>
      <c r="AK89" s="20">
        <f>IF('1. Yixian'!AM89="","",IF('1. Yixian'!AM89='2. Nayoung'!AM89,1,0))</f>
        <v>1</v>
      </c>
      <c r="AL89" s="20" t="str">
        <f>IF('1. Yixian'!AT89="","",IF('1. Yixian'!AT89='2. Nayoung'!AT89,1,0))</f>
        <v/>
      </c>
      <c r="AM89" s="20" t="e">
        <f>IF('1. Yixian'!AU89="","",IF('1. Yixian'!AU89='2. Nayoung'!#REF!,1,0))</f>
        <v>#REF!</v>
      </c>
      <c r="AN89" s="2"/>
    </row>
    <row r="90" spans="1:40" s="20" customFormat="1" ht="17" hidden="1" customHeight="1">
      <c r="A90" s="20" t="str">
        <f>IF('1. Yixian'!A90="","",IF('1. Yixian'!A90='2. Nayoung'!A90,1,0))</f>
        <v/>
      </c>
      <c r="B90" s="20" t="str">
        <f>IF('1. Yixian'!B90="","",IF(RIGHT('1. Yixian'!B90,2)=RIGHT('2. Nayoung'!B90,2),1,0))</f>
        <v/>
      </c>
      <c r="C90" s="20" t="str">
        <f>IF('1. Yixian'!C90="","",IF('1. Yixian'!C90='2. Nayoung'!C90,1,0))</f>
        <v/>
      </c>
      <c r="E90" s="20" t="str">
        <f>IF('1. Yixian'!E90="","",IF('1. Yixian'!E90='2. Nayoung'!E90,1,0))</f>
        <v/>
      </c>
      <c r="F90" s="20" t="str">
        <f>IF('1. Yixian'!F90="","",IF('1. Yixian'!F90='2. Nayoung'!F90,1,0))</f>
        <v/>
      </c>
      <c r="G90" s="20" t="str">
        <f>IF('1. Yixian'!G90="","",IF('1. Yixian'!G90='2. Nayoung'!G90,1,0))</f>
        <v/>
      </c>
      <c r="H90" s="20" t="str">
        <f>IF('1. Yixian'!J90="","",IF(RIGHT('1. Yixian'!J90,3)=RIGHT('2. Nayoung'!J90,3),1,0))</f>
        <v/>
      </c>
      <c r="I90" s="20" t="str">
        <f>IF(H90="","",IF(OR('2. Nayoung'!K90="", '1. Yixian'!K90 = ""),0,1))</f>
        <v/>
      </c>
      <c r="J90" s="20" t="str">
        <f>IF('1. Yixian'!L90="","",IF('1. Yixian'!L90='2. Nayoung'!L90,1,0))</f>
        <v/>
      </c>
      <c r="K90" s="20" t="str">
        <f>IF('1. Yixian'!M90="","",IF('1. Yixian'!M90='2. Nayoung'!M90,1,0))</f>
        <v/>
      </c>
      <c r="L90" s="20" t="str">
        <f>IF('1. Yixian'!N90="","",IF('1. Yixian'!N90='2. Nayoung'!N90,1,0))</f>
        <v/>
      </c>
      <c r="M90" s="20" t="str">
        <f>IF('1. Yixian'!O90="","",IF('1. Yixian'!O90='2. Nayoung'!O90,1,0))</f>
        <v/>
      </c>
      <c r="N90" s="20" t="str">
        <f>IF('1. Yixian'!P90="","",IF('1. Yixian'!P90='2. Nayoung'!P90,1,0))</f>
        <v/>
      </c>
      <c r="O90" s="20" t="str">
        <f>IF('1. Yixian'!Q90="","",IF('1. Yixian'!Q90='2. Nayoung'!Q90,1,0))</f>
        <v/>
      </c>
      <c r="P90" s="20" t="str">
        <f>IF('1. Yixian'!R90="","",IF('1. Yixian'!R90='2. Nayoung'!R90,1,0))</f>
        <v/>
      </c>
      <c r="Q90" s="20" t="str">
        <f>IF('1. Yixian'!S90="","",IF('1. Yixian'!S90='2. Nayoung'!S90,1,0))</f>
        <v/>
      </c>
      <c r="R90" s="20" t="str">
        <f>IF('1. Yixian'!T90="","",IF('1. Yixian'!T90='2. Nayoung'!T90,1,0))</f>
        <v/>
      </c>
      <c r="S90" s="20" t="str">
        <f>IF(R90="","",IF(OR('2. Nayoung'!U90="", '1. Yixian'!U90 = ""),0,1))</f>
        <v/>
      </c>
      <c r="T90" s="20" t="str">
        <f>IF('1. Yixian'!V90="","",IF('1. Yixian'!V90='2. Nayoung'!V90,1,0))</f>
        <v/>
      </c>
      <c r="U90" s="20" t="str">
        <f>IF('1. Yixian'!W90="","",IF('1. Yixian'!W90='2. Nayoung'!W90,1,0))</f>
        <v/>
      </c>
      <c r="V90" s="20" t="str">
        <f>IF('1. Yixian'!X90="","",IF('1. Yixian'!X90='2. Nayoung'!X90,1,0))</f>
        <v/>
      </c>
      <c r="W90" s="20" t="str">
        <f>IF('1. Yixian'!Y90="","",IF('1. Yixian'!Y90='2. Nayoung'!Y90,1,0))</f>
        <v/>
      </c>
      <c r="X90" s="20" t="str">
        <f>IF('1. Yixian'!Z90="","",IF('1. Yixian'!Z90='2. Nayoung'!Z90,1,0))</f>
        <v/>
      </c>
      <c r="Y90" s="20" t="str">
        <f>IF('1. Yixian'!AA90="","",IF('1. Yixian'!AA90='2. Nayoung'!AA90,1,0))</f>
        <v/>
      </c>
      <c r="Z90" s="20" t="str">
        <f>IF('1. Yixian'!AB90="","",IF('1. Yixian'!AB90='2. Nayoung'!AB90,1,0))</f>
        <v/>
      </c>
      <c r="AA90" s="20" t="str">
        <f>IF('1. Yixian'!AC90="","",IF('1. Yixian'!AC90='2. Nayoung'!AC90,1,0))</f>
        <v/>
      </c>
      <c r="AB90" s="20">
        <f>IF(OR('2. Nayoung'!AD89="", '1. Yixian'!AD90 = ""),0,1)</f>
        <v>1</v>
      </c>
      <c r="AC90" s="20">
        <f>IF('1. Yixian'!AE90="","",IF('1. Yixian'!AE90='2. Nayoung'!AE90,1,0))</f>
        <v>1</v>
      </c>
      <c r="AD90" s="20">
        <f>IF(OR('2. Nayoung'!AF89="", '1. Yixian'!AF90 = ""),0,1)</f>
        <v>0</v>
      </c>
      <c r="AF90" s="20">
        <f>IF('1. Yixian'!AH90="","",IF('1. Yixian'!AH90='2. Nayoung'!AH90,1,0))</f>
        <v>1</v>
      </c>
      <c r="AG90" s="20">
        <f>IF('1. Yixian'!AI90="","",IF('1. Yixian'!AI90='2. Nayoung'!AI90,1,0))</f>
        <v>1</v>
      </c>
      <c r="AH90" s="20">
        <f>IF('1. Yixian'!AJ90="","",IF('1. Yixian'!AJ90='2. Nayoung'!AJ90,1,0))</f>
        <v>1</v>
      </c>
      <c r="AI90" s="20">
        <f>IF('1. Yixian'!AK90="","",IF('1. Yixian'!AK90='2. Nayoung'!AK90,1,0))</f>
        <v>1</v>
      </c>
      <c r="AJ90" s="20">
        <f>IF('1. Yixian'!AL90="","",IF('1. Yixian'!AL90='2. Nayoung'!AL90,1,0))</f>
        <v>1</v>
      </c>
      <c r="AK90" s="20">
        <f>IF('1. Yixian'!AM90="","",IF('1. Yixian'!AM90='2. Nayoung'!AM90,1,0))</f>
        <v>1</v>
      </c>
      <c r="AL90" s="20" t="str">
        <f>IF('1. Yixian'!AT90="","",IF('1. Yixian'!AT90='2. Nayoung'!AT90,1,0))</f>
        <v/>
      </c>
      <c r="AM90" s="20" t="e">
        <f>IF('1. Yixian'!AU90="","",IF('1. Yixian'!AU90='2. Nayoung'!#REF!,1,0))</f>
        <v>#REF!</v>
      </c>
      <c r="AN90" s="2"/>
    </row>
    <row r="91" spans="1:40" s="20" customFormat="1" ht="17" hidden="1" customHeight="1">
      <c r="A91" s="20">
        <f>IF('1. Yixian'!A91="","",IF('1. Yixian'!A91='2. Nayoung'!A91,1,0))</f>
        <v>1</v>
      </c>
      <c r="B91" s="20">
        <f>IF('1. Yixian'!B91="","",IF(RIGHT('1. Yixian'!B91,2)=RIGHT('2. Nayoung'!B91,2),1,0))</f>
        <v>1</v>
      </c>
      <c r="C91" s="20">
        <f>IF('1. Yixian'!C91="","",IF('1. Yixian'!C91='2. Nayoung'!C91,1,0))</f>
        <v>1</v>
      </c>
      <c r="E91" s="20">
        <f>IF('1. Yixian'!E91="","",IF('1. Yixian'!E91='2. Nayoung'!E91,1,0))</f>
        <v>1</v>
      </c>
      <c r="F91" s="20">
        <f>IF('1. Yixian'!F91="","",IF('1. Yixian'!F91='2. Nayoung'!F91,1,0))</f>
        <v>1</v>
      </c>
      <c r="G91" s="20">
        <f>IF('1. Yixian'!G91="","",IF('1. Yixian'!G91='2. Nayoung'!G91,1,0))</f>
        <v>1</v>
      </c>
      <c r="H91" s="20">
        <f>IF('1. Yixian'!J91="","",IF(RIGHT('1. Yixian'!J91,3)=RIGHT('2. Nayoung'!J91,3),1,0))</f>
        <v>0</v>
      </c>
      <c r="I91" s="20">
        <f>IF(H91="","",IF(OR('2. Nayoung'!K91="", '1. Yixian'!K91 = ""),0,1))</f>
        <v>1</v>
      </c>
      <c r="J91" s="20">
        <f>IF('1. Yixian'!L91="","",IF('1. Yixian'!L91='2. Nayoung'!L91,1,0))</f>
        <v>1</v>
      </c>
      <c r="K91" s="20">
        <f>IF('1. Yixian'!M91="","",IF('1. Yixian'!M91='2. Nayoung'!M91,1,0))</f>
        <v>1</v>
      </c>
      <c r="L91" s="20">
        <f>IF('1. Yixian'!N91="","",IF('1. Yixian'!N91='2. Nayoung'!N91,1,0))</f>
        <v>1</v>
      </c>
      <c r="M91" s="20">
        <f>IF('1. Yixian'!O91="","",IF('1. Yixian'!O91='2. Nayoung'!O91,1,0))</f>
        <v>1</v>
      </c>
      <c r="N91" s="20">
        <f>IF('1. Yixian'!P91="","",IF('1. Yixian'!P91='2. Nayoung'!P91,1,0))</f>
        <v>1</v>
      </c>
      <c r="O91" s="20">
        <f>IF('1. Yixian'!Q91="","",IF('1. Yixian'!Q91='2. Nayoung'!Q91,1,0))</f>
        <v>1</v>
      </c>
      <c r="P91" s="20">
        <f>IF('1. Yixian'!R91="","",IF('1. Yixian'!R91='2. Nayoung'!R91,1,0))</f>
        <v>1</v>
      </c>
      <c r="Q91" s="20">
        <f>IF('1. Yixian'!S91="","",IF('1. Yixian'!S91='2. Nayoung'!S91,1,0))</f>
        <v>1</v>
      </c>
      <c r="R91" s="20">
        <f>IF('1. Yixian'!T91="","",IF('1. Yixian'!T91='2. Nayoung'!T91,1,0))</f>
        <v>1</v>
      </c>
      <c r="S91" s="20">
        <f>IF(R91="","",IF(OR('2. Nayoung'!U91="", '1. Yixian'!U91 = ""),0,1))</f>
        <v>1</v>
      </c>
      <c r="T91" s="20">
        <f>IF('1. Yixian'!V91="","",IF('1. Yixian'!V91='2. Nayoung'!V91,1,0))</f>
        <v>1</v>
      </c>
      <c r="U91" s="20">
        <f>IF('1. Yixian'!W91="","",IF('1. Yixian'!W91='2. Nayoung'!W91,1,0))</f>
        <v>1</v>
      </c>
      <c r="V91" s="20">
        <f>IF('1. Yixian'!X91="","",IF('1. Yixian'!X91='2. Nayoung'!X91,1,0))</f>
        <v>1</v>
      </c>
      <c r="W91" s="20">
        <f>IF('1. Yixian'!Y91="","",IF('1. Yixian'!Y91='2. Nayoung'!Y91,1,0))</f>
        <v>1</v>
      </c>
      <c r="X91" s="20">
        <f>IF('1. Yixian'!Z91="","",IF('1. Yixian'!Z91='2. Nayoung'!Z91,1,0))</f>
        <v>1</v>
      </c>
      <c r="Y91" s="20">
        <f>IF('1. Yixian'!AA91="","",IF('1. Yixian'!AA91='2. Nayoung'!AA91,1,0))</f>
        <v>1</v>
      </c>
      <c r="Z91" s="20">
        <f>IF('1. Yixian'!AB91="","",IF('1. Yixian'!AB91='2. Nayoung'!AB91,1,0))</f>
        <v>1</v>
      </c>
      <c r="AA91" s="20">
        <f>IF('1. Yixian'!AC91="","",IF('1. Yixian'!AC91='2. Nayoung'!AC91,1,0))</f>
        <v>1</v>
      </c>
      <c r="AB91" s="20">
        <f>IF(OR('2. Nayoung'!AD90="", '1. Yixian'!AD91 = ""),0,1)</f>
        <v>1</v>
      </c>
      <c r="AC91" s="20">
        <f>IF('1. Yixian'!AE91="","",IF('1. Yixian'!AE91='2. Nayoung'!AE91,1,0))</f>
        <v>1</v>
      </c>
      <c r="AD91" s="20">
        <f>IF(OR('2. Nayoung'!AF90="", '1. Yixian'!AF91 = ""),0,1)</f>
        <v>0</v>
      </c>
      <c r="AF91" s="20">
        <f>IF('1. Yixian'!AH91="","",IF('1. Yixian'!AH91='2. Nayoung'!AH91,1,0))</f>
        <v>1</v>
      </c>
      <c r="AG91" s="20">
        <f>IF('1. Yixian'!AI91="","",IF('1. Yixian'!AI91='2. Nayoung'!AI91,1,0))</f>
        <v>1</v>
      </c>
      <c r="AH91" s="20">
        <f>IF('1. Yixian'!AJ91="","",IF('1. Yixian'!AJ91='2. Nayoung'!AJ91,1,0))</f>
        <v>1</v>
      </c>
      <c r="AI91" s="20">
        <f>IF('1. Yixian'!AK91="","",IF('1. Yixian'!AK91='2. Nayoung'!AK91,1,0))</f>
        <v>1</v>
      </c>
      <c r="AJ91" s="20">
        <f>IF('1. Yixian'!AL91="","",IF('1. Yixian'!AL91='2. Nayoung'!AL91,1,0))</f>
        <v>1</v>
      </c>
      <c r="AK91" s="20">
        <f>IF('1. Yixian'!AM91="","",IF('1. Yixian'!AM91='2. Nayoung'!AM91,1,0))</f>
        <v>1</v>
      </c>
      <c r="AL91" s="20" t="str">
        <f>IF('1. Yixian'!AT91="","",IF('1. Yixian'!AT91='2. Nayoung'!AT91,1,0))</f>
        <v/>
      </c>
      <c r="AM91" s="62">
        <v>1</v>
      </c>
      <c r="AN91" s="2"/>
    </row>
    <row r="92" spans="1:40" s="20" customFormat="1" ht="17" hidden="1" customHeight="1">
      <c r="A92" s="20" t="str">
        <f>IF('1. Yixian'!A92="","",IF('1. Yixian'!A92='2. Nayoung'!A92,1,0))</f>
        <v/>
      </c>
      <c r="B92" s="20" t="str">
        <f>IF('1. Yixian'!B92="","",IF(RIGHT('1. Yixian'!B92,2)=RIGHT('2. Nayoung'!B92,2),1,0))</f>
        <v/>
      </c>
      <c r="C92" s="20" t="str">
        <f>IF('1. Yixian'!C92="","",IF('1. Yixian'!C92='2. Nayoung'!C92,1,0))</f>
        <v/>
      </c>
      <c r="E92" s="20" t="str">
        <f>IF('1. Yixian'!E92="","",IF('1. Yixian'!E92='2. Nayoung'!E92,1,0))</f>
        <v/>
      </c>
      <c r="F92" s="20" t="str">
        <f>IF('1. Yixian'!F92="","",IF('1. Yixian'!F92='2. Nayoung'!F92,1,0))</f>
        <v/>
      </c>
      <c r="G92" s="20" t="str">
        <f>IF('1. Yixian'!G92="","",IF('1. Yixian'!G92='2. Nayoung'!G92,1,0))</f>
        <v/>
      </c>
      <c r="H92" s="20">
        <f>IF('1. Yixian'!J92="","",IF(RIGHT('1. Yixian'!J92,3)=RIGHT('2. Nayoung'!J92,3),1,0))</f>
        <v>0</v>
      </c>
      <c r="I92" s="20">
        <f>IF(H92="","",IF(OR('2. Nayoung'!K92="", '1. Yixian'!K92 = ""),0,1))</f>
        <v>1</v>
      </c>
      <c r="J92" s="20">
        <f>IF('1. Yixian'!L92="","",IF('1. Yixian'!L92='2. Nayoung'!L92,1,0))</f>
        <v>1</v>
      </c>
      <c r="K92" s="20">
        <f>IF('1. Yixian'!M92="","",IF('1. Yixian'!M92='2. Nayoung'!M92,1,0))</f>
        <v>1</v>
      </c>
      <c r="L92" s="20">
        <f>IF('1. Yixian'!N92="","",IF('1. Yixian'!N92='2. Nayoung'!N92,1,0))</f>
        <v>1</v>
      </c>
      <c r="M92" s="20">
        <f>IF('1. Yixian'!O92="","",IF('1. Yixian'!O92='2. Nayoung'!O92,1,0))</f>
        <v>1</v>
      </c>
      <c r="N92" s="20">
        <f>IF('1. Yixian'!P92="","",IF('1. Yixian'!P92='2. Nayoung'!P92,1,0))</f>
        <v>1</v>
      </c>
      <c r="O92" s="20">
        <f>IF('1. Yixian'!Q92="","",IF('1. Yixian'!Q92='2. Nayoung'!Q92,1,0))</f>
        <v>1</v>
      </c>
      <c r="P92" s="20">
        <f>IF('1. Yixian'!R92="","",IF('1. Yixian'!R92='2. Nayoung'!R92,1,0))</f>
        <v>1</v>
      </c>
      <c r="Q92" s="20">
        <f>IF('1. Yixian'!S92="","",IF('1. Yixian'!S92='2. Nayoung'!S92,1,0))</f>
        <v>1</v>
      </c>
      <c r="R92" s="20">
        <f>IF('1. Yixian'!T92="","",IF('1. Yixian'!T92='2. Nayoung'!T92,1,0))</f>
        <v>1</v>
      </c>
      <c r="S92" s="20">
        <f>IF(R92="","",IF(OR('2. Nayoung'!U92="", '1. Yixian'!U92 = ""),0,1))</f>
        <v>1</v>
      </c>
      <c r="T92" s="20">
        <f>IF('1. Yixian'!V92="","",IF('1. Yixian'!V92='2. Nayoung'!V92,1,0))</f>
        <v>1</v>
      </c>
      <c r="U92" s="20">
        <f>IF('1. Yixian'!W92="","",IF('1. Yixian'!W92='2. Nayoung'!W92,1,0))</f>
        <v>1</v>
      </c>
      <c r="V92" s="20">
        <f>IF('1. Yixian'!X92="","",IF('1. Yixian'!X92='2. Nayoung'!X92,1,0))</f>
        <v>1</v>
      </c>
      <c r="W92" s="20">
        <f>IF('1. Yixian'!Y92="","",IF('1. Yixian'!Y92='2. Nayoung'!Y92,1,0))</f>
        <v>1</v>
      </c>
      <c r="X92" s="20">
        <f>IF('1. Yixian'!Z92="","",IF('1. Yixian'!Z92='2. Nayoung'!Z92,1,0))</f>
        <v>1</v>
      </c>
      <c r="Y92" s="20">
        <f>IF('1. Yixian'!AA92="","",IF('1. Yixian'!AA92='2. Nayoung'!AA92,1,0))</f>
        <v>1</v>
      </c>
      <c r="Z92" s="20">
        <f>IF('1. Yixian'!AB92="","",IF('1. Yixian'!AB92='2. Nayoung'!AB92,1,0))</f>
        <v>1</v>
      </c>
      <c r="AA92" s="20">
        <f>IF('1. Yixian'!AC92="","",IF('1. Yixian'!AC92='2. Nayoung'!AC92,1,0))</f>
        <v>1</v>
      </c>
      <c r="AB92" s="20">
        <f>IF(OR('2. Nayoung'!AD91="", '1. Yixian'!AD92 = ""),0,1)</f>
        <v>1</v>
      </c>
      <c r="AC92" s="20">
        <f>IF('1. Yixian'!AE92="","",IF('1. Yixian'!AE92='2. Nayoung'!AE92,1,0))</f>
        <v>1</v>
      </c>
      <c r="AD92" s="20">
        <f>IF(OR('2. Nayoung'!AF91="", '1. Yixian'!AF92 = ""),0,1)</f>
        <v>1</v>
      </c>
      <c r="AF92" s="20">
        <f>IF('1. Yixian'!AH92="","",IF('1. Yixian'!AH92='2. Nayoung'!AH92,1,0))</f>
        <v>1</v>
      </c>
      <c r="AG92" s="20">
        <f>IF('1. Yixian'!AI92="","",IF('1. Yixian'!AI92='2. Nayoung'!AI92,1,0))</f>
        <v>1</v>
      </c>
      <c r="AH92" s="20">
        <f>IF('1. Yixian'!AJ92="","",IF('1. Yixian'!AJ92='2. Nayoung'!AJ92,1,0))</f>
        <v>1</v>
      </c>
      <c r="AI92" s="20">
        <f>IF('1. Yixian'!AK92="","",IF('1. Yixian'!AK92='2. Nayoung'!AK92,1,0))</f>
        <v>1</v>
      </c>
      <c r="AJ92" s="20">
        <f>IF('1. Yixian'!AL92="","",IF('1. Yixian'!AL92='2. Nayoung'!AL92,1,0))</f>
        <v>1</v>
      </c>
      <c r="AK92" s="20">
        <f>IF('1. Yixian'!AM92="","",IF('1. Yixian'!AM92='2. Nayoung'!AM92,1,0))</f>
        <v>1</v>
      </c>
      <c r="AL92" s="20" t="str">
        <f>IF('1. Yixian'!AT92="","",IF('1. Yixian'!AT92='2. Nayoung'!AT92,1,0))</f>
        <v/>
      </c>
      <c r="AM92" s="62">
        <v>1</v>
      </c>
      <c r="AN92" s="2"/>
    </row>
    <row r="93" spans="1:40" s="20" customFormat="1" ht="17" hidden="1" customHeight="1">
      <c r="A93" s="20" t="str">
        <f>IF('1. Yixian'!A93="","",IF('1. Yixian'!A93='2. Nayoung'!A93,1,0))</f>
        <v/>
      </c>
      <c r="B93" s="20" t="str">
        <f>IF('1. Yixian'!B93="","",IF(RIGHT('1. Yixian'!B93,2)=RIGHT('2. Nayoung'!B93,2),1,0))</f>
        <v/>
      </c>
      <c r="C93" s="20" t="str">
        <f>IF('1. Yixian'!C93="","",IF('1. Yixian'!C93='2. Nayoung'!C93,1,0))</f>
        <v/>
      </c>
      <c r="E93" s="20" t="str">
        <f>IF('1. Yixian'!E93="","",IF('1. Yixian'!E93='2. Nayoung'!E93,1,0))</f>
        <v/>
      </c>
      <c r="F93" s="20" t="str">
        <f>IF('1. Yixian'!F93="","",IF('1. Yixian'!F93='2. Nayoung'!F93,1,0))</f>
        <v/>
      </c>
      <c r="G93" s="20" t="str">
        <f>IF('1. Yixian'!G93="","",IF('1. Yixian'!G93='2. Nayoung'!G93,1,0))</f>
        <v/>
      </c>
      <c r="H93" s="20">
        <f>IF('1. Yixian'!J93="","",IF(RIGHT('1. Yixian'!J93,3)=RIGHT('2. Nayoung'!J93,3),1,0))</f>
        <v>0</v>
      </c>
      <c r="I93" s="20">
        <f>IF(H93="","",IF(OR('2. Nayoung'!K93="", '1. Yixian'!K93 = ""),0,1))</f>
        <v>1</v>
      </c>
      <c r="J93" s="20">
        <f>IF('1. Yixian'!L93="","",IF('1. Yixian'!L93='2. Nayoung'!L93,1,0))</f>
        <v>1</v>
      </c>
      <c r="K93" s="20">
        <f>IF('1. Yixian'!M93="","",IF('1. Yixian'!M93='2. Nayoung'!M93,1,0))</f>
        <v>1</v>
      </c>
      <c r="L93" s="20">
        <f>IF('1. Yixian'!N93="","",IF('1. Yixian'!N93='2. Nayoung'!N93,1,0))</f>
        <v>1</v>
      </c>
      <c r="M93" s="20">
        <f>IF('1. Yixian'!O93="","",IF('1. Yixian'!O93='2. Nayoung'!O93,1,0))</f>
        <v>1</v>
      </c>
      <c r="N93" s="20">
        <f>IF('1. Yixian'!P93="","",IF('1. Yixian'!P93='2. Nayoung'!P93,1,0))</f>
        <v>1</v>
      </c>
      <c r="O93" s="20">
        <f>IF('1. Yixian'!Q93="","",IF('1. Yixian'!Q93='2. Nayoung'!Q93,1,0))</f>
        <v>1</v>
      </c>
      <c r="P93" s="20">
        <f>IF('1. Yixian'!R93="","",IF('1. Yixian'!R93='2. Nayoung'!R93,1,0))</f>
        <v>1</v>
      </c>
      <c r="Q93" s="20">
        <f>IF('1. Yixian'!S93="","",IF('1. Yixian'!S93='2. Nayoung'!S93,1,0))</f>
        <v>1</v>
      </c>
      <c r="R93" s="20">
        <f>IF('1. Yixian'!T93="","",IF('1. Yixian'!T93='2. Nayoung'!T93,1,0))</f>
        <v>1</v>
      </c>
      <c r="S93" s="20">
        <f>IF(R93="","",IF(OR('2. Nayoung'!U93="", '1. Yixian'!U93 = ""),0,1))</f>
        <v>1</v>
      </c>
      <c r="T93" s="20">
        <f>IF('1. Yixian'!V93="","",IF('1. Yixian'!V93='2. Nayoung'!V93,1,0))</f>
        <v>1</v>
      </c>
      <c r="U93" s="20">
        <f>IF('1. Yixian'!W93="","",IF('1. Yixian'!W93='2. Nayoung'!W93,1,0))</f>
        <v>1</v>
      </c>
      <c r="V93" s="20">
        <f>IF('1. Yixian'!X93="","",IF('1. Yixian'!X93='2. Nayoung'!X93,1,0))</f>
        <v>1</v>
      </c>
      <c r="W93" s="20">
        <f>IF('1. Yixian'!Y93="","",IF('1. Yixian'!Y93='2. Nayoung'!Y93,1,0))</f>
        <v>1</v>
      </c>
      <c r="X93" s="20">
        <f>IF('1. Yixian'!Z93="","",IF('1. Yixian'!Z93='2. Nayoung'!Z93,1,0))</f>
        <v>1</v>
      </c>
      <c r="Y93" s="20">
        <f>IF('1. Yixian'!AA93="","",IF('1. Yixian'!AA93='2. Nayoung'!AA93,1,0))</f>
        <v>1</v>
      </c>
      <c r="Z93" s="20">
        <f>IF('1. Yixian'!AB93="","",IF('1. Yixian'!AB93='2. Nayoung'!AB93,1,0))</f>
        <v>1</v>
      </c>
      <c r="AA93" s="20">
        <f>IF('1. Yixian'!AC93="","",IF('1. Yixian'!AC93='2. Nayoung'!AC93,1,0))</f>
        <v>1</v>
      </c>
      <c r="AB93" s="20">
        <f>IF(OR('2. Nayoung'!AD92="", '1. Yixian'!AD93 = ""),0,1)</f>
        <v>1</v>
      </c>
      <c r="AC93" s="20">
        <f>IF('1. Yixian'!AE93="","",IF('1. Yixian'!AE93='2. Nayoung'!AE93,1,0))</f>
        <v>1</v>
      </c>
      <c r="AD93" s="20">
        <f>IF(OR('2. Nayoung'!AF92="", '1. Yixian'!AF93 = ""),0,1)</f>
        <v>0</v>
      </c>
      <c r="AF93" s="20">
        <f>IF('1. Yixian'!AH93="","",IF('1. Yixian'!AH93='2. Nayoung'!AH93,1,0))</f>
        <v>1</v>
      </c>
      <c r="AG93" s="20">
        <f>IF('1. Yixian'!AI93="","",IF('1. Yixian'!AI93='2. Nayoung'!AI93,1,0))</f>
        <v>1</v>
      </c>
      <c r="AH93" s="20">
        <f>IF('1. Yixian'!AJ93="","",IF('1. Yixian'!AJ93='2. Nayoung'!AJ93,1,0))</f>
        <v>1</v>
      </c>
      <c r="AI93" s="20">
        <f>IF('1. Yixian'!AK93="","",IF('1. Yixian'!AK93='2. Nayoung'!AK93,1,0))</f>
        <v>1</v>
      </c>
      <c r="AJ93" s="20">
        <f>IF('1. Yixian'!AL93="","",IF('1. Yixian'!AL93='2. Nayoung'!AL93,1,0))</f>
        <v>1</v>
      </c>
      <c r="AK93" s="20">
        <f>IF('1. Yixian'!AM93="","",IF('1. Yixian'!AM93='2. Nayoung'!AM93,1,0))</f>
        <v>1</v>
      </c>
      <c r="AL93" s="20" t="str">
        <f>IF('1. Yixian'!AT93="","",IF('1. Yixian'!AT93='2. Nayoung'!AT93,1,0))</f>
        <v/>
      </c>
      <c r="AM93" s="62">
        <v>1</v>
      </c>
      <c r="AN93" s="2"/>
    </row>
    <row r="94" spans="1:40" s="20" customFormat="1" ht="17" hidden="1" customHeight="1">
      <c r="A94" s="20">
        <f>IF('1. Yixian'!A94="","",IF('1. Yixian'!A94='2. Nayoung'!A94,1,0))</f>
        <v>1</v>
      </c>
      <c r="B94" s="20">
        <f>IF('1. Yixian'!B94="","",IF(RIGHT('1. Yixian'!B94,2)=RIGHT('2. Nayoung'!B94,2),1,0))</f>
        <v>1</v>
      </c>
      <c r="C94" s="20">
        <f>IF('1. Yixian'!C94="","",IF('1. Yixian'!C94='2. Nayoung'!C94,1,0))</f>
        <v>1</v>
      </c>
      <c r="E94" s="20">
        <f>IF('1. Yixian'!E94="","",IF('1. Yixian'!E94='2. Nayoung'!E94,1,0))</f>
        <v>1</v>
      </c>
      <c r="F94" s="20">
        <f>IF('1. Yixian'!F94="","",IF('1. Yixian'!F94='2. Nayoung'!F94,1,0))</f>
        <v>1</v>
      </c>
      <c r="G94" s="20">
        <f>IF('1. Yixian'!G94="","",IF('1. Yixian'!G94='2. Nayoung'!G94,1,0))</f>
        <v>1</v>
      </c>
      <c r="H94" s="20">
        <f>IF('1. Yixian'!J94="","",IF(RIGHT('1. Yixian'!J94,3)=RIGHT('2. Nayoung'!J94,3),1,0))</f>
        <v>0</v>
      </c>
      <c r="I94" s="20">
        <f>IF(H94="","",IF(OR('2. Nayoung'!K94="", '1. Yixian'!K94 = ""),0,1))</f>
        <v>1</v>
      </c>
      <c r="J94" s="20">
        <f>IF('1. Yixian'!L94="","",IF('1. Yixian'!L94='2. Nayoung'!L94,1,0))</f>
        <v>1</v>
      </c>
      <c r="K94" s="20">
        <f>IF('1. Yixian'!M94="","",IF('1. Yixian'!M94='2. Nayoung'!M94,1,0))</f>
        <v>1</v>
      </c>
      <c r="L94" s="20">
        <f>IF('1. Yixian'!N94="","",IF('1. Yixian'!N94='2. Nayoung'!N94,1,0))</f>
        <v>1</v>
      </c>
      <c r="M94" s="20">
        <f>IF('1. Yixian'!O94="","",IF('1. Yixian'!O94='2. Nayoung'!O94,1,0))</f>
        <v>1</v>
      </c>
      <c r="N94" s="20">
        <f>IF('1. Yixian'!P94="","",IF('1. Yixian'!P94='2. Nayoung'!P94,1,0))</f>
        <v>1</v>
      </c>
      <c r="O94" s="20">
        <f>IF('1. Yixian'!Q94="","",IF('1. Yixian'!Q94='2. Nayoung'!Q94,1,0))</f>
        <v>1</v>
      </c>
      <c r="P94" s="20">
        <f>IF('1. Yixian'!R94="","",IF('1. Yixian'!R94='2. Nayoung'!R94,1,0))</f>
        <v>1</v>
      </c>
      <c r="Q94" s="20">
        <f>IF('1. Yixian'!S94="","",IF('1. Yixian'!S94='2. Nayoung'!S94,1,0))</f>
        <v>1</v>
      </c>
      <c r="R94" s="20">
        <f>IF('1. Yixian'!T94="","",IF('1. Yixian'!T94='2. Nayoung'!T94,1,0))</f>
        <v>1</v>
      </c>
      <c r="S94" s="20">
        <f>IF(R94="","",IF(OR('2. Nayoung'!U94="", '1. Yixian'!U94 = ""),0,1))</f>
        <v>1</v>
      </c>
      <c r="T94" s="20">
        <f>IF('1. Yixian'!V94="","",IF('1. Yixian'!V94='2. Nayoung'!V94,1,0))</f>
        <v>1</v>
      </c>
      <c r="U94" s="20">
        <f>IF('1. Yixian'!W94="","",IF('1. Yixian'!W94='2. Nayoung'!W94,1,0))</f>
        <v>1</v>
      </c>
      <c r="V94" s="20">
        <f>IF('1. Yixian'!X94="","",IF('1. Yixian'!X94='2. Nayoung'!X94,1,0))</f>
        <v>1</v>
      </c>
      <c r="W94" s="20">
        <f>IF('1. Yixian'!Y94="","",IF('1. Yixian'!Y94='2. Nayoung'!Y94,1,0))</f>
        <v>1</v>
      </c>
      <c r="X94" s="20">
        <f>IF('1. Yixian'!Z94="","",IF('1. Yixian'!Z94='2. Nayoung'!Z94,1,0))</f>
        <v>1</v>
      </c>
      <c r="Y94" s="20">
        <f>IF('1. Yixian'!AA94="","",IF('1. Yixian'!AA94='2. Nayoung'!AA94,1,0))</f>
        <v>1</v>
      </c>
      <c r="Z94" s="20">
        <f>IF('1. Yixian'!AB94="","",IF('1. Yixian'!AB94='2. Nayoung'!AB94,1,0))</f>
        <v>1</v>
      </c>
      <c r="AA94" s="20">
        <f>IF('1. Yixian'!AC94="","",IF('1. Yixian'!AC94='2. Nayoung'!AC94,1,0))</f>
        <v>1</v>
      </c>
      <c r="AB94" s="20">
        <f>IF(OR('2. Nayoung'!AD93="", '1. Yixian'!AD94 = ""),0,1)</f>
        <v>1</v>
      </c>
      <c r="AC94" s="20">
        <f>IF('1. Yixian'!AE94="","",IF('1. Yixian'!AE94='2. Nayoung'!AE94,1,0))</f>
        <v>1</v>
      </c>
      <c r="AD94" s="20">
        <f>IF(OR('2. Nayoung'!AF93="", '1. Yixian'!AF94 = ""),0,1)</f>
        <v>0</v>
      </c>
      <c r="AF94" s="20">
        <f>IF('1. Yixian'!AH94="","",IF('1. Yixian'!AH94='2. Nayoung'!AH94,1,0))</f>
        <v>1</v>
      </c>
      <c r="AG94" s="20">
        <f>IF('1. Yixian'!AI94="","",IF('1. Yixian'!AI94='2. Nayoung'!AI94,1,0))</f>
        <v>1</v>
      </c>
      <c r="AH94" s="20">
        <f>IF('1. Yixian'!AJ94="","",IF('1. Yixian'!AJ94='2. Nayoung'!AJ94,1,0))</f>
        <v>1</v>
      </c>
      <c r="AI94" s="20">
        <f>IF('1. Yixian'!AK94="","",IF('1. Yixian'!AK94='2. Nayoung'!AK94,1,0))</f>
        <v>1</v>
      </c>
      <c r="AJ94" s="20">
        <f>IF('1. Yixian'!AL94="","",IF('1. Yixian'!AL94='2. Nayoung'!AL94,1,0))</f>
        <v>1</v>
      </c>
      <c r="AK94" s="20">
        <f>IF('1. Yixian'!AM94="","",IF('1. Yixian'!AM94='2. Nayoung'!AM94,1,0))</f>
        <v>1</v>
      </c>
      <c r="AL94" s="20" t="str">
        <f>IF('1. Yixian'!AT94="","",IF('1. Yixian'!AT94='2. Nayoung'!AT94,1,0))</f>
        <v/>
      </c>
      <c r="AM94" s="20" t="e">
        <f>IF('1. Yixian'!AU94="","",IF('1. Yixian'!AU94='2. Nayoung'!#REF!,1,0))</f>
        <v>#REF!</v>
      </c>
      <c r="AN94" s="2"/>
    </row>
    <row r="95" spans="1:40" s="20" customFormat="1" ht="17" hidden="1" customHeight="1">
      <c r="A95" s="20" t="str">
        <f>IF('1. Yixian'!A95="","",IF('1. Yixian'!A95='2. Nayoung'!A95,1,0))</f>
        <v/>
      </c>
      <c r="B95" s="20" t="str">
        <f>IF('1. Yixian'!B95="","",IF(RIGHT('1. Yixian'!B95,2)=RIGHT('2. Nayoung'!B95,2),1,0))</f>
        <v/>
      </c>
      <c r="C95" s="20" t="str">
        <f>IF('1. Yixian'!C95="","",IF('1. Yixian'!C95='2. Nayoung'!C95,1,0))</f>
        <v/>
      </c>
      <c r="E95" s="20" t="str">
        <f>IF('1. Yixian'!E95="","",IF('1. Yixian'!E95='2. Nayoung'!E95,1,0))</f>
        <v/>
      </c>
      <c r="F95" s="20" t="str">
        <f>IF('1. Yixian'!F95="","",IF('1. Yixian'!F95='2. Nayoung'!F95,1,0))</f>
        <v/>
      </c>
      <c r="G95" s="20" t="str">
        <f>IF('1. Yixian'!G95="","",IF('1. Yixian'!G95='2. Nayoung'!G95,1,0))</f>
        <v/>
      </c>
      <c r="H95" s="20" t="str">
        <f>IF('1. Yixian'!J95="","",IF(RIGHT('1. Yixian'!J95,3)=RIGHT('2. Nayoung'!J95,3),1,0))</f>
        <v/>
      </c>
      <c r="I95" s="20" t="str">
        <f>IF(H95="","",IF(OR('2. Nayoung'!K95="", '1. Yixian'!K95 = ""),0,1))</f>
        <v/>
      </c>
      <c r="J95" s="20" t="str">
        <f>IF('1. Yixian'!L95="","",IF('1. Yixian'!L95='2. Nayoung'!L95,1,0))</f>
        <v/>
      </c>
      <c r="K95" s="20" t="str">
        <f>IF('1. Yixian'!M95="","",IF('1. Yixian'!M95='2. Nayoung'!M95,1,0))</f>
        <v/>
      </c>
      <c r="L95" s="20" t="str">
        <f>IF('1. Yixian'!N95="","",IF('1. Yixian'!N95='2. Nayoung'!N95,1,0))</f>
        <v/>
      </c>
      <c r="M95" s="20" t="str">
        <f>IF('1. Yixian'!O95="","",IF('1. Yixian'!O95='2. Nayoung'!O95,1,0))</f>
        <v/>
      </c>
      <c r="N95" s="20" t="str">
        <f>IF('1. Yixian'!P95="","",IF('1. Yixian'!P95='2. Nayoung'!P95,1,0))</f>
        <v/>
      </c>
      <c r="O95" s="20" t="str">
        <f>IF('1. Yixian'!Q95="","",IF('1. Yixian'!Q95='2. Nayoung'!Q95,1,0))</f>
        <v/>
      </c>
      <c r="P95" s="20" t="str">
        <f>IF('1. Yixian'!R95="","",IF('1. Yixian'!R95='2. Nayoung'!R95,1,0))</f>
        <v/>
      </c>
      <c r="Q95" s="20" t="str">
        <f>IF('1. Yixian'!S95="","",IF('1. Yixian'!S95='2. Nayoung'!S95,1,0))</f>
        <v/>
      </c>
      <c r="R95" s="20" t="str">
        <f>IF('1. Yixian'!T95="","",IF('1. Yixian'!T95='2. Nayoung'!T95,1,0))</f>
        <v/>
      </c>
      <c r="S95" s="20" t="str">
        <f>IF(R95="","",IF(OR('2. Nayoung'!U95="", '1. Yixian'!U95 = ""),0,1))</f>
        <v/>
      </c>
      <c r="T95" s="20" t="str">
        <f>IF('1. Yixian'!V95="","",IF('1. Yixian'!V95='2. Nayoung'!V95,1,0))</f>
        <v/>
      </c>
      <c r="U95" s="20" t="str">
        <f>IF('1. Yixian'!W95="","",IF('1. Yixian'!W95='2. Nayoung'!W95,1,0))</f>
        <v/>
      </c>
      <c r="V95" s="20" t="str">
        <f>IF('1. Yixian'!X95="","",IF('1. Yixian'!X95='2. Nayoung'!X95,1,0))</f>
        <v/>
      </c>
      <c r="W95" s="20" t="str">
        <f>IF('1. Yixian'!Y95="","",IF('1. Yixian'!Y95='2. Nayoung'!Y95,1,0))</f>
        <v/>
      </c>
      <c r="X95" s="20" t="str">
        <f>IF('1. Yixian'!Z95="","",IF('1. Yixian'!Z95='2. Nayoung'!Z95,1,0))</f>
        <v/>
      </c>
      <c r="Y95" s="20" t="str">
        <f>IF('1. Yixian'!AA95="","",IF('1. Yixian'!AA95='2. Nayoung'!AA95,1,0))</f>
        <v/>
      </c>
      <c r="Z95" s="20" t="str">
        <f>IF('1. Yixian'!AB95="","",IF('1. Yixian'!AB95='2. Nayoung'!AB95,1,0))</f>
        <v/>
      </c>
      <c r="AA95" s="20" t="str">
        <f>IF('1. Yixian'!AC95="","",IF('1. Yixian'!AC95='2. Nayoung'!AC95,1,0))</f>
        <v/>
      </c>
      <c r="AB95" s="20">
        <f>IF(OR('2. Nayoung'!AD94="", '1. Yixian'!AD95 = ""),0,1)</f>
        <v>1</v>
      </c>
      <c r="AC95" s="20">
        <f>IF('1. Yixian'!AE95="","",IF('1. Yixian'!AE95='2. Nayoung'!AE95,1,0))</f>
        <v>1</v>
      </c>
      <c r="AD95" s="20">
        <f>IF(OR('2. Nayoung'!AF94="", '1. Yixian'!AF95 = ""),0,1)</f>
        <v>1</v>
      </c>
      <c r="AF95" s="20">
        <f>IF('1. Yixian'!AH95="","",IF('1. Yixian'!AH95='2. Nayoung'!AH95,1,0))</f>
        <v>1</v>
      </c>
      <c r="AG95" s="20">
        <f>IF('1. Yixian'!AI95="","",IF('1. Yixian'!AI95='2. Nayoung'!AI95,1,0))</f>
        <v>1</v>
      </c>
      <c r="AH95" s="20">
        <f>IF('1. Yixian'!AJ95="","",IF('1. Yixian'!AJ95='2. Nayoung'!AJ95,1,0))</f>
        <v>1</v>
      </c>
      <c r="AI95" s="20">
        <f>IF('1. Yixian'!AK95="","",IF('1. Yixian'!AK95='2. Nayoung'!AK95,1,0))</f>
        <v>1</v>
      </c>
      <c r="AJ95" s="20">
        <f>IF('1. Yixian'!AL95="","",IF('1. Yixian'!AL95='2. Nayoung'!AL95,1,0))</f>
        <v>1</v>
      </c>
      <c r="AK95" s="20">
        <f>IF('1. Yixian'!AM95="","",IF('1. Yixian'!AM95='2. Nayoung'!AM95,1,0))</f>
        <v>1</v>
      </c>
      <c r="AL95" s="20" t="str">
        <f>IF('1. Yixian'!AT95="","",IF('1. Yixian'!AT95='2. Nayoung'!AT95,1,0))</f>
        <v/>
      </c>
      <c r="AM95" s="20" t="e">
        <f>IF('1. Yixian'!AU95="","",IF('1. Yixian'!AU95='2. Nayoung'!#REF!,1,0))</f>
        <v>#REF!</v>
      </c>
      <c r="AN95" s="2"/>
    </row>
    <row r="96" spans="1:40" s="20" customFormat="1" ht="17" hidden="1" customHeight="1">
      <c r="A96" s="20" t="str">
        <f>IF('1. Yixian'!A96="","",IF('1. Yixian'!A96='2. Nayoung'!A96,1,0))</f>
        <v/>
      </c>
      <c r="B96" s="20" t="str">
        <f>IF('1. Yixian'!B96="","",IF(RIGHT('1. Yixian'!B96,2)=RIGHT('2. Nayoung'!B96,2),1,0))</f>
        <v/>
      </c>
      <c r="C96" s="20" t="str">
        <f>IF('1. Yixian'!C96="","",IF('1. Yixian'!C96='2. Nayoung'!C96,1,0))</f>
        <v/>
      </c>
      <c r="E96" s="20" t="str">
        <f>IF('1. Yixian'!E96="","",IF('1. Yixian'!E96='2. Nayoung'!E96,1,0))</f>
        <v/>
      </c>
      <c r="F96" s="20" t="str">
        <f>IF('1. Yixian'!F96="","",IF('1. Yixian'!F96='2. Nayoung'!F96,1,0))</f>
        <v/>
      </c>
      <c r="G96" s="20" t="str">
        <f>IF('1. Yixian'!G96="","",IF('1. Yixian'!G96='2. Nayoung'!G96,1,0))</f>
        <v/>
      </c>
      <c r="H96" s="20">
        <f>IF('1. Yixian'!J96="","",IF(RIGHT('1. Yixian'!J96,3)=RIGHT('2. Nayoung'!J96,3),1,0))</f>
        <v>0</v>
      </c>
      <c r="I96" s="20">
        <f>IF(H96="","",IF(OR('2. Nayoung'!K96="", '1. Yixian'!K96 = ""),0,1))</f>
        <v>1</v>
      </c>
      <c r="J96" s="20">
        <f>IF('1. Yixian'!L96="","",IF('1. Yixian'!L96='2. Nayoung'!L96,1,0))</f>
        <v>1</v>
      </c>
      <c r="K96" s="20">
        <f>IF('1. Yixian'!M96="","",IF('1. Yixian'!M96='2. Nayoung'!M96,1,0))</f>
        <v>1</v>
      </c>
      <c r="L96" s="20">
        <f>IF('1. Yixian'!N96="","",IF('1. Yixian'!N96='2. Nayoung'!N96,1,0))</f>
        <v>1</v>
      </c>
      <c r="M96" s="20">
        <f>IF('1. Yixian'!O96="","",IF('1. Yixian'!O96='2. Nayoung'!O96,1,0))</f>
        <v>1</v>
      </c>
      <c r="N96" s="20">
        <f>IF('1. Yixian'!P96="","",IF('1. Yixian'!P96='2. Nayoung'!P96,1,0))</f>
        <v>1</v>
      </c>
      <c r="O96" s="20">
        <f>IF('1. Yixian'!Q96="","",IF('1. Yixian'!Q96='2. Nayoung'!Q96,1,0))</f>
        <v>1</v>
      </c>
      <c r="P96" s="20">
        <f>IF('1. Yixian'!R96="","",IF('1. Yixian'!R96='2. Nayoung'!R96,1,0))</f>
        <v>1</v>
      </c>
      <c r="Q96" s="20">
        <f>IF('1. Yixian'!S96="","",IF('1. Yixian'!S96='2. Nayoung'!S96,1,0))</f>
        <v>1</v>
      </c>
      <c r="R96" s="20">
        <f>IF('1. Yixian'!T96="","",IF('1. Yixian'!T96='2. Nayoung'!T96,1,0))</f>
        <v>1</v>
      </c>
      <c r="S96" s="20">
        <f>IF(R96="","",IF(OR('2. Nayoung'!U96="", '1. Yixian'!U96 = ""),0,1))</f>
        <v>1</v>
      </c>
      <c r="T96" s="20">
        <f>IF('1. Yixian'!V96="","",IF('1. Yixian'!V96='2. Nayoung'!V96,1,0))</f>
        <v>1</v>
      </c>
      <c r="U96" s="20">
        <f>IF('1. Yixian'!W96="","",IF('1. Yixian'!W96='2. Nayoung'!W96,1,0))</f>
        <v>1</v>
      </c>
      <c r="V96" s="20">
        <f>IF('1. Yixian'!X96="","",IF('1. Yixian'!X96='2. Nayoung'!X96,1,0))</f>
        <v>1</v>
      </c>
      <c r="W96" s="20">
        <f>IF('1. Yixian'!Y96="","",IF('1. Yixian'!Y96='2. Nayoung'!Y96,1,0))</f>
        <v>1</v>
      </c>
      <c r="X96" s="20">
        <f>IF('1. Yixian'!Z96="","",IF('1. Yixian'!Z96='2. Nayoung'!Z96,1,0))</f>
        <v>1</v>
      </c>
      <c r="Y96" s="20">
        <f>IF('1. Yixian'!AA96="","",IF('1. Yixian'!AA96='2. Nayoung'!AA96,1,0))</f>
        <v>1</v>
      </c>
      <c r="Z96" s="20">
        <f>IF('1. Yixian'!AB96="","",IF('1. Yixian'!AB96='2. Nayoung'!AB96,1,0))</f>
        <v>1</v>
      </c>
      <c r="AA96" s="20">
        <f>IF('1. Yixian'!AC96="","",IF('1. Yixian'!AC96='2. Nayoung'!AC96,1,0))</f>
        <v>1</v>
      </c>
      <c r="AB96" s="20">
        <f>IF(OR('2. Nayoung'!AD95="", '1. Yixian'!AD96 = ""),0,1)</f>
        <v>1</v>
      </c>
      <c r="AC96" s="20">
        <f>IF('1. Yixian'!AE96="","",IF('1. Yixian'!AE96='2. Nayoung'!AE96,1,0))</f>
        <v>1</v>
      </c>
      <c r="AD96" s="20">
        <f>IF(OR('2. Nayoung'!AF95="", '1. Yixian'!AF96 = ""),0,1)</f>
        <v>1</v>
      </c>
      <c r="AF96" s="20">
        <f>IF('1. Yixian'!AH96="","",IF('1. Yixian'!AH96='2. Nayoung'!AH96,1,0))</f>
        <v>1</v>
      </c>
      <c r="AG96" s="20">
        <f>IF('1. Yixian'!AI96="","",IF('1. Yixian'!AI96='2. Nayoung'!AI96,1,0))</f>
        <v>1</v>
      </c>
      <c r="AH96" s="20">
        <f>IF('1. Yixian'!AJ96="","",IF('1. Yixian'!AJ96='2. Nayoung'!AJ96,1,0))</f>
        <v>1</v>
      </c>
      <c r="AI96" s="20">
        <f>IF('1. Yixian'!AK96="","",IF('1. Yixian'!AK96='2. Nayoung'!AK96,1,0))</f>
        <v>1</v>
      </c>
      <c r="AJ96" s="20">
        <f>IF('1. Yixian'!AL96="","",IF('1. Yixian'!AL96='2. Nayoung'!AL96,1,0))</f>
        <v>1</v>
      </c>
      <c r="AK96" s="20">
        <f>IF('1. Yixian'!AM96="","",IF('1. Yixian'!AM96='2. Nayoung'!AM96,1,0))</f>
        <v>1</v>
      </c>
      <c r="AL96" s="20" t="str">
        <f>IF('1. Yixian'!AT96="","",IF('1. Yixian'!AT96='2. Nayoung'!AT96,1,0))</f>
        <v/>
      </c>
      <c r="AM96" s="20" t="e">
        <f>IF('1. Yixian'!AU96="","",IF('1. Yixian'!AU96='2. Nayoung'!#REF!,1,0))</f>
        <v>#REF!</v>
      </c>
      <c r="AN96" s="2"/>
    </row>
    <row r="97" spans="1:40" s="20" customFormat="1" ht="17" hidden="1" customHeight="1">
      <c r="A97" s="20" t="str">
        <f>IF('1. Yixian'!A97="","",IF('1. Yixian'!A97='2. Nayoung'!A97,1,0))</f>
        <v/>
      </c>
      <c r="B97" s="20" t="str">
        <f>IF('1. Yixian'!B97="","",IF(RIGHT('1. Yixian'!B97,2)=RIGHT('2. Nayoung'!B97,2),1,0))</f>
        <v/>
      </c>
      <c r="C97" s="20" t="str">
        <f>IF('1. Yixian'!C97="","",IF('1. Yixian'!C97='2. Nayoung'!C97,1,0))</f>
        <v/>
      </c>
      <c r="E97" s="20" t="str">
        <f>IF('1. Yixian'!E97="","",IF('1. Yixian'!E97='2. Nayoung'!E97,1,0))</f>
        <v/>
      </c>
      <c r="F97" s="20" t="str">
        <f>IF('1. Yixian'!F97="","",IF('1. Yixian'!F97='2. Nayoung'!F97,1,0))</f>
        <v/>
      </c>
      <c r="G97" s="20" t="str">
        <f>IF('1. Yixian'!G97="","",IF('1. Yixian'!G97='2. Nayoung'!G97,1,0))</f>
        <v/>
      </c>
      <c r="H97" s="20" t="str">
        <f>IF('1. Yixian'!J97="","",IF(RIGHT('1. Yixian'!J97,3)=RIGHT('2. Nayoung'!J97,3),1,0))</f>
        <v/>
      </c>
      <c r="I97" s="20" t="str">
        <f>IF(H97="","",IF(OR('2. Nayoung'!K97="", '1. Yixian'!K97 = ""),0,1))</f>
        <v/>
      </c>
      <c r="J97" s="20" t="str">
        <f>IF('1. Yixian'!L97="","",IF('1. Yixian'!L97='2. Nayoung'!L97,1,0))</f>
        <v/>
      </c>
      <c r="K97" s="20" t="str">
        <f>IF('1. Yixian'!M97="","",IF('1. Yixian'!M97='2. Nayoung'!M97,1,0))</f>
        <v/>
      </c>
      <c r="L97" s="20" t="str">
        <f>IF('1. Yixian'!N97="","",IF('1. Yixian'!N97='2. Nayoung'!N97,1,0))</f>
        <v/>
      </c>
      <c r="M97" s="20" t="str">
        <f>IF('1. Yixian'!O97="","",IF('1. Yixian'!O97='2. Nayoung'!O97,1,0))</f>
        <v/>
      </c>
      <c r="N97" s="20" t="str">
        <f>IF('1. Yixian'!P97="","",IF('1. Yixian'!P97='2. Nayoung'!P97,1,0))</f>
        <v/>
      </c>
      <c r="O97" s="20" t="str">
        <f>IF('1. Yixian'!Q97="","",IF('1. Yixian'!Q97='2. Nayoung'!Q97,1,0))</f>
        <v/>
      </c>
      <c r="P97" s="20" t="str">
        <f>IF('1. Yixian'!R97="","",IF('1. Yixian'!R97='2. Nayoung'!R97,1,0))</f>
        <v/>
      </c>
      <c r="Q97" s="20" t="str">
        <f>IF('1. Yixian'!S97="","",IF('1. Yixian'!S97='2. Nayoung'!S97,1,0))</f>
        <v/>
      </c>
      <c r="R97" s="20" t="str">
        <f>IF('1. Yixian'!T97="","",IF('1. Yixian'!T97='2. Nayoung'!T97,1,0))</f>
        <v/>
      </c>
      <c r="S97" s="20" t="str">
        <f>IF(R97="","",IF(OR('2. Nayoung'!U97="", '1. Yixian'!U97 = ""),0,1))</f>
        <v/>
      </c>
      <c r="T97" s="20" t="str">
        <f>IF('1. Yixian'!V97="","",IF('1. Yixian'!V97='2. Nayoung'!V97,1,0))</f>
        <v/>
      </c>
      <c r="U97" s="20" t="str">
        <f>IF('1. Yixian'!W97="","",IF('1. Yixian'!W97='2. Nayoung'!W97,1,0))</f>
        <v/>
      </c>
      <c r="V97" s="20" t="str">
        <f>IF('1. Yixian'!X97="","",IF('1. Yixian'!X97='2. Nayoung'!X97,1,0))</f>
        <v/>
      </c>
      <c r="W97" s="20" t="str">
        <f>IF('1. Yixian'!Y97="","",IF('1. Yixian'!Y97='2. Nayoung'!Y97,1,0))</f>
        <v/>
      </c>
      <c r="X97" s="20" t="str">
        <f>IF('1. Yixian'!Z97="","",IF('1. Yixian'!Z97='2. Nayoung'!Z97,1,0))</f>
        <v/>
      </c>
      <c r="Y97" s="20" t="str">
        <f>IF('1. Yixian'!AA97="","",IF('1. Yixian'!AA97='2. Nayoung'!AA97,1,0))</f>
        <v/>
      </c>
      <c r="Z97" s="20" t="str">
        <f>IF('1. Yixian'!AB97="","",IF('1. Yixian'!AB97='2. Nayoung'!AB97,1,0))</f>
        <v/>
      </c>
      <c r="AA97" s="20" t="str">
        <f>IF('1. Yixian'!AC97="","",IF('1. Yixian'!AC97='2. Nayoung'!AC97,1,0))</f>
        <v/>
      </c>
      <c r="AB97" s="20">
        <f>IF(OR('2. Nayoung'!AD96="", '1. Yixian'!AD97 = ""),0,1)</f>
        <v>1</v>
      </c>
      <c r="AC97" s="20">
        <f>IF('1. Yixian'!AE97="","",IF('1. Yixian'!AE97='2. Nayoung'!AE97,1,0))</f>
        <v>1</v>
      </c>
      <c r="AD97" s="20">
        <f>IF(OR('2. Nayoung'!AF96="", '1. Yixian'!AF97 = ""),0,1)</f>
        <v>0</v>
      </c>
      <c r="AF97" s="20">
        <f>IF('1. Yixian'!AH97="","",IF('1. Yixian'!AH97='2. Nayoung'!AH97,1,0))</f>
        <v>1</v>
      </c>
      <c r="AG97" s="20">
        <f>IF('1. Yixian'!AI97="","",IF('1. Yixian'!AI97='2. Nayoung'!AI97,1,0))</f>
        <v>0</v>
      </c>
      <c r="AH97" s="20">
        <f>IF('1. Yixian'!AJ97="","",IF('1. Yixian'!AJ97='2. Nayoung'!AJ97,1,0))</f>
        <v>1</v>
      </c>
      <c r="AI97" s="20">
        <f>IF('1. Yixian'!AK97="","",IF('1. Yixian'!AK97='2. Nayoung'!AK97,1,0))</f>
        <v>1</v>
      </c>
      <c r="AJ97" s="20">
        <f>IF('1. Yixian'!AL97="","",IF('1. Yixian'!AL97='2. Nayoung'!AL97,1,0))</f>
        <v>1</v>
      </c>
      <c r="AK97" s="20">
        <f>IF('1. Yixian'!AM97="","",IF('1. Yixian'!AM97='2. Nayoung'!AM97,1,0))</f>
        <v>1</v>
      </c>
      <c r="AL97" s="20" t="str">
        <f>IF('1. Yixian'!AT97="","",IF('1. Yixian'!AT97='2. Nayoung'!AT97,1,0))</f>
        <v/>
      </c>
      <c r="AM97" s="20" t="e">
        <f>IF('1. Yixian'!AU97="","",IF('1. Yixian'!AU97='2. Nayoung'!#REF!,1,0))</f>
        <v>#REF!</v>
      </c>
      <c r="AN97" s="2"/>
    </row>
    <row r="98" spans="1:40" s="20" customFormat="1" ht="17" hidden="1" customHeight="1">
      <c r="A98" s="20">
        <f>IF('1. Yixian'!A98="","",IF('1. Yixian'!A98='2. Nayoung'!A98,1,0))</f>
        <v>1</v>
      </c>
      <c r="B98" s="20">
        <f>IF('1. Yixian'!B98="","",IF(RIGHT('1. Yixian'!B98,2)=RIGHT('2. Nayoung'!B98,2),1,0))</f>
        <v>1</v>
      </c>
      <c r="C98" s="20">
        <f>IF('1. Yixian'!C98="","",IF('1. Yixian'!C98='2. Nayoung'!C98,1,0))</f>
        <v>1</v>
      </c>
      <c r="E98" s="20">
        <f>IF('1. Yixian'!E98="","",IF('1. Yixian'!E98='2. Nayoung'!E98,1,0))</f>
        <v>1</v>
      </c>
      <c r="F98" s="20">
        <f>IF('1. Yixian'!F98="","",IF('1. Yixian'!F98='2. Nayoung'!F98,1,0))</f>
        <v>1</v>
      </c>
      <c r="G98" s="20">
        <f>IF('1. Yixian'!G98="","",IF('1. Yixian'!G98='2. Nayoung'!G98,1,0))</f>
        <v>1</v>
      </c>
      <c r="H98" s="20">
        <f>IF('1. Yixian'!J98="","",IF(RIGHT('1. Yixian'!J98,3)=RIGHT('2. Nayoung'!J98,3),1,0))</f>
        <v>0</v>
      </c>
      <c r="I98" s="20">
        <f>IF(H98="","",IF(OR('2. Nayoung'!K98="", '1. Yixian'!K98 = ""),0,1))</f>
        <v>1</v>
      </c>
      <c r="J98" s="20">
        <f>IF('1. Yixian'!L98="","",IF('1. Yixian'!L98='2. Nayoung'!L98,1,0))</f>
        <v>1</v>
      </c>
      <c r="K98" s="20">
        <f>IF('1. Yixian'!M98="","",IF('1. Yixian'!M98='2. Nayoung'!M98,1,0))</f>
        <v>1</v>
      </c>
      <c r="L98" s="20">
        <f>IF('1. Yixian'!N98="","",IF('1. Yixian'!N98='2. Nayoung'!N98,1,0))</f>
        <v>1</v>
      </c>
      <c r="M98" s="20">
        <f>IF('1. Yixian'!O98="","",IF('1. Yixian'!O98='2. Nayoung'!O98,1,0))</f>
        <v>1</v>
      </c>
      <c r="N98" s="20">
        <f>IF('1. Yixian'!P98="","",IF('1. Yixian'!P98='2. Nayoung'!P98,1,0))</f>
        <v>1</v>
      </c>
      <c r="O98" s="20">
        <f>IF('1. Yixian'!Q98="","",IF('1. Yixian'!Q98='2. Nayoung'!Q98,1,0))</f>
        <v>1</v>
      </c>
      <c r="P98" s="20">
        <f>IF('1. Yixian'!R98="","",IF('1. Yixian'!R98='2. Nayoung'!R98,1,0))</f>
        <v>1</v>
      </c>
      <c r="Q98" s="20">
        <f>IF('1. Yixian'!S98="","",IF('1. Yixian'!S98='2. Nayoung'!S98,1,0))</f>
        <v>1</v>
      </c>
      <c r="R98" s="20">
        <f>IF('1. Yixian'!T98="","",IF('1. Yixian'!T98='2. Nayoung'!T98,1,0))</f>
        <v>1</v>
      </c>
      <c r="S98" s="20">
        <f>IF(R98="","",IF(OR('2. Nayoung'!U98="", '1. Yixian'!U98 = ""),0,1))</f>
        <v>1</v>
      </c>
      <c r="T98" s="20">
        <f>IF('1. Yixian'!V98="","",IF('1. Yixian'!V98='2. Nayoung'!V98,1,0))</f>
        <v>1</v>
      </c>
      <c r="U98" s="20">
        <f>IF('1. Yixian'!W98="","",IF('1. Yixian'!W98='2. Nayoung'!W98,1,0))</f>
        <v>1</v>
      </c>
      <c r="V98" s="20">
        <f>IF('1. Yixian'!X98="","",IF('1. Yixian'!X98='2. Nayoung'!X98,1,0))</f>
        <v>1</v>
      </c>
      <c r="W98" s="20">
        <f>IF('1. Yixian'!Y98="","",IF('1. Yixian'!Y98='2. Nayoung'!Y98,1,0))</f>
        <v>1</v>
      </c>
      <c r="X98" s="20">
        <f>IF('1. Yixian'!Z98="","",IF('1. Yixian'!Z98='2. Nayoung'!Z98,1,0))</f>
        <v>1</v>
      </c>
      <c r="Y98" s="20">
        <f>IF('1. Yixian'!AA98="","",IF('1. Yixian'!AA98='2. Nayoung'!AA98,1,0))</f>
        <v>1</v>
      </c>
      <c r="Z98" s="20">
        <f>IF('1. Yixian'!AB98="","",IF('1. Yixian'!AB98='2. Nayoung'!AB98,1,0))</f>
        <v>1</v>
      </c>
      <c r="AA98" s="20">
        <f>IF('1. Yixian'!AC98="","",IF('1. Yixian'!AC98='2. Nayoung'!AC98,1,0))</f>
        <v>1</v>
      </c>
      <c r="AB98" s="20">
        <f>IF(OR('2. Nayoung'!AD97="", '1. Yixian'!AD98 = ""),0,1)</f>
        <v>1</v>
      </c>
      <c r="AC98" s="20">
        <f>IF('1. Yixian'!AE98="","",IF('1. Yixian'!AE98='2. Nayoung'!AE98,1,0))</f>
        <v>1</v>
      </c>
      <c r="AD98" s="20">
        <f>IF(OR('2. Nayoung'!AF97="", '1. Yixian'!AF98 = ""),0,1)</f>
        <v>0</v>
      </c>
      <c r="AF98" s="20">
        <f>IF('1. Yixian'!AH98="","",IF('1. Yixian'!AH98='2. Nayoung'!AH98,1,0))</f>
        <v>1</v>
      </c>
      <c r="AG98" s="20">
        <f>IF('1. Yixian'!AI98="","",IF('1. Yixian'!AI98='2. Nayoung'!AI98,1,0))</f>
        <v>1</v>
      </c>
      <c r="AH98" s="20">
        <f>IF('1. Yixian'!AJ98="","",IF('1. Yixian'!AJ98='2. Nayoung'!AJ98,1,0))</f>
        <v>1</v>
      </c>
      <c r="AI98" s="20">
        <f>IF('1. Yixian'!AK98="","",IF('1. Yixian'!AK98='2. Nayoung'!AK98,1,0))</f>
        <v>1</v>
      </c>
      <c r="AJ98" s="20">
        <f>IF('1. Yixian'!AL98="","",IF('1. Yixian'!AL98='2. Nayoung'!AL98,1,0))</f>
        <v>1</v>
      </c>
      <c r="AK98" s="20">
        <f>IF('1. Yixian'!AM98="","",IF('1. Yixian'!AM98='2. Nayoung'!AM98,1,0))</f>
        <v>1</v>
      </c>
      <c r="AL98" s="20" t="str">
        <f>IF('1. Yixian'!AT98="","",IF('1. Yixian'!AT98='2. Nayoung'!AT98,1,0))</f>
        <v/>
      </c>
      <c r="AM98" s="20" t="e">
        <f>IF('1. Yixian'!AU98="","",IF('1. Yixian'!AU98='2. Nayoung'!#REF!,1,0))</f>
        <v>#REF!</v>
      </c>
      <c r="AN98" s="2"/>
    </row>
    <row r="99" spans="1:40" s="20" customFormat="1" ht="17" hidden="1" customHeight="1">
      <c r="A99" s="20" t="str">
        <f>IF('1. Yixian'!A99="","",IF('1. Yixian'!A99='2. Nayoung'!A99,1,0))</f>
        <v/>
      </c>
      <c r="B99" s="20" t="str">
        <f>IF('1. Yixian'!B99="","",IF(RIGHT('1. Yixian'!B99,2)=RIGHT('2. Nayoung'!B99,2),1,0))</f>
        <v/>
      </c>
      <c r="C99" s="20" t="str">
        <f>IF('1. Yixian'!C99="","",IF('1. Yixian'!C99='2. Nayoung'!C99,1,0))</f>
        <v/>
      </c>
      <c r="E99" s="20" t="str">
        <f>IF('1. Yixian'!E99="","",IF('1. Yixian'!E99='2. Nayoung'!E99,1,0))</f>
        <v/>
      </c>
      <c r="F99" s="20" t="str">
        <f>IF('1. Yixian'!F99="","",IF('1. Yixian'!F99='2. Nayoung'!F99,1,0))</f>
        <v/>
      </c>
      <c r="G99" s="20" t="str">
        <f>IF('1. Yixian'!G99="","",IF('1. Yixian'!G99='2. Nayoung'!G99,1,0))</f>
        <v/>
      </c>
      <c r="H99" s="20">
        <f>IF('1. Yixian'!J99="","",IF(RIGHT('1. Yixian'!J99,3)=RIGHT('2. Nayoung'!J99,3),1,0))</f>
        <v>0</v>
      </c>
      <c r="I99" s="20">
        <f>IF(H99="","",IF(OR('2. Nayoung'!K99="", '1. Yixian'!K99 = ""),0,1))</f>
        <v>1</v>
      </c>
      <c r="J99" s="20">
        <f>IF('1. Yixian'!L99="","",IF('1. Yixian'!L99='2. Nayoung'!L99,1,0))</f>
        <v>1</v>
      </c>
      <c r="K99" s="20">
        <f>IF('1. Yixian'!M99="","",IF('1. Yixian'!M99='2. Nayoung'!M99,1,0))</f>
        <v>1</v>
      </c>
      <c r="L99" s="20">
        <f>IF('1. Yixian'!N99="","",IF('1. Yixian'!N99='2. Nayoung'!N99,1,0))</f>
        <v>1</v>
      </c>
      <c r="M99" s="20">
        <f>IF('1. Yixian'!O99="","",IF('1. Yixian'!O99='2. Nayoung'!O99,1,0))</f>
        <v>1</v>
      </c>
      <c r="N99" s="20">
        <f>IF('1. Yixian'!P99="","",IF('1. Yixian'!P99='2. Nayoung'!P99,1,0))</f>
        <v>1</v>
      </c>
      <c r="O99" s="20">
        <f>IF('1. Yixian'!Q99="","",IF('1. Yixian'!Q99='2. Nayoung'!Q99,1,0))</f>
        <v>1</v>
      </c>
      <c r="P99" s="20">
        <f>IF('1. Yixian'!R99="","",IF('1. Yixian'!R99='2. Nayoung'!R99,1,0))</f>
        <v>1</v>
      </c>
      <c r="Q99" s="20">
        <f>IF('1. Yixian'!S99="","",IF('1. Yixian'!S99='2. Nayoung'!S99,1,0))</f>
        <v>1</v>
      </c>
      <c r="R99" s="20">
        <f>IF('1. Yixian'!T99="","",IF('1. Yixian'!T99='2. Nayoung'!T99,1,0))</f>
        <v>1</v>
      </c>
      <c r="S99" s="20">
        <f>IF(R99="","",IF(OR('2. Nayoung'!U99="", '1. Yixian'!U99 = ""),0,1))</f>
        <v>1</v>
      </c>
      <c r="T99" s="20">
        <f>IF('1. Yixian'!V99="","",IF('1. Yixian'!V99='2. Nayoung'!V99,1,0))</f>
        <v>1</v>
      </c>
      <c r="U99" s="20">
        <f>IF('1. Yixian'!W99="","",IF('1. Yixian'!W99='2. Nayoung'!W99,1,0))</f>
        <v>1</v>
      </c>
      <c r="V99" s="20">
        <f>IF('1. Yixian'!X99="","",IF('1. Yixian'!X99='2. Nayoung'!X99,1,0))</f>
        <v>1</v>
      </c>
      <c r="W99" s="20">
        <f>IF('1. Yixian'!Y99="","",IF('1. Yixian'!Y99='2. Nayoung'!Y99,1,0))</f>
        <v>1</v>
      </c>
      <c r="X99" s="20">
        <f>IF('1. Yixian'!Z99="","",IF('1. Yixian'!Z99='2. Nayoung'!Z99,1,0))</f>
        <v>1</v>
      </c>
      <c r="Y99" s="20">
        <f>IF('1. Yixian'!AA99="","",IF('1. Yixian'!AA99='2. Nayoung'!AA99,1,0))</f>
        <v>1</v>
      </c>
      <c r="Z99" s="20">
        <f>IF('1. Yixian'!AB99="","",IF('1. Yixian'!AB99='2. Nayoung'!AB99,1,0))</f>
        <v>1</v>
      </c>
      <c r="AA99" s="20">
        <f>IF('1. Yixian'!AC99="","",IF('1. Yixian'!AC99='2. Nayoung'!AC99,1,0))</f>
        <v>1</v>
      </c>
      <c r="AB99" s="20">
        <f>IF(OR('2. Nayoung'!AD98="", '1. Yixian'!AD99 = ""),0,1)</f>
        <v>1</v>
      </c>
      <c r="AC99" s="20">
        <f>IF('1. Yixian'!AE99="","",IF('1. Yixian'!AE99='2. Nayoung'!AE99,1,0))</f>
        <v>1</v>
      </c>
      <c r="AD99" s="20">
        <f>IF(OR('2. Nayoung'!AF98="", '1. Yixian'!AF99 = ""),0,1)</f>
        <v>1</v>
      </c>
      <c r="AF99" s="20">
        <f>IF('1. Yixian'!AH99="","",IF('1. Yixian'!AH99='2. Nayoung'!AH99,1,0))</f>
        <v>1</v>
      </c>
      <c r="AG99" s="20">
        <f>IF('1. Yixian'!AI99="","",IF('1. Yixian'!AI99='2. Nayoung'!AI99,1,0))</f>
        <v>1</v>
      </c>
      <c r="AH99" s="20">
        <f>IF('1. Yixian'!AJ99="","",IF('1. Yixian'!AJ99='2. Nayoung'!AJ99,1,0))</f>
        <v>1</v>
      </c>
      <c r="AI99" s="20">
        <f>IF('1. Yixian'!AK99="","",IF('1. Yixian'!AK99='2. Nayoung'!AK99,1,0))</f>
        <v>1</v>
      </c>
      <c r="AJ99" s="20">
        <f>IF('1. Yixian'!AL99="","",IF('1. Yixian'!AL99='2. Nayoung'!AL99,1,0))</f>
        <v>1</v>
      </c>
      <c r="AK99" s="20">
        <f>IF('1. Yixian'!AM99="","",IF('1. Yixian'!AM99='2. Nayoung'!AM99,1,0))</f>
        <v>1</v>
      </c>
      <c r="AL99" s="20" t="str">
        <f>IF('1. Yixian'!AT99="","",IF('1. Yixian'!AT99='2. Nayoung'!AT99,1,0))</f>
        <v/>
      </c>
      <c r="AM99" s="20" t="e">
        <f>IF('1. Yixian'!AU99="","",IF('1. Yixian'!AU99='2. Nayoung'!#REF!,1,0))</f>
        <v>#REF!</v>
      </c>
      <c r="AN99" s="2"/>
    </row>
    <row r="100" spans="1:40" s="20" customFormat="1" ht="17" hidden="1" customHeight="1">
      <c r="A100" s="20" t="str">
        <f>IF('1. Yixian'!A100="","",IF('1. Yixian'!A100='2. Nayoung'!A100,1,0))</f>
        <v/>
      </c>
      <c r="B100" s="20" t="str">
        <f>IF('1. Yixian'!B100="","",IF(RIGHT('1. Yixian'!B100,2)=RIGHT('2. Nayoung'!B100,2),1,0))</f>
        <v/>
      </c>
      <c r="C100" s="20" t="str">
        <f>IF('1. Yixian'!C100="","",IF('1. Yixian'!C100='2. Nayoung'!C100,1,0))</f>
        <v/>
      </c>
      <c r="E100" s="20" t="str">
        <f>IF('1. Yixian'!E100="","",IF('1. Yixian'!E100='2. Nayoung'!E100,1,0))</f>
        <v/>
      </c>
      <c r="F100" s="20" t="str">
        <f>IF('1. Yixian'!F100="","",IF('1. Yixian'!F100='2. Nayoung'!F100,1,0))</f>
        <v/>
      </c>
      <c r="G100" s="20" t="str">
        <f>IF('1. Yixian'!G100="","",IF('1. Yixian'!G100='2. Nayoung'!G100,1,0))</f>
        <v/>
      </c>
      <c r="H100" s="20">
        <f>IF('1. Yixian'!J100="","",IF(RIGHT('1. Yixian'!J100,3)=RIGHT('2. Nayoung'!J100,3),1,0))</f>
        <v>0</v>
      </c>
      <c r="I100" s="20">
        <f>IF(H100="","",IF(OR('2. Nayoung'!K100="", '1. Yixian'!K100 = ""),0,1))</f>
        <v>1</v>
      </c>
      <c r="J100" s="20">
        <f>IF('1. Yixian'!L100="","",IF('1. Yixian'!L100='2. Nayoung'!L100,1,0))</f>
        <v>1</v>
      </c>
      <c r="K100" s="20">
        <f>IF('1. Yixian'!M100="","",IF('1. Yixian'!M100='2. Nayoung'!M100,1,0))</f>
        <v>1</v>
      </c>
      <c r="L100" s="20">
        <f>IF('1. Yixian'!N100="","",IF('1. Yixian'!N100='2. Nayoung'!N100,1,0))</f>
        <v>1</v>
      </c>
      <c r="M100" s="20">
        <f>IF('1. Yixian'!O100="","",IF('1. Yixian'!O100='2. Nayoung'!O100,1,0))</f>
        <v>1</v>
      </c>
      <c r="N100" s="20">
        <f>IF('1. Yixian'!P100="","",IF('1. Yixian'!P100='2. Nayoung'!P100,1,0))</f>
        <v>1</v>
      </c>
      <c r="O100" s="20">
        <f>IF('1. Yixian'!Q100="","",IF('1. Yixian'!Q100='2. Nayoung'!Q100,1,0))</f>
        <v>1</v>
      </c>
      <c r="P100" s="20">
        <f>IF('1. Yixian'!R100="","",IF('1. Yixian'!R100='2. Nayoung'!R100,1,0))</f>
        <v>1</v>
      </c>
      <c r="Q100" s="20">
        <f>IF('1. Yixian'!S100="","",IF('1. Yixian'!S100='2. Nayoung'!S100,1,0))</f>
        <v>1</v>
      </c>
      <c r="R100" s="20">
        <f>IF('1. Yixian'!T100="","",IF('1. Yixian'!T100='2. Nayoung'!T100,1,0))</f>
        <v>1</v>
      </c>
      <c r="S100" s="20">
        <f>IF(R100="","",IF(OR('2. Nayoung'!U100="", '1. Yixian'!U100 = ""),0,1))</f>
        <v>1</v>
      </c>
      <c r="T100" s="20">
        <f>IF('1. Yixian'!V100="","",IF('1. Yixian'!V100='2. Nayoung'!V100,1,0))</f>
        <v>1</v>
      </c>
      <c r="U100" s="20">
        <f>IF('1. Yixian'!W100="","",IF('1. Yixian'!W100='2. Nayoung'!W100,1,0))</f>
        <v>1</v>
      </c>
      <c r="V100" s="20">
        <f>IF('1. Yixian'!X100="","",IF('1. Yixian'!X100='2. Nayoung'!X100,1,0))</f>
        <v>1</v>
      </c>
      <c r="W100" s="20">
        <f>IF('1. Yixian'!Y100="","",IF('1. Yixian'!Y100='2. Nayoung'!Y100,1,0))</f>
        <v>1</v>
      </c>
      <c r="X100" s="20">
        <f>IF('1. Yixian'!Z100="","",IF('1. Yixian'!Z100='2. Nayoung'!Z100,1,0))</f>
        <v>1</v>
      </c>
      <c r="Y100" s="20">
        <f>IF('1. Yixian'!AA100="","",IF('1. Yixian'!AA100='2. Nayoung'!AA100,1,0))</f>
        <v>1</v>
      </c>
      <c r="Z100" s="20">
        <f>IF('1. Yixian'!AB100="","",IF('1. Yixian'!AB100='2. Nayoung'!AB100,1,0))</f>
        <v>1</v>
      </c>
      <c r="AA100" s="20">
        <f>IF('1. Yixian'!AC100="","",IF('1. Yixian'!AC100='2. Nayoung'!AC100,1,0))</f>
        <v>1</v>
      </c>
      <c r="AB100" s="20">
        <f>IF(OR('2. Nayoung'!AD99="", '1. Yixian'!AD100 = ""),0,1)</f>
        <v>1</v>
      </c>
      <c r="AC100" s="20">
        <f>IF('1. Yixian'!AE100="","",IF('1. Yixian'!AE100='2. Nayoung'!AE100,1,0))</f>
        <v>1</v>
      </c>
      <c r="AD100" s="20">
        <f>IF(OR('2. Nayoung'!AF99="", '1. Yixian'!AF100 = ""),0,1)</f>
        <v>0</v>
      </c>
      <c r="AF100" s="20">
        <f>IF('1. Yixian'!AH100="","",IF('1. Yixian'!AH100='2. Nayoung'!AH100,1,0))</f>
        <v>1</v>
      </c>
      <c r="AG100" s="20">
        <f>IF('1. Yixian'!AI100="","",IF('1. Yixian'!AI100='2. Nayoung'!AI100,1,0))</f>
        <v>1</v>
      </c>
      <c r="AH100" s="20">
        <f>IF('1. Yixian'!AJ100="","",IF('1. Yixian'!AJ100='2. Nayoung'!AJ100,1,0))</f>
        <v>1</v>
      </c>
      <c r="AI100" s="20">
        <f>IF('1. Yixian'!AK100="","",IF('1. Yixian'!AK100='2. Nayoung'!AK100,1,0))</f>
        <v>1</v>
      </c>
      <c r="AJ100" s="20">
        <f>IF('1. Yixian'!AL100="","",IF('1. Yixian'!AL100='2. Nayoung'!AL100,1,0))</f>
        <v>1</v>
      </c>
      <c r="AK100" s="20">
        <f>IF('1. Yixian'!AM100="","",IF('1. Yixian'!AM100='2. Nayoung'!AM100,1,0))</f>
        <v>1</v>
      </c>
      <c r="AL100" s="20" t="str">
        <f>IF('1. Yixian'!AT100="","",IF('1. Yixian'!AT100='2. Nayoung'!AT100,1,0))</f>
        <v/>
      </c>
      <c r="AM100" s="20" t="e">
        <f>IF('1. Yixian'!AU100="","",IF('1. Yixian'!AU100='2. Nayoung'!#REF!,1,0))</f>
        <v>#REF!</v>
      </c>
      <c r="AN100" s="2"/>
    </row>
    <row r="101" spans="1:40" s="20" customFormat="1" ht="17" hidden="1" customHeight="1">
      <c r="A101" s="20">
        <f>IF('1. Yixian'!A101="","",IF('1. Yixian'!A101='2. Nayoung'!A101,1,0))</f>
        <v>1</v>
      </c>
      <c r="B101" s="20">
        <f>IF('1. Yixian'!B101="","",IF(RIGHT('1. Yixian'!B101,2)=RIGHT('2. Nayoung'!B101,2),1,0))</f>
        <v>1</v>
      </c>
      <c r="C101" s="20">
        <f>IF('1. Yixian'!C101="","",IF('1. Yixian'!C101='2. Nayoung'!C101,1,0))</f>
        <v>1</v>
      </c>
      <c r="E101" s="20">
        <f>IF('1. Yixian'!E101="","",IF('1. Yixian'!E101='2. Nayoung'!E101,1,0))</f>
        <v>1</v>
      </c>
      <c r="F101" s="20">
        <f>IF('1. Yixian'!F101="","",IF('1. Yixian'!F101='2. Nayoung'!F101,1,0))</f>
        <v>1</v>
      </c>
      <c r="G101" s="20">
        <f>IF('1. Yixian'!G101="","",IF('1. Yixian'!G101='2. Nayoung'!G101,1,0))</f>
        <v>1</v>
      </c>
      <c r="H101" s="20">
        <f>IF('1. Yixian'!J101="","",IF(RIGHT('1. Yixian'!J101,3)=RIGHT('2. Nayoung'!J101,3),1,0))</f>
        <v>0</v>
      </c>
      <c r="I101" s="20">
        <f>IF(H101="","",IF(OR('2. Nayoung'!K101="", '1. Yixian'!K101 = ""),0,1))</f>
        <v>1</v>
      </c>
      <c r="J101" s="20">
        <f>IF('1. Yixian'!L101="","",IF('1. Yixian'!L101='2. Nayoung'!L101,1,0))</f>
        <v>1</v>
      </c>
      <c r="K101" s="20">
        <f>IF('1. Yixian'!M101="","",IF('1. Yixian'!M101='2. Nayoung'!M101,1,0))</f>
        <v>1</v>
      </c>
      <c r="L101" s="20">
        <f>IF('1. Yixian'!N101="","",IF('1. Yixian'!N101='2. Nayoung'!N101,1,0))</f>
        <v>1</v>
      </c>
      <c r="M101" s="20">
        <f>IF('1. Yixian'!O101="","",IF('1. Yixian'!O101='2. Nayoung'!O101,1,0))</f>
        <v>1</v>
      </c>
      <c r="N101" s="20">
        <f>IF('1. Yixian'!P101="","",IF('1. Yixian'!P101='2. Nayoung'!P101,1,0))</f>
        <v>1</v>
      </c>
      <c r="O101" s="20">
        <f>IF('1. Yixian'!Q101="","",IF('1. Yixian'!Q101='2. Nayoung'!Q101,1,0))</f>
        <v>1</v>
      </c>
      <c r="P101" s="101">
        <v>1</v>
      </c>
      <c r="Q101" s="20">
        <f>IF('1. Yixian'!S101="","",IF('1. Yixian'!S101='2. Nayoung'!S101,1,0))</f>
        <v>1</v>
      </c>
      <c r="R101" s="20">
        <f>IF('1. Yixian'!T101="","",IF('1. Yixian'!T101='2. Nayoung'!T101,1,0))</f>
        <v>1</v>
      </c>
      <c r="S101" s="20">
        <f>IF(R101="","",IF(OR('2. Nayoung'!U101="", '1. Yixian'!U101 = ""),0,1))</f>
        <v>1</v>
      </c>
      <c r="T101" s="20">
        <f>IF('1. Yixian'!V101="","",IF('1. Yixian'!V101='2. Nayoung'!V101,1,0))</f>
        <v>1</v>
      </c>
      <c r="U101" s="20">
        <f>IF('1. Yixian'!W101="","",IF('1. Yixian'!W101='2. Nayoung'!W101,1,0))</f>
        <v>1</v>
      </c>
      <c r="V101" s="20">
        <f>IF('1. Yixian'!X101="","",IF('1. Yixian'!X101='2. Nayoung'!X101,1,0))</f>
        <v>1</v>
      </c>
      <c r="W101" s="20">
        <f>IF('1. Yixian'!Y101="","",IF('1. Yixian'!Y101='2. Nayoung'!Y101,1,0))</f>
        <v>1</v>
      </c>
      <c r="X101" s="20">
        <f>IF('1. Yixian'!Z101="","",IF('1. Yixian'!Z101='2. Nayoung'!Z101,1,0))</f>
        <v>1</v>
      </c>
      <c r="Y101" s="20">
        <f>IF('1. Yixian'!AA101="","",IF('1. Yixian'!AA101='2. Nayoung'!AA101,1,0))</f>
        <v>1</v>
      </c>
      <c r="Z101" s="20">
        <f>IF('1. Yixian'!AB101="","",IF('1. Yixian'!AB101='2. Nayoung'!AB101,1,0))</f>
        <v>1</v>
      </c>
      <c r="AA101" s="20">
        <f>IF('1. Yixian'!AC101="","",IF('1. Yixian'!AC101='2. Nayoung'!AC101,1,0))</f>
        <v>1</v>
      </c>
      <c r="AB101" s="20">
        <f>IF(OR('2. Nayoung'!AD100="", '1. Yixian'!AD101 = ""),0,1)</f>
        <v>1</v>
      </c>
      <c r="AC101" s="20">
        <f>IF('1. Yixian'!AE101="","",IF('1. Yixian'!AE101='2. Nayoung'!AE101,1,0))</f>
        <v>1</v>
      </c>
      <c r="AD101" s="20">
        <f>IF(OR('2. Nayoung'!AF100="", '1. Yixian'!AF101 = ""),0,1)</f>
        <v>0</v>
      </c>
      <c r="AF101" s="20">
        <f>IF('1. Yixian'!AH101="","",IF('1. Yixian'!AH101='2. Nayoung'!AH101,1,0))</f>
        <v>1</v>
      </c>
      <c r="AG101" s="20">
        <f>IF('1. Yixian'!AI101="","",IF('1. Yixian'!AI101='2. Nayoung'!AI101,1,0))</f>
        <v>1</v>
      </c>
      <c r="AH101" s="20">
        <f>IF('1. Yixian'!AJ101="","",IF('1. Yixian'!AJ101='2. Nayoung'!AJ101,1,0))</f>
        <v>1</v>
      </c>
      <c r="AI101" s="20">
        <f>IF('1. Yixian'!AK101="","",IF('1. Yixian'!AK101='2. Nayoung'!AK101,1,0))</f>
        <v>1</v>
      </c>
      <c r="AJ101" s="20">
        <f>IF('1. Yixian'!AL101="","",IF('1. Yixian'!AL101='2. Nayoung'!AL101,1,0))</f>
        <v>1</v>
      </c>
      <c r="AK101" s="20">
        <f>IF('1. Yixian'!AM101="","",IF('1. Yixian'!AM101='2. Nayoung'!AM101,1,0))</f>
        <v>1</v>
      </c>
      <c r="AL101" s="20" t="str">
        <f>IF('1. Yixian'!AT101="","",IF('1. Yixian'!AT101='2. Nayoung'!AT101,1,0))</f>
        <v/>
      </c>
      <c r="AM101" s="20" t="e">
        <f>IF('1. Yixian'!AU101="","",IF('1. Yixian'!AU101='2. Nayoung'!#REF!,1,0))</f>
        <v>#REF!</v>
      </c>
      <c r="AN101" s="2"/>
    </row>
    <row r="102" spans="1:40" s="20" customFormat="1" ht="17" hidden="1" customHeight="1">
      <c r="A102" s="20" t="str">
        <f>IF('1. Yixian'!A102="","",IF('1. Yixian'!A102='2. Nayoung'!A102,1,0))</f>
        <v/>
      </c>
      <c r="B102" s="20" t="str">
        <f>IF('1. Yixian'!B102="","",IF(RIGHT('1. Yixian'!B102,2)=RIGHT('2. Nayoung'!B102,2),1,0))</f>
        <v/>
      </c>
      <c r="C102" s="20" t="str">
        <f>IF('1. Yixian'!C102="","",IF('1. Yixian'!C102='2. Nayoung'!C102,1,0))</f>
        <v/>
      </c>
      <c r="E102" s="20" t="str">
        <f>IF('1. Yixian'!E102="","",IF('1. Yixian'!E102='2. Nayoung'!E102,1,0))</f>
        <v/>
      </c>
      <c r="F102" s="20" t="str">
        <f>IF('1. Yixian'!F102="","",IF('1. Yixian'!F102='2. Nayoung'!F102,1,0))</f>
        <v/>
      </c>
      <c r="G102" s="20" t="str">
        <f>IF('1. Yixian'!G102="","",IF('1. Yixian'!G102='2. Nayoung'!G102,1,0))</f>
        <v/>
      </c>
      <c r="H102" s="20">
        <f>IF('1. Yixian'!J102="","",IF(RIGHT('1. Yixian'!J102,3)=RIGHT('2. Nayoung'!J102,3),1,0))</f>
        <v>0</v>
      </c>
      <c r="I102" s="20">
        <f>IF(H102="","",IF(OR('2. Nayoung'!K102="", '1. Yixian'!K102 = ""),0,1))</f>
        <v>1</v>
      </c>
      <c r="J102" s="20">
        <f>IF('1. Yixian'!L102="","",IF('1. Yixian'!L102='2. Nayoung'!L102,1,0))</f>
        <v>1</v>
      </c>
      <c r="K102" s="20">
        <f>IF('1. Yixian'!M102="","",IF('1. Yixian'!M102='2. Nayoung'!M102,1,0))</f>
        <v>1</v>
      </c>
      <c r="L102" s="20">
        <f>IF('1. Yixian'!N102="","",IF('1. Yixian'!N102='2. Nayoung'!N102,1,0))</f>
        <v>1</v>
      </c>
      <c r="M102" s="20">
        <f>IF('1. Yixian'!O102="","",IF('1. Yixian'!O102='2. Nayoung'!O102,1,0))</f>
        <v>1</v>
      </c>
      <c r="N102" s="20">
        <f>IF('1. Yixian'!P102="","",IF('1. Yixian'!P102='2. Nayoung'!P102,1,0))</f>
        <v>1</v>
      </c>
      <c r="O102" s="20">
        <f>IF('1. Yixian'!Q102="","",IF('1. Yixian'!Q102='2. Nayoung'!Q102,1,0))</f>
        <v>1</v>
      </c>
      <c r="P102" s="101">
        <v>1</v>
      </c>
      <c r="Q102" s="20">
        <f>IF('1. Yixian'!S102="","",IF('1. Yixian'!S102='2. Nayoung'!S102,1,0))</f>
        <v>1</v>
      </c>
      <c r="R102" s="20">
        <f>IF('1. Yixian'!T102="","",IF('1. Yixian'!T102='2. Nayoung'!T102,1,0))</f>
        <v>1</v>
      </c>
      <c r="S102" s="20">
        <f>IF(R102="","",IF(OR('2. Nayoung'!U102="", '1. Yixian'!U102 = ""),0,1))</f>
        <v>1</v>
      </c>
      <c r="T102" s="20">
        <f>IF('1. Yixian'!V102="","",IF('1. Yixian'!V102='2. Nayoung'!V102,1,0))</f>
        <v>1</v>
      </c>
      <c r="U102" s="20">
        <f>IF('1. Yixian'!W102="","",IF('1. Yixian'!W102='2. Nayoung'!W102,1,0))</f>
        <v>1</v>
      </c>
      <c r="V102" s="20">
        <f>IF('1. Yixian'!X102="","",IF('1. Yixian'!X102='2. Nayoung'!X102,1,0))</f>
        <v>1</v>
      </c>
      <c r="W102" s="20">
        <f>IF('1. Yixian'!Y102="","",IF('1. Yixian'!Y102='2. Nayoung'!Y102,1,0))</f>
        <v>1</v>
      </c>
      <c r="X102" s="20">
        <f>IF('1. Yixian'!Z102="","",IF('1. Yixian'!Z102='2. Nayoung'!Z102,1,0))</f>
        <v>1</v>
      </c>
      <c r="Y102" s="20">
        <f>IF('1. Yixian'!AA102="","",IF('1. Yixian'!AA102='2. Nayoung'!AA102,1,0))</f>
        <v>1</v>
      </c>
      <c r="Z102" s="20">
        <f>IF('1. Yixian'!AB102="","",IF('1. Yixian'!AB102='2. Nayoung'!AB102,1,0))</f>
        <v>1</v>
      </c>
      <c r="AA102" s="20">
        <f>IF('1. Yixian'!AC102="","",IF('1. Yixian'!AC102='2. Nayoung'!AC102,1,0))</f>
        <v>1</v>
      </c>
      <c r="AB102" s="20">
        <f>IF(OR('2. Nayoung'!AD101="", '1. Yixian'!AD102 = ""),0,1)</f>
        <v>1</v>
      </c>
      <c r="AC102" s="20">
        <f>IF('1. Yixian'!AE102="","",IF('1. Yixian'!AE102='2. Nayoung'!AE102,1,0))</f>
        <v>1</v>
      </c>
      <c r="AD102" s="20">
        <f>IF(OR('2. Nayoung'!AF101="", '1. Yixian'!AF102 = ""),0,1)</f>
        <v>1</v>
      </c>
      <c r="AF102" s="20">
        <f>IF('1. Yixian'!AH102="","",IF('1. Yixian'!AH102='2. Nayoung'!AH102,1,0))</f>
        <v>1</v>
      </c>
      <c r="AG102" s="20">
        <f>IF('1. Yixian'!AI102="","",IF('1. Yixian'!AI102='2. Nayoung'!AI102,1,0))</f>
        <v>1</v>
      </c>
      <c r="AH102" s="20">
        <f>IF('1. Yixian'!AJ102="","",IF('1. Yixian'!AJ102='2. Nayoung'!AJ102,1,0))</f>
        <v>1</v>
      </c>
      <c r="AI102" s="20">
        <f>IF('1. Yixian'!AK102="","",IF('1. Yixian'!AK102='2. Nayoung'!AK102,1,0))</f>
        <v>0</v>
      </c>
      <c r="AJ102" s="20">
        <f>IF('1. Yixian'!AL102="","",IF('1. Yixian'!AL102='2. Nayoung'!AL102,1,0))</f>
        <v>1</v>
      </c>
      <c r="AK102" s="20">
        <f>IF('1. Yixian'!AM102="","",IF('1. Yixian'!AM102='2. Nayoung'!AM102,1,0))</f>
        <v>1</v>
      </c>
      <c r="AL102" s="20" t="str">
        <f>IF('1. Yixian'!AT102="","",IF('1. Yixian'!AT102='2. Nayoung'!AT102,1,0))</f>
        <v/>
      </c>
      <c r="AM102" s="20" t="e">
        <f>IF('1. Yixian'!AU102="","",IF('1. Yixian'!AU102='2. Nayoung'!#REF!,1,0))</f>
        <v>#REF!</v>
      </c>
      <c r="AN102" s="2"/>
    </row>
    <row r="103" spans="1:40" s="20" customFormat="1" ht="17" hidden="1" customHeight="1">
      <c r="A103" s="20">
        <f>IF('1. Yixian'!A103="","",IF('1. Yixian'!A103='2. Nayoung'!A103,1,0))</f>
        <v>1</v>
      </c>
      <c r="B103" s="20">
        <f>IF('1. Yixian'!B103="","",IF(RIGHT('1. Yixian'!B103,2)=RIGHT('2. Nayoung'!B103,2),1,0))</f>
        <v>0</v>
      </c>
      <c r="C103" s="20">
        <f>IF('1. Yixian'!C103="","",IF('1. Yixian'!C103='2. Nayoung'!C103,1,0))</f>
        <v>1</v>
      </c>
      <c r="E103" s="20">
        <f>IF('1. Yixian'!E103="","",IF('1. Yixian'!E103='2. Nayoung'!E103,1,0))</f>
        <v>1</v>
      </c>
      <c r="F103" s="20">
        <f>IF('1. Yixian'!F103="","",IF('1. Yixian'!F103='2. Nayoung'!F103,1,0))</f>
        <v>1</v>
      </c>
      <c r="G103" s="20">
        <f>IF('1. Yixian'!G103="","",IF('1. Yixian'!G103='2. Nayoung'!G103,1,0))</f>
        <v>1</v>
      </c>
      <c r="H103" s="20">
        <f>IF('1. Yixian'!J103="","",IF(RIGHT('1. Yixian'!J103,3)=RIGHT('2. Nayoung'!J103,3),1,0))</f>
        <v>0</v>
      </c>
      <c r="I103" s="20">
        <f>IF(H103="","",IF(OR('2. Nayoung'!K103="", '1. Yixian'!K103 = ""),0,1))</f>
        <v>1</v>
      </c>
      <c r="J103" s="20">
        <f>IF('1. Yixian'!L103="","",IF('1. Yixian'!L103='2. Nayoung'!L103,1,0))</f>
        <v>1</v>
      </c>
      <c r="K103" s="20">
        <f>IF('1. Yixian'!M103="","",IF('1. Yixian'!M103='2. Nayoung'!M103,1,0))</f>
        <v>1</v>
      </c>
      <c r="L103" s="20">
        <f>IF('1. Yixian'!N103="","",IF('1. Yixian'!N103='2. Nayoung'!N103,1,0))</f>
        <v>1</v>
      </c>
      <c r="M103" s="20">
        <f>IF('1. Yixian'!O103="","",IF('1. Yixian'!O103='2. Nayoung'!O103,1,0))</f>
        <v>1</v>
      </c>
      <c r="N103" s="20">
        <f>IF('1. Yixian'!P103="","",IF('1. Yixian'!P103='2. Nayoung'!P103,1,0))</f>
        <v>1</v>
      </c>
      <c r="O103" s="20">
        <f>IF('1. Yixian'!Q103="","",IF('1. Yixian'!Q103='2. Nayoung'!Q103,1,0))</f>
        <v>1</v>
      </c>
      <c r="P103" s="20">
        <f>IF('1. Yixian'!R103="","",IF('1. Yixian'!R103='2. Nayoung'!R103,1,0))</f>
        <v>1</v>
      </c>
      <c r="Q103" s="20">
        <f>IF('1. Yixian'!S103="","",IF('1. Yixian'!S103='2. Nayoung'!S103,1,0))</f>
        <v>1</v>
      </c>
      <c r="R103" s="20">
        <f>IF('1. Yixian'!T103="","",IF('1. Yixian'!T103='2. Nayoung'!T103,1,0))</f>
        <v>1</v>
      </c>
      <c r="S103" s="20">
        <f>IF(R103="","",IF(OR('2. Nayoung'!U103="", '1. Yixian'!U103 = ""),0,1))</f>
        <v>1</v>
      </c>
      <c r="T103" s="20">
        <f>IF('1. Yixian'!V103="","",IF('1. Yixian'!V103='2. Nayoung'!V103,1,0))</f>
        <v>1</v>
      </c>
      <c r="U103" s="20">
        <f>IF('1. Yixian'!W103="","",IF('1. Yixian'!W103='2. Nayoung'!W103,1,0))</f>
        <v>1</v>
      </c>
      <c r="V103" s="20">
        <f>IF('1. Yixian'!X103="","",IF('1. Yixian'!X103='2. Nayoung'!X103,1,0))</f>
        <v>1</v>
      </c>
      <c r="W103" s="20">
        <f>IF('1. Yixian'!Y103="","",IF('1. Yixian'!Y103='2. Nayoung'!Y103,1,0))</f>
        <v>1</v>
      </c>
      <c r="X103" s="20">
        <f>IF('1. Yixian'!Z103="","",IF('1. Yixian'!Z103='2. Nayoung'!Z103,1,0))</f>
        <v>1</v>
      </c>
      <c r="Y103" s="20">
        <f>IF('1. Yixian'!AA103="","",IF('1. Yixian'!AA103='2. Nayoung'!AA103,1,0))</f>
        <v>1</v>
      </c>
      <c r="Z103" s="20">
        <f>IF('1. Yixian'!AB103="","",IF('1. Yixian'!AB103='2. Nayoung'!AB103,1,0))</f>
        <v>1</v>
      </c>
      <c r="AA103" s="20">
        <f>IF('1. Yixian'!AC103="","",IF('1. Yixian'!AC103='2. Nayoung'!AC103,1,0))</f>
        <v>1</v>
      </c>
      <c r="AB103" s="20">
        <f>IF(OR('2. Nayoung'!AD102="", '1. Yixian'!AD103 = ""),0,1)</f>
        <v>1</v>
      </c>
      <c r="AC103" s="20">
        <f>IF('1. Yixian'!AE103="","",IF('1. Yixian'!AE103='2. Nayoung'!AE103,1,0))</f>
        <v>1</v>
      </c>
      <c r="AD103" s="20">
        <f>IF(OR('2. Nayoung'!AF102="", '1. Yixian'!AF103 = ""),0,1)</f>
        <v>0</v>
      </c>
      <c r="AF103" s="20">
        <f>IF('1. Yixian'!AH103="","",IF('1. Yixian'!AH103='2. Nayoung'!AH103,1,0))</f>
        <v>1</v>
      </c>
      <c r="AG103" s="20">
        <f>IF('1. Yixian'!AI103="","",IF('1. Yixian'!AI103='2. Nayoung'!AI103,1,0))</f>
        <v>1</v>
      </c>
      <c r="AH103" s="20">
        <f>IF('1. Yixian'!AJ103="","",IF('1. Yixian'!AJ103='2. Nayoung'!AJ103,1,0))</f>
        <v>1</v>
      </c>
      <c r="AI103" s="20">
        <f>IF('1. Yixian'!AK103="","",IF('1. Yixian'!AK103='2. Nayoung'!AK103,1,0))</f>
        <v>1</v>
      </c>
      <c r="AJ103" s="20">
        <f>IF('1. Yixian'!AL103="","",IF('1. Yixian'!AL103='2. Nayoung'!AL103,1,0))</f>
        <v>1</v>
      </c>
      <c r="AK103" s="20">
        <f>IF('1. Yixian'!AM103="","",IF('1. Yixian'!AM103='2. Nayoung'!AM103,1,0))</f>
        <v>1</v>
      </c>
      <c r="AL103" s="20" t="str">
        <f>IF('1. Yixian'!AT103="","",IF('1. Yixian'!AT103='2. Nayoung'!AT103,1,0))</f>
        <v/>
      </c>
      <c r="AM103" s="20" t="e">
        <f>IF('1. Yixian'!AU103="","",IF('1. Yixian'!AU103='2. Nayoung'!#REF!,1,0))</f>
        <v>#REF!</v>
      </c>
      <c r="AN103" s="2"/>
    </row>
    <row r="104" spans="1:40" s="20" customFormat="1" ht="17" hidden="1" customHeight="1">
      <c r="A104" s="20" t="str">
        <f>IF('1. Yixian'!A104="","",IF('1. Yixian'!A104='2. Nayoung'!A104,1,0))</f>
        <v/>
      </c>
      <c r="B104" s="20" t="str">
        <f>IF('1. Yixian'!B104="","",IF(RIGHT('1. Yixian'!B104,2)=RIGHT('2. Nayoung'!B104,2),1,0))</f>
        <v/>
      </c>
      <c r="C104" s="20" t="str">
        <f>IF('1. Yixian'!C104="","",IF('1. Yixian'!C104='2. Nayoung'!C104,1,0))</f>
        <v/>
      </c>
      <c r="E104" s="20" t="str">
        <f>IF('1. Yixian'!E104="","",IF('1. Yixian'!E104='2. Nayoung'!E104,1,0))</f>
        <v/>
      </c>
      <c r="F104" s="20" t="str">
        <f>IF('1. Yixian'!F104="","",IF('1. Yixian'!F104='2. Nayoung'!F104,1,0))</f>
        <v/>
      </c>
      <c r="G104" s="20" t="str">
        <f>IF('1. Yixian'!G104="","",IF('1. Yixian'!G104='2. Nayoung'!G104,1,0))</f>
        <v/>
      </c>
      <c r="H104" s="20">
        <f>IF('1. Yixian'!J104="","",IF(RIGHT('1. Yixian'!J104,3)=RIGHT('2. Nayoung'!J104,3),1,0))</f>
        <v>0</v>
      </c>
      <c r="I104" s="20">
        <f>IF(H104="","",IF(OR('2. Nayoung'!K104="", '1. Yixian'!K104 = ""),0,1))</f>
        <v>1</v>
      </c>
      <c r="J104" s="20">
        <f>IF('1. Yixian'!L104="","",IF('1. Yixian'!L104='2. Nayoung'!L104,1,0))</f>
        <v>1</v>
      </c>
      <c r="K104" s="20">
        <f>IF('1. Yixian'!M104="","",IF('1. Yixian'!M104='2. Nayoung'!M104,1,0))</f>
        <v>1</v>
      </c>
      <c r="L104" s="20">
        <f>IF('1. Yixian'!N104="","",IF('1. Yixian'!N104='2. Nayoung'!N104,1,0))</f>
        <v>1</v>
      </c>
      <c r="M104" s="20">
        <f>IF('1. Yixian'!O104="","",IF('1. Yixian'!O104='2. Nayoung'!O104,1,0))</f>
        <v>1</v>
      </c>
      <c r="N104" s="20">
        <f>IF('1. Yixian'!P104="","",IF('1. Yixian'!P104='2. Nayoung'!P104,1,0))</f>
        <v>1</v>
      </c>
      <c r="O104" s="20">
        <f>IF('1. Yixian'!Q104="","",IF('1. Yixian'!Q104='2. Nayoung'!Q104,1,0))</f>
        <v>1</v>
      </c>
      <c r="P104" s="20">
        <f>IF('1. Yixian'!R104="","",IF('1. Yixian'!R104='2. Nayoung'!R104,1,0))</f>
        <v>1</v>
      </c>
      <c r="Q104" s="20">
        <f>IF('1. Yixian'!S104="","",IF('1. Yixian'!S104='2. Nayoung'!S104,1,0))</f>
        <v>1</v>
      </c>
      <c r="R104" s="20">
        <f>IF('1. Yixian'!T104="","",IF('1. Yixian'!T104='2. Nayoung'!T104,1,0))</f>
        <v>1</v>
      </c>
      <c r="S104" s="20">
        <f>IF(R104="","",IF(OR('2. Nayoung'!U104="", '1. Yixian'!U104 = ""),0,1))</f>
        <v>1</v>
      </c>
      <c r="T104" s="20">
        <f>IF('1. Yixian'!V104="","",IF('1. Yixian'!V104='2. Nayoung'!V104,1,0))</f>
        <v>1</v>
      </c>
      <c r="U104" s="20">
        <f>IF('1. Yixian'!W104="","",IF('1. Yixian'!W104='2. Nayoung'!W104,1,0))</f>
        <v>1</v>
      </c>
      <c r="V104" s="20">
        <f>IF('1. Yixian'!X104="","",IF('1. Yixian'!X104='2. Nayoung'!X104,1,0))</f>
        <v>1</v>
      </c>
      <c r="W104" s="20">
        <f>IF('1. Yixian'!Y104="","",IF('1. Yixian'!Y104='2. Nayoung'!Y104,1,0))</f>
        <v>1</v>
      </c>
      <c r="X104" s="20">
        <f>IF('1. Yixian'!Z104="","",IF('1. Yixian'!Z104='2. Nayoung'!Z104,1,0))</f>
        <v>1</v>
      </c>
      <c r="Y104" s="20">
        <f>IF('1. Yixian'!AA104="","",IF('1. Yixian'!AA104='2. Nayoung'!AA104,1,0))</f>
        <v>1</v>
      </c>
      <c r="Z104" s="20">
        <f>IF('1. Yixian'!AB104="","",IF('1. Yixian'!AB104='2. Nayoung'!AB104,1,0))</f>
        <v>1</v>
      </c>
      <c r="AA104" s="20">
        <f>IF('1. Yixian'!AC104="","",IF('1. Yixian'!AC104='2. Nayoung'!AC104,1,0))</f>
        <v>1</v>
      </c>
      <c r="AB104" s="20">
        <f>IF(OR('2. Nayoung'!AD103="", '1. Yixian'!AD104 = ""),0,1)</f>
        <v>1</v>
      </c>
      <c r="AC104" s="20">
        <f>IF('1. Yixian'!AE104="","",IF('1. Yixian'!AE104='2. Nayoung'!AE104,1,0))</f>
        <v>1</v>
      </c>
      <c r="AD104" s="20">
        <f>IF(OR('2. Nayoung'!AF103="", '1. Yixian'!AF104 = ""),0,1)</f>
        <v>1</v>
      </c>
      <c r="AF104" s="20">
        <f>IF('1. Yixian'!AH104="","",IF('1. Yixian'!AH104='2. Nayoung'!AH104,1,0))</f>
        <v>1</v>
      </c>
      <c r="AG104" s="20">
        <f>IF('1. Yixian'!AI104="","",IF('1. Yixian'!AI104='2. Nayoung'!AI104,1,0))</f>
        <v>1</v>
      </c>
      <c r="AH104" s="20">
        <f>IF('1. Yixian'!AJ104="","",IF('1. Yixian'!AJ104='2. Nayoung'!AJ104,1,0))</f>
        <v>1</v>
      </c>
      <c r="AI104" s="20">
        <f>IF('1. Yixian'!AK104="","",IF('1. Yixian'!AK104='2. Nayoung'!AK104,1,0))</f>
        <v>1</v>
      </c>
      <c r="AJ104" s="20">
        <f>IF('1. Yixian'!AL104="","",IF('1. Yixian'!AL104='2. Nayoung'!AL104,1,0))</f>
        <v>1</v>
      </c>
      <c r="AK104" s="20">
        <f>IF('1. Yixian'!AM104="","",IF('1. Yixian'!AM104='2. Nayoung'!AM104,1,0))</f>
        <v>1</v>
      </c>
      <c r="AL104" s="20" t="str">
        <f>IF('1. Yixian'!AT104="","",IF('1. Yixian'!AT104='2. Nayoung'!AT104,1,0))</f>
        <v/>
      </c>
      <c r="AM104" s="20" t="e">
        <f>IF('1. Yixian'!AU104="","",IF('1. Yixian'!AU104='2. Nayoung'!#REF!,1,0))</f>
        <v>#REF!</v>
      </c>
      <c r="AN104" s="2"/>
    </row>
    <row r="105" spans="1:40" s="20" customFormat="1" ht="17" hidden="1" customHeight="1">
      <c r="A105" s="20">
        <f>IF('1. Yixian'!A105="","",IF('1. Yixian'!A105='2. Nayoung'!A105,1,0))</f>
        <v>0</v>
      </c>
      <c r="B105" s="20">
        <f>IF('1. Yixian'!B105="","",IF(RIGHT('1. Yixian'!B105,2)=RIGHT('2. Nayoung'!B105,2),1,0))</f>
        <v>0</v>
      </c>
      <c r="C105" s="20">
        <f>IF('1. Yixian'!C105="","",IF('1. Yixian'!C105='2. Nayoung'!C105,1,0))</f>
        <v>0</v>
      </c>
      <c r="E105" s="20">
        <f>IF('1. Yixian'!E105="","",IF('1. Yixian'!E105='2. Nayoung'!E105,1,0))</f>
        <v>0</v>
      </c>
      <c r="F105" s="20">
        <f>IF('1. Yixian'!F105="","",IF('1. Yixian'!F105='2. Nayoung'!F105,1,0))</f>
        <v>0</v>
      </c>
      <c r="G105" s="20">
        <f>IF('1. Yixian'!G105="","",IF('1. Yixian'!G105='2. Nayoung'!G105,1,0))</f>
        <v>0</v>
      </c>
      <c r="H105" s="20">
        <f>IF('1. Yixian'!J105="","",IF(RIGHT('1. Yixian'!J105,3)=RIGHT('2. Nayoung'!J105,3),1,0))</f>
        <v>0</v>
      </c>
      <c r="I105" s="20">
        <f>IF(H105="","",IF(OR('2. Nayoung'!K105="", '1. Yixian'!K105 = ""),0,1))</f>
        <v>1</v>
      </c>
      <c r="J105" s="20">
        <f>IF('1. Yixian'!L105="","",IF('1. Yixian'!L105='2. Nayoung'!L105,1,0))</f>
        <v>1</v>
      </c>
      <c r="K105" s="20">
        <f>IF('1. Yixian'!M105="","",IF('1. Yixian'!M105='2. Nayoung'!M105,1,0))</f>
        <v>1</v>
      </c>
      <c r="L105" s="20">
        <f>IF('1. Yixian'!N105="","",IF('1. Yixian'!N105='2. Nayoung'!N105,1,0))</f>
        <v>1</v>
      </c>
      <c r="M105" s="20">
        <f>IF('1. Yixian'!O105="","",IF('1. Yixian'!O105='2. Nayoung'!O105,1,0))</f>
        <v>1</v>
      </c>
      <c r="N105" s="20">
        <f>IF('1. Yixian'!P105="","",IF('1. Yixian'!P105='2. Nayoung'!P105,1,0))</f>
        <v>1</v>
      </c>
      <c r="O105" s="20">
        <f>IF('1. Yixian'!Q105="","",IF('1. Yixian'!Q105='2. Nayoung'!Q105,1,0))</f>
        <v>1</v>
      </c>
      <c r="P105" s="20">
        <f>IF('1. Yixian'!R105="","",IF('1. Yixian'!R105='2. Nayoung'!R105,1,0))</f>
        <v>1</v>
      </c>
      <c r="Q105" s="20">
        <f>IF('1. Yixian'!S105="","",IF('1. Yixian'!S105='2. Nayoung'!S105,1,0))</f>
        <v>1</v>
      </c>
      <c r="R105" s="20">
        <f>IF('1. Yixian'!T105="","",IF('1. Yixian'!T105='2. Nayoung'!T105,1,0))</f>
        <v>1</v>
      </c>
      <c r="S105" s="20">
        <f>IF(R105="","",IF(OR('2. Nayoung'!U105="", '1. Yixian'!U105 = ""),0,1))</f>
        <v>1</v>
      </c>
      <c r="T105" s="20">
        <f>IF('1. Yixian'!V105="","",IF('1. Yixian'!V105='2. Nayoung'!V105,1,0))</f>
        <v>1</v>
      </c>
      <c r="U105" s="20">
        <f>IF('1. Yixian'!W105="","",IF('1. Yixian'!W105='2. Nayoung'!W105,1,0))</f>
        <v>1</v>
      </c>
      <c r="V105" s="20">
        <f>IF('1. Yixian'!X105="","",IF('1. Yixian'!X105='2. Nayoung'!X105,1,0))</f>
        <v>1</v>
      </c>
      <c r="W105" s="20">
        <f>IF('1. Yixian'!Y105="","",IF('1. Yixian'!Y105='2. Nayoung'!Y105,1,0))</f>
        <v>1</v>
      </c>
      <c r="X105" s="20">
        <f>IF('1. Yixian'!Z105="","",IF('1. Yixian'!Z105='2. Nayoung'!Z105,1,0))</f>
        <v>1</v>
      </c>
      <c r="Y105" s="20">
        <f>IF('1. Yixian'!AA105="","",IF('1. Yixian'!AA105='2. Nayoung'!AA105,1,0))</f>
        <v>1</v>
      </c>
      <c r="Z105" s="20">
        <f>IF('1. Yixian'!AB105="","",IF('1. Yixian'!AB105='2. Nayoung'!AB105,1,0))</f>
        <v>1</v>
      </c>
      <c r="AA105" s="20">
        <f>IF('1. Yixian'!AC105="","",IF('1. Yixian'!AC105='2. Nayoung'!AC105,1,0))</f>
        <v>1</v>
      </c>
      <c r="AB105" s="20">
        <f>IF(OR('2. Nayoung'!AD104="", '1. Yixian'!AD105 = ""),0,1)</f>
        <v>1</v>
      </c>
      <c r="AC105" s="20">
        <f>IF('1. Yixian'!AE105="","",IF('1. Yixian'!AE105='2. Nayoung'!AE105,1,0))</f>
        <v>1</v>
      </c>
      <c r="AD105" s="20">
        <f>IF(OR('2. Nayoung'!AF104="", '1. Yixian'!AF105 = ""),0,1)</f>
        <v>0</v>
      </c>
      <c r="AF105" s="20">
        <f>IF('1. Yixian'!AH105="","",IF('1. Yixian'!AH105='2. Nayoung'!AH105,1,0))</f>
        <v>1</v>
      </c>
      <c r="AG105" s="20">
        <f>IF('1. Yixian'!AI105="","",IF('1. Yixian'!AI105='2. Nayoung'!AI105,1,0))</f>
        <v>1</v>
      </c>
      <c r="AH105" s="62">
        <v>1</v>
      </c>
      <c r="AI105" s="20">
        <f>IF('1. Yixian'!AK105="","",IF('1. Yixian'!AK105='2. Nayoung'!AK105,1,0))</f>
        <v>1</v>
      </c>
      <c r="AJ105" s="20">
        <f>IF('1. Yixian'!AL105="","",IF('1. Yixian'!AL105='2. Nayoung'!AL105,1,0))</f>
        <v>1</v>
      </c>
      <c r="AK105" s="62">
        <v>1</v>
      </c>
      <c r="AL105" s="20" t="str">
        <f>IF('1. Yixian'!AT105="","",IF('1. Yixian'!AT105='2. Nayoung'!AT105,1,0))</f>
        <v/>
      </c>
      <c r="AM105" s="20" t="e">
        <f>IF('1. Yixian'!AU105="","",IF('1. Yixian'!AU105='2. Nayoung'!#REF!,1,0))</f>
        <v>#REF!</v>
      </c>
      <c r="AN105" s="2"/>
    </row>
    <row r="106" spans="1:40" s="20" customFormat="1" ht="17" hidden="1" customHeight="1">
      <c r="A106" s="20" t="str">
        <f>IF('1. Yixian'!A106="","",IF('1. Yixian'!A106='2. Nayoung'!A106,1,0))</f>
        <v/>
      </c>
      <c r="B106" s="20" t="str">
        <f>IF('1. Yixian'!B106="","",IF(RIGHT('1. Yixian'!B106,2)=RIGHT('2. Nayoung'!B106,2),1,0))</f>
        <v/>
      </c>
      <c r="C106" s="20" t="str">
        <f>IF('1. Yixian'!C106="","",IF('1. Yixian'!C106='2. Nayoung'!C106,1,0))</f>
        <v/>
      </c>
      <c r="E106" s="20" t="str">
        <f>IF('1. Yixian'!E106="","",IF('1. Yixian'!E106='2. Nayoung'!E106,1,0))</f>
        <v/>
      </c>
      <c r="F106" s="20" t="str">
        <f>IF('1. Yixian'!F106="","",IF('1. Yixian'!F106='2. Nayoung'!F106,1,0))</f>
        <v/>
      </c>
      <c r="G106" s="20" t="str">
        <f>IF('1. Yixian'!G106="","",IF('1. Yixian'!G106='2. Nayoung'!G106,1,0))</f>
        <v/>
      </c>
      <c r="H106" s="20">
        <f>IF('1. Yixian'!J106="","",IF(RIGHT('1. Yixian'!J106,3)=RIGHT('2. Nayoung'!J106,3),1,0))</f>
        <v>0</v>
      </c>
      <c r="I106" s="20">
        <f>IF(H106="","",IF(OR('2. Nayoung'!K106="", '1. Yixian'!K106 = ""),0,1))</f>
        <v>1</v>
      </c>
      <c r="J106" s="20">
        <f>IF('1. Yixian'!L106="","",IF('1. Yixian'!L106='2. Nayoung'!L106,1,0))</f>
        <v>1</v>
      </c>
      <c r="K106" s="20">
        <f>IF('1. Yixian'!M106="","",IF('1. Yixian'!M106='2. Nayoung'!M106,1,0))</f>
        <v>1</v>
      </c>
      <c r="L106" s="20">
        <f>IF('1. Yixian'!N106="","",IF('1. Yixian'!N106='2. Nayoung'!N106,1,0))</f>
        <v>1</v>
      </c>
      <c r="M106" s="20">
        <f>IF('1. Yixian'!O106="","",IF('1. Yixian'!O106='2. Nayoung'!O106,1,0))</f>
        <v>1</v>
      </c>
      <c r="N106" s="20">
        <f>IF('1. Yixian'!P106="","",IF('1. Yixian'!P106='2. Nayoung'!P106,1,0))</f>
        <v>1</v>
      </c>
      <c r="O106" s="20">
        <f>IF('1. Yixian'!Q106="","",IF('1. Yixian'!Q106='2. Nayoung'!Q106,1,0))</f>
        <v>1</v>
      </c>
      <c r="P106" s="20">
        <f>IF('1. Yixian'!R106="","",IF('1. Yixian'!R106='2. Nayoung'!R106,1,0))</f>
        <v>1</v>
      </c>
      <c r="Q106" s="20">
        <f>IF('1. Yixian'!S106="","",IF('1. Yixian'!S106='2. Nayoung'!S106,1,0))</f>
        <v>1</v>
      </c>
      <c r="R106" s="20">
        <f>IF('1. Yixian'!T106="","",IF('1. Yixian'!T106='2. Nayoung'!T106,1,0))</f>
        <v>1</v>
      </c>
      <c r="S106" s="20">
        <f>IF(R106="","",IF(OR('2. Nayoung'!U106="", '1. Yixian'!U106 = ""),0,1))</f>
        <v>1</v>
      </c>
      <c r="T106" s="20">
        <f>IF('1. Yixian'!V106="","",IF('1. Yixian'!V106='2. Nayoung'!V106,1,0))</f>
        <v>1</v>
      </c>
      <c r="U106" s="20">
        <f>IF('1. Yixian'!W106="","",IF('1. Yixian'!W106='2. Nayoung'!W106,1,0))</f>
        <v>1</v>
      </c>
      <c r="V106" s="20">
        <f>IF('1. Yixian'!X106="","",IF('1. Yixian'!X106='2. Nayoung'!X106,1,0))</f>
        <v>1</v>
      </c>
      <c r="W106" s="20">
        <f>IF('1. Yixian'!Y106="","",IF('1. Yixian'!Y106='2. Nayoung'!Y106,1,0))</f>
        <v>1</v>
      </c>
      <c r="X106" s="20">
        <f>IF('1. Yixian'!Z106="","",IF('1. Yixian'!Z106='2. Nayoung'!Z106,1,0))</f>
        <v>1</v>
      </c>
      <c r="Y106" s="20">
        <f>IF('1. Yixian'!AA106="","",IF('1. Yixian'!AA106='2. Nayoung'!AA106,1,0))</f>
        <v>1</v>
      </c>
      <c r="Z106" s="20">
        <f>IF('1. Yixian'!AB106="","",IF('1. Yixian'!AB106='2. Nayoung'!AB106,1,0))</f>
        <v>1</v>
      </c>
      <c r="AA106" s="20">
        <f>IF('1. Yixian'!AC106="","",IF('1. Yixian'!AC106='2. Nayoung'!AC106,1,0))</f>
        <v>1</v>
      </c>
      <c r="AB106" s="20">
        <f>IF(OR('2. Nayoung'!AD105="", '1. Yixian'!AD106 = ""),0,1)</f>
        <v>1</v>
      </c>
      <c r="AC106" s="20">
        <f>IF('1. Yixian'!AE106="","",IF('1. Yixian'!AE106='2. Nayoung'!AE106,1,0))</f>
        <v>1</v>
      </c>
      <c r="AD106" s="20">
        <f>IF(OR('2. Nayoung'!AF105="", '1. Yixian'!AF106 = ""),0,1)</f>
        <v>0</v>
      </c>
      <c r="AF106" s="20">
        <f>IF('1. Yixian'!AH106="","",IF('1. Yixian'!AH106='2. Nayoung'!AH106,1,0))</f>
        <v>1</v>
      </c>
      <c r="AG106" s="20">
        <f>IF('1. Yixian'!AI106="","",IF('1. Yixian'!AI106='2. Nayoung'!AI106,1,0))</f>
        <v>1</v>
      </c>
      <c r="AH106" s="62">
        <v>1</v>
      </c>
      <c r="AI106" s="20">
        <f>IF('1. Yixian'!AK106="","",IF('1. Yixian'!AK106='2. Nayoung'!AK106,1,0))</f>
        <v>1</v>
      </c>
      <c r="AJ106" s="20">
        <f>IF('1. Yixian'!AL106="","",IF('1. Yixian'!AL106='2. Nayoung'!AL106,1,0))</f>
        <v>0</v>
      </c>
      <c r="AK106" s="62">
        <v>1</v>
      </c>
      <c r="AL106" s="20" t="str">
        <f>IF('1. Yixian'!AT106="","",IF('1. Yixian'!AT106='2. Nayoung'!AT106,1,0))</f>
        <v/>
      </c>
      <c r="AM106" s="20" t="e">
        <f>IF('1. Yixian'!AU106="","",IF('1. Yixian'!AU106='2. Nayoung'!#REF!,1,0))</f>
        <v>#REF!</v>
      </c>
      <c r="AN106" s="2"/>
    </row>
    <row r="107" spans="1:40" s="20" customFormat="1" ht="17" hidden="1" customHeight="1">
      <c r="A107" s="20">
        <f>IF('1. Yixian'!A107="","",IF('1. Yixian'!A107='2. Nayoung'!A107,1,0))</f>
        <v>0</v>
      </c>
      <c r="B107" s="20">
        <f>IF('1. Yixian'!B107="","",IF(RIGHT('1. Yixian'!B107,2)=RIGHT('2. Nayoung'!B107,2),1,0))</f>
        <v>0</v>
      </c>
      <c r="C107" s="20">
        <f>IF('1. Yixian'!C107="","",IF('1. Yixian'!C107='2. Nayoung'!C107,1,0))</f>
        <v>0</v>
      </c>
      <c r="E107" s="20">
        <f>IF('1. Yixian'!E107="","",IF('1. Yixian'!E107='2. Nayoung'!E107,1,0))</f>
        <v>0</v>
      </c>
      <c r="F107" s="20">
        <f>IF('1. Yixian'!F107="","",IF('1. Yixian'!F107='2. Nayoung'!F107,1,0))</f>
        <v>0</v>
      </c>
      <c r="G107" s="20">
        <f>IF('1. Yixian'!G107="","",IF('1. Yixian'!G107='2. Nayoung'!G107,1,0))</f>
        <v>0</v>
      </c>
      <c r="H107" s="20">
        <f>IF('1. Yixian'!J107="","",IF(RIGHT('1. Yixian'!J107,3)=RIGHT('2. Nayoung'!J107,3),1,0))</f>
        <v>0</v>
      </c>
      <c r="I107" s="20">
        <f>IF(H107="","",IF(OR('2. Nayoung'!K107="", '1. Yixian'!K107 = ""),0,1))</f>
        <v>1</v>
      </c>
      <c r="J107" s="20">
        <f>IF('1. Yixian'!L107="","",IF('1. Yixian'!L107='2. Nayoung'!L107,1,0))</f>
        <v>1</v>
      </c>
      <c r="K107" s="20">
        <f>IF('1. Yixian'!M107="","",IF('1. Yixian'!M107='2. Nayoung'!M107,1,0))</f>
        <v>1</v>
      </c>
      <c r="L107" s="20">
        <f>IF('1. Yixian'!N107="","",IF('1. Yixian'!N107='2. Nayoung'!N107,1,0))</f>
        <v>1</v>
      </c>
      <c r="M107" s="20">
        <f>IF('1. Yixian'!O107="","",IF('1. Yixian'!O107='2. Nayoung'!O107,1,0))</f>
        <v>1</v>
      </c>
      <c r="N107" s="20">
        <f>IF('1. Yixian'!P107="","",IF('1. Yixian'!P107='2. Nayoung'!P107,1,0))</f>
        <v>1</v>
      </c>
      <c r="O107" s="20">
        <f>IF('1. Yixian'!Q107="","",IF('1. Yixian'!Q107='2. Nayoung'!Q107,1,0))</f>
        <v>1</v>
      </c>
      <c r="P107" s="20">
        <f>IF('1. Yixian'!R107="","",IF('1. Yixian'!R107='2. Nayoung'!R107,1,0))</f>
        <v>1</v>
      </c>
      <c r="Q107" s="20">
        <f>IF('1. Yixian'!S107="","",IF('1. Yixian'!S107='2. Nayoung'!S107,1,0))</f>
        <v>1</v>
      </c>
      <c r="R107" s="20">
        <f>IF('1. Yixian'!T107="","",IF('1. Yixian'!T107='2. Nayoung'!T107,1,0))</f>
        <v>1</v>
      </c>
      <c r="S107" s="20">
        <f>IF(R107="","",IF(OR('2. Nayoung'!U107="", '1. Yixian'!U107 = ""),0,1))</f>
        <v>1</v>
      </c>
      <c r="T107" s="20">
        <f>IF('1. Yixian'!V107="","",IF('1. Yixian'!V107='2. Nayoung'!V107,1,0))</f>
        <v>1</v>
      </c>
      <c r="U107" s="20">
        <f>IF('1. Yixian'!W107="","",IF('1. Yixian'!W107='2. Nayoung'!W107,1,0))</f>
        <v>1</v>
      </c>
      <c r="V107" s="20">
        <f>IF('1. Yixian'!X107="","",IF('1. Yixian'!X107='2. Nayoung'!X107,1,0))</f>
        <v>1</v>
      </c>
      <c r="W107" s="20">
        <f>IF('1. Yixian'!Y107="","",IF('1. Yixian'!Y107='2. Nayoung'!Y107,1,0))</f>
        <v>1</v>
      </c>
      <c r="X107" s="20">
        <f>IF('1. Yixian'!Z107="","",IF('1. Yixian'!Z107='2. Nayoung'!Z107,1,0))</f>
        <v>1</v>
      </c>
      <c r="Y107" s="20">
        <f>IF('1. Yixian'!AA107="","",IF('1. Yixian'!AA107='2. Nayoung'!AA107,1,0))</f>
        <v>1</v>
      </c>
      <c r="Z107" s="20">
        <f>IF('1. Yixian'!AB107="","",IF('1. Yixian'!AB107='2. Nayoung'!AB107,1,0))</f>
        <v>1</v>
      </c>
      <c r="AA107" s="20">
        <f>IF('1. Yixian'!AC107="","",IF('1. Yixian'!AC107='2. Nayoung'!AC107,1,0))</f>
        <v>1</v>
      </c>
      <c r="AB107" s="20">
        <f>IF(OR('2. Nayoung'!AD106="", '1. Yixian'!AD107 = ""),0,1)</f>
        <v>1</v>
      </c>
      <c r="AC107" s="20">
        <f>IF('1. Yixian'!AE107="","",IF('1. Yixian'!AE107='2. Nayoung'!AE107,1,0))</f>
        <v>1</v>
      </c>
      <c r="AD107" s="20">
        <f>IF(OR('2. Nayoung'!AF106="", '1. Yixian'!AF107 = ""),0,1)</f>
        <v>0</v>
      </c>
      <c r="AF107" s="20">
        <f>IF('1. Yixian'!AH107="","",IF('1. Yixian'!AH107='2. Nayoung'!AH107,1,0))</f>
        <v>1</v>
      </c>
      <c r="AG107" s="20">
        <f>IF('1. Yixian'!AI107="","",IF('1. Yixian'!AI107='2. Nayoung'!AI107,1,0))</f>
        <v>1</v>
      </c>
      <c r="AH107" s="62">
        <v>1</v>
      </c>
      <c r="AI107" s="20">
        <f>IF('1. Yixian'!AK107="","",IF('1. Yixian'!AK107='2. Nayoung'!AK107,1,0))</f>
        <v>1</v>
      </c>
      <c r="AJ107" s="20">
        <f>IF('1. Yixian'!AL107="","",IF('1. Yixian'!AL107='2. Nayoung'!AL107,1,0))</f>
        <v>1</v>
      </c>
      <c r="AK107" s="62">
        <v>1</v>
      </c>
      <c r="AL107" s="20" t="str">
        <f>IF('1. Yixian'!AT107="","",IF('1. Yixian'!AT107='2. Nayoung'!AT107,1,0))</f>
        <v/>
      </c>
      <c r="AM107" s="20" t="e">
        <f>IF('1. Yixian'!AU107="","",IF('1. Yixian'!AU107='2. Nayoung'!#REF!,1,0))</f>
        <v>#REF!</v>
      </c>
      <c r="AN107" s="2"/>
    </row>
    <row r="108" spans="1:40" s="66" customFormat="1" ht="17" hidden="1" customHeight="1" thickBot="1">
      <c r="A108" s="66" t="str">
        <f>IF('1. Yixian'!A108="","",IF('1. Yixian'!A108='2. Nayoung'!A108,1,0))</f>
        <v/>
      </c>
      <c r="B108" s="66" t="str">
        <f>IF('1. Yixian'!B108="","",IF(RIGHT('1. Yixian'!B108,2)=RIGHT('2. Nayoung'!B108,2),1,0))</f>
        <v/>
      </c>
      <c r="C108" s="66" t="str">
        <f>IF('1. Yixian'!C108="","",IF('1. Yixian'!C108='2. Nayoung'!C108,1,0))</f>
        <v/>
      </c>
      <c r="E108" s="66" t="str">
        <f>IF('1. Yixian'!E108="","",IF('1. Yixian'!E108='2. Nayoung'!E108,1,0))</f>
        <v/>
      </c>
      <c r="F108" s="66" t="str">
        <f>IF('1. Yixian'!F108="","",IF('1. Yixian'!F108='2. Nayoung'!F108,1,0))</f>
        <v/>
      </c>
      <c r="G108" s="66" t="str">
        <f>IF('1. Yixian'!G108="","",IF('1. Yixian'!G108='2. Nayoung'!G108,1,0))</f>
        <v/>
      </c>
      <c r="H108" s="66">
        <f>IF('1. Yixian'!J108="","",IF(RIGHT('1. Yixian'!J108,3)=RIGHT('2. Nayoung'!J108,3),1,0))</f>
        <v>0</v>
      </c>
      <c r="I108" s="66">
        <f>IF(H108="","",IF(OR('2. Nayoung'!K108="", '1. Yixian'!K108 = ""),0,1))</f>
        <v>1</v>
      </c>
      <c r="J108" s="66">
        <f>IF('1. Yixian'!L108="","",IF('1. Yixian'!L108='2. Nayoung'!L108,1,0))</f>
        <v>1</v>
      </c>
      <c r="K108" s="66">
        <f>IF('1. Yixian'!M108="","",IF('1. Yixian'!M108='2. Nayoung'!M108,1,0))</f>
        <v>1</v>
      </c>
      <c r="L108" s="66">
        <f>IF('1. Yixian'!N108="","",IF('1. Yixian'!N108='2. Nayoung'!N108,1,0))</f>
        <v>1</v>
      </c>
      <c r="M108" s="66">
        <f>IF('1. Yixian'!O108="","",IF('1. Yixian'!O108='2. Nayoung'!O108,1,0))</f>
        <v>1</v>
      </c>
      <c r="N108" s="66">
        <f>IF('1. Yixian'!P108="","",IF('1. Yixian'!P108='2. Nayoung'!P108,1,0))</f>
        <v>1</v>
      </c>
      <c r="O108" s="66">
        <f>IF('1. Yixian'!Q108="","",IF('1. Yixian'!Q108='2. Nayoung'!Q108,1,0))</f>
        <v>1</v>
      </c>
      <c r="P108" s="66">
        <f>IF('1. Yixian'!R108="","",IF('1. Yixian'!R108='2. Nayoung'!R108,1,0))</f>
        <v>1</v>
      </c>
      <c r="Q108" s="66">
        <f>IF('1. Yixian'!S108="","",IF('1. Yixian'!S108='2. Nayoung'!S108,1,0))</f>
        <v>1</v>
      </c>
      <c r="R108" s="66">
        <f>IF('1. Yixian'!T108="","",IF('1. Yixian'!T108='2. Nayoung'!T108,1,0))</f>
        <v>1</v>
      </c>
      <c r="S108" s="66">
        <f>IF(R108="","",IF(OR('2. Nayoung'!U108="", '1. Yixian'!U108 = ""),0,1))</f>
        <v>1</v>
      </c>
      <c r="T108" s="66">
        <f>IF('1. Yixian'!V108="","",IF('1. Yixian'!V108='2. Nayoung'!V108,1,0))</f>
        <v>1</v>
      </c>
      <c r="U108" s="66">
        <f>IF('1. Yixian'!W108="","",IF('1. Yixian'!W108='2. Nayoung'!W108,1,0))</f>
        <v>1</v>
      </c>
      <c r="V108" s="66">
        <f>IF('1. Yixian'!X108="","",IF('1. Yixian'!X108='2. Nayoung'!X108,1,0))</f>
        <v>1</v>
      </c>
      <c r="W108" s="66">
        <f>IF('1. Yixian'!Y108="","",IF('1. Yixian'!Y108='2. Nayoung'!Y108,1,0))</f>
        <v>1</v>
      </c>
      <c r="X108" s="66">
        <f>IF('1. Yixian'!Z108="","",IF('1. Yixian'!Z108='2. Nayoung'!Z108,1,0))</f>
        <v>1</v>
      </c>
      <c r="Y108" s="66">
        <f>IF('1. Yixian'!AA108="","",IF('1. Yixian'!AA108='2. Nayoung'!AA108,1,0))</f>
        <v>1</v>
      </c>
      <c r="Z108" s="66">
        <f>IF('1. Yixian'!AB108="","",IF('1. Yixian'!AB108='2. Nayoung'!AB108,1,0))</f>
        <v>1</v>
      </c>
      <c r="AA108" s="66">
        <f>IF('1. Yixian'!AC108="","",IF('1. Yixian'!AC108='2. Nayoung'!AC108,1,0))</f>
        <v>1</v>
      </c>
      <c r="AB108" s="66">
        <f>IF(OR('2. Nayoung'!AD107="", '1. Yixian'!AD108 = ""),0,1)</f>
        <v>1</v>
      </c>
      <c r="AC108" s="66">
        <f>IF('1. Yixian'!AE108="","",IF('1. Yixian'!AE108='2. Nayoung'!AE108,1,0))</f>
        <v>1</v>
      </c>
      <c r="AD108" s="66">
        <f>IF(OR('2. Nayoung'!AF107="", '1. Yixian'!AF108 = ""),0,1)</f>
        <v>0</v>
      </c>
      <c r="AF108" s="66">
        <f>IF('1. Yixian'!AH108="","",IF('1. Yixian'!AH108='2. Nayoung'!AH108,1,0))</f>
        <v>1</v>
      </c>
      <c r="AG108" s="66">
        <f>IF('1. Yixian'!AI108="","",IF('1. Yixian'!AI108='2. Nayoung'!AI108,1,0))</f>
        <v>1</v>
      </c>
      <c r="AH108" s="72">
        <v>1</v>
      </c>
      <c r="AI108" s="66">
        <f>IF('1. Yixian'!AK108="","",IF('1. Yixian'!AK108='2. Nayoung'!AK108,1,0))</f>
        <v>1</v>
      </c>
      <c r="AJ108" s="66">
        <f>IF('1. Yixian'!AL108="","",IF('1. Yixian'!AL108='2. Nayoung'!AL108,1,0))</f>
        <v>1</v>
      </c>
      <c r="AK108" s="72">
        <v>1</v>
      </c>
      <c r="AL108" s="66" t="str">
        <f>IF('1. Yixian'!AT108="","",IF('1. Yixian'!AT108='2. Nayoung'!AT108,1,0))</f>
        <v/>
      </c>
      <c r="AM108" s="66" t="e">
        <f>IF('1. Yixian'!AU108="","",IF('1. Yixian'!AU108='2. Nayoung'!#REF!,1,0))</f>
        <v>#REF!</v>
      </c>
      <c r="AN108" s="68"/>
    </row>
    <row r="109" spans="1:40" s="20" customFormat="1" ht="17" hidden="1" customHeight="1">
      <c r="A109" s="20">
        <f>IF('1. Yixian'!A109="","",IF('1. Yixian'!A109='2. Nayoung'!A109,1,0))</f>
        <v>1</v>
      </c>
      <c r="B109" s="20">
        <f>IF('1. Yixian'!B109="","",IF(RIGHT('1. Yixian'!B109,2)=RIGHT('2. Nayoung'!B109,2),1,0))</f>
        <v>1</v>
      </c>
      <c r="C109" s="20">
        <f>IF('1. Yixian'!C109="","",IF('1. Yixian'!C109='2. Nayoung'!C109,1,0))</f>
        <v>1</v>
      </c>
      <c r="E109" s="20">
        <f>IF('1. Yixian'!E109="","",IF('1. Yixian'!E109='2. Nayoung'!E109,1,0))</f>
        <v>1</v>
      </c>
      <c r="F109" s="20">
        <f>IF('1. Yixian'!F109="","",IF('1. Yixian'!F109='2. Nayoung'!F109,1,0))</f>
        <v>1</v>
      </c>
      <c r="G109" s="20">
        <f>IF('1. Yixian'!G109="","",IF('1. Yixian'!G109='2. Nayoung'!G109,1,0))</f>
        <v>1</v>
      </c>
      <c r="H109" s="20">
        <f>IF('1. Yixian'!J109="","",IF(RIGHT('1. Yixian'!J109,3)=RIGHT('2. Nayoung'!J109,3),1,0))</f>
        <v>0</v>
      </c>
      <c r="I109" s="20">
        <f>IF(H109="","",IF(OR('2. Nayoung'!K109="", '1. Yixian'!K109 = ""),0,1))</f>
        <v>1</v>
      </c>
      <c r="J109" s="20">
        <f>IF('1. Yixian'!L109="","",IF('1. Yixian'!L109='2. Nayoung'!L109,1,0))</f>
        <v>1</v>
      </c>
      <c r="K109" s="20">
        <f>IF('1. Yixian'!M109="","",IF('1. Yixian'!M109='2. Nayoung'!M109,1,0))</f>
        <v>1</v>
      </c>
      <c r="L109" s="20">
        <f>IF('1. Yixian'!N109="","",IF('1. Yixian'!N109='2. Nayoung'!N109,1,0))</f>
        <v>1</v>
      </c>
      <c r="M109" s="20">
        <f>IF('1. Yixian'!O109="","",IF('1. Yixian'!O109='2. Nayoung'!O109,1,0))</f>
        <v>1</v>
      </c>
      <c r="N109" s="20">
        <f>IF('1. Yixian'!P109="","",IF('1. Yixian'!P109='2. Nayoung'!P109,1,0))</f>
        <v>1</v>
      </c>
      <c r="O109" s="20">
        <f>IF('1. Yixian'!Q109="","",IF('1. Yixian'!Q109='2. Nayoung'!Q109,1,0))</f>
        <v>1</v>
      </c>
      <c r="P109" s="20">
        <f>IF('1. Yixian'!R109="","",IF('1. Yixian'!R109='2. Nayoung'!R109,1,0))</f>
        <v>1</v>
      </c>
      <c r="Q109" s="20">
        <f>IF('1. Yixian'!S109="","",IF('1. Yixian'!S109='2. Nayoung'!S109,1,0))</f>
        <v>1</v>
      </c>
      <c r="R109" s="20">
        <f>IF('1. Yixian'!T109="","",IF('1. Yixian'!T109='2. Nayoung'!T109,1,0))</f>
        <v>1</v>
      </c>
      <c r="S109" s="20">
        <f>IF(R109="","",IF(OR('2. Nayoung'!U109="", '1. Yixian'!U109 = ""),0,1))</f>
        <v>1</v>
      </c>
      <c r="T109" s="20">
        <f>IF('1. Yixian'!V109="","",IF('1. Yixian'!V109='2. Nayoung'!V109,1,0))</f>
        <v>1</v>
      </c>
      <c r="U109" s="20">
        <f>IF('1. Yixian'!W109="","",IF('1. Yixian'!W109='2. Nayoung'!W109,1,0))</f>
        <v>1</v>
      </c>
      <c r="V109" s="20">
        <f>IF('1. Yixian'!X109="","",IF('1. Yixian'!X109='2. Nayoung'!X109,1,0))</f>
        <v>1</v>
      </c>
      <c r="W109" s="20">
        <f>IF('1. Yixian'!Y109="","",IF('1. Yixian'!Y109='2. Nayoung'!Y109,1,0))</f>
        <v>1</v>
      </c>
      <c r="X109" s="20">
        <f>IF('1. Yixian'!Z109="","",IF('1. Yixian'!Z109='2. Nayoung'!Z109,1,0))</f>
        <v>1</v>
      </c>
      <c r="Y109" s="20">
        <f>IF('1. Yixian'!AA109="","",IF('1. Yixian'!AA109='2. Nayoung'!AA109,1,0))</f>
        <v>1</v>
      </c>
      <c r="Z109" s="20">
        <f>IF('1. Yixian'!AB109="","",IF('1. Yixian'!AB109='2. Nayoung'!AB109,1,0))</f>
        <v>1</v>
      </c>
      <c r="AA109" s="20">
        <f>IF('1. Yixian'!AC109="","",IF('1. Yixian'!AC109='2. Nayoung'!AC109,1,0))</f>
        <v>1</v>
      </c>
      <c r="AB109" s="20">
        <f>IF(OR('2. Nayoung'!AD108="", '1. Yixian'!AD109 = ""),0,1)</f>
        <v>1</v>
      </c>
      <c r="AC109" s="20">
        <f>IF('1. Yixian'!AE109="","",IF('1. Yixian'!AE109='2. Nayoung'!AE109,1,0))</f>
        <v>1</v>
      </c>
      <c r="AD109" s="20">
        <f>IF(OR('2. Nayoung'!AF109="", '1. Yixian'!AF109 = ""),0,1)</f>
        <v>1</v>
      </c>
      <c r="AF109" s="20">
        <f>IF('1. Yixian'!AH109="","",IF('1. Yixian'!AH109='2. Nayoung'!AH109,1,0))</f>
        <v>1</v>
      </c>
      <c r="AG109" s="20">
        <f>IF('1. Yixian'!AI109="","",IF('1. Yixian'!AI109='2. Nayoung'!AI109,1,0))</f>
        <v>1</v>
      </c>
      <c r="AH109" s="20">
        <f>IF('1. Yixian'!AJ109="","",IF('1. Yixian'!AJ109='2. Nayoung'!AJ109,1,0))</f>
        <v>1</v>
      </c>
      <c r="AI109" s="20">
        <f>IF('1. Yixian'!AK109="","",IF('1. Yixian'!AK109='2. Nayoung'!AK109,1,0))</f>
        <v>1</v>
      </c>
      <c r="AJ109" s="20">
        <f>IF('1. Yixian'!AL109="","",IF('1. Yixian'!AL109='2. Nayoung'!AL109,1,0))</f>
        <v>1</v>
      </c>
      <c r="AK109" s="20">
        <f>IF('1. Yixian'!AM109="","",IF('1. Yixian'!AM109='2. Nayoung'!AM109,1,0))</f>
        <v>1</v>
      </c>
      <c r="AL109" s="20" t="str">
        <f>IF('1. Yixian'!AT109="","",IF('1. Yixian'!AT109='2. Nayoung'!AT109,1,0))</f>
        <v/>
      </c>
      <c r="AM109" s="20" t="str">
        <f>IF('1. Yixian'!AU109="","",IF('1. Yixian'!AU109='2. Nayoung'!AU109,1,0))</f>
        <v/>
      </c>
      <c r="AN109" s="2"/>
    </row>
    <row r="110" spans="1:40" s="20" customFormat="1" ht="17" hidden="1" customHeight="1">
      <c r="A110" s="20" t="str">
        <f>IF('1. Yixian'!A110="","",IF('1. Yixian'!A110='2. Nayoung'!A110,1,0))</f>
        <v/>
      </c>
      <c r="B110" s="20" t="str">
        <f>IF('1. Yixian'!B110="","",IF(RIGHT('1. Yixian'!B110,2)=RIGHT('2. Nayoung'!B110,2),1,0))</f>
        <v/>
      </c>
      <c r="C110" s="20" t="str">
        <f>IF('1. Yixian'!C110="","",IF('1. Yixian'!C110='2. Nayoung'!C110,1,0))</f>
        <v/>
      </c>
      <c r="E110" s="20" t="str">
        <f>IF('1. Yixian'!E110="","",IF('1. Yixian'!E110='2. Nayoung'!E110,1,0))</f>
        <v/>
      </c>
      <c r="F110" s="20" t="str">
        <f>IF('1. Yixian'!F110="","",IF('1. Yixian'!F110='2. Nayoung'!F110,1,0))</f>
        <v/>
      </c>
      <c r="G110" s="20" t="str">
        <f>IF('1. Yixian'!G110="","",IF('1. Yixian'!G110='2. Nayoung'!G110,1,0))</f>
        <v/>
      </c>
      <c r="H110" s="20">
        <f>IF('1. Yixian'!J110="","",IF(RIGHT('1. Yixian'!J110,3)=RIGHT('2. Nayoung'!J110,3),1,0))</f>
        <v>0</v>
      </c>
      <c r="I110" s="20">
        <f>IF(H110="","",IF(OR('2. Nayoung'!K110="", '1. Yixian'!K110 = ""),0,1))</f>
        <v>1</v>
      </c>
      <c r="J110" s="20">
        <f>IF('1. Yixian'!L110="","",IF('1. Yixian'!L110='2. Nayoung'!L110,1,0))</f>
        <v>1</v>
      </c>
      <c r="K110" s="20">
        <f>IF('1. Yixian'!M110="","",IF('1. Yixian'!M110='2. Nayoung'!M110,1,0))</f>
        <v>1</v>
      </c>
      <c r="L110" s="20">
        <f>IF('1. Yixian'!N110="","",IF('1. Yixian'!N110='2. Nayoung'!N110,1,0))</f>
        <v>1</v>
      </c>
      <c r="M110" s="20">
        <f>IF('1. Yixian'!O110="","",IF('1. Yixian'!O110='2. Nayoung'!O110,1,0))</f>
        <v>1</v>
      </c>
      <c r="N110" s="20">
        <f>IF('1. Yixian'!P110="","",IF('1. Yixian'!P110='2. Nayoung'!P110,1,0))</f>
        <v>1</v>
      </c>
      <c r="O110" s="20">
        <f>IF('1. Yixian'!Q110="","",IF('1. Yixian'!Q110='2. Nayoung'!Q110,1,0))</f>
        <v>1</v>
      </c>
      <c r="P110" s="20">
        <f>IF('1. Yixian'!R110="","",IF('1. Yixian'!R110='2. Nayoung'!R110,1,0))</f>
        <v>1</v>
      </c>
      <c r="Q110" s="20">
        <f>IF('1. Yixian'!S110="","",IF('1. Yixian'!S110='2. Nayoung'!S110,1,0))</f>
        <v>1</v>
      </c>
      <c r="R110" s="20">
        <f>IF('1. Yixian'!T110="","",IF('1. Yixian'!T110='2. Nayoung'!T110,1,0))</f>
        <v>1</v>
      </c>
      <c r="S110" s="20">
        <f>IF(R110="","",IF(OR('2. Nayoung'!U110="", '1. Yixian'!U110 = ""),0,1))</f>
        <v>1</v>
      </c>
      <c r="T110" s="20">
        <f>IF('1. Yixian'!V110="","",IF('1. Yixian'!V110='2. Nayoung'!V110,1,0))</f>
        <v>1</v>
      </c>
      <c r="U110" s="20">
        <f>IF('1. Yixian'!W110="","",IF('1. Yixian'!W110='2. Nayoung'!W110,1,0))</f>
        <v>1</v>
      </c>
      <c r="V110" s="20">
        <f>IF('1. Yixian'!X110="","",IF('1. Yixian'!X110='2. Nayoung'!X110,1,0))</f>
        <v>1</v>
      </c>
      <c r="W110" s="20">
        <f>IF('1. Yixian'!Y110="","",IF('1. Yixian'!Y110='2. Nayoung'!Y110,1,0))</f>
        <v>1</v>
      </c>
      <c r="X110" s="20">
        <f>IF('1. Yixian'!Z110="","",IF('1. Yixian'!Z110='2. Nayoung'!Z110,1,0))</f>
        <v>1</v>
      </c>
      <c r="Y110" s="20">
        <f>IF('1. Yixian'!AA110="","",IF('1. Yixian'!AA110='2. Nayoung'!AA110,1,0))</f>
        <v>1</v>
      </c>
      <c r="Z110" s="20">
        <f>IF('1. Yixian'!AB110="","",IF('1. Yixian'!AB110='2. Nayoung'!AB110,1,0))</f>
        <v>1</v>
      </c>
      <c r="AA110" s="20">
        <f>IF('1. Yixian'!AC110="","",IF('1. Yixian'!AC110='2. Nayoung'!AC110,1,0))</f>
        <v>1</v>
      </c>
      <c r="AB110" s="20">
        <f>IF(OR('2. Nayoung'!AD109="", '1. Yixian'!AD110 = ""),0,1)</f>
        <v>1</v>
      </c>
      <c r="AC110" s="20">
        <f>IF('1. Yixian'!AE110="","",IF('1. Yixian'!AE110='2. Nayoung'!AE110,1,0))</f>
        <v>1</v>
      </c>
      <c r="AD110" s="20">
        <f>IF(OR('2. Nayoung'!AF110="", '1. Yixian'!AF110 = ""),0,1)</f>
        <v>1</v>
      </c>
      <c r="AF110" s="20">
        <f>IF('1. Yixian'!AH110="","",IF('1. Yixian'!AH110='2. Nayoung'!AH110,1,0))</f>
        <v>1</v>
      </c>
      <c r="AG110" s="20">
        <f>IF('1. Yixian'!AI110="","",IF('1. Yixian'!AI110='2. Nayoung'!AI110,1,0))</f>
        <v>1</v>
      </c>
      <c r="AH110" s="20">
        <f>IF('1. Yixian'!AJ110="","",IF('1. Yixian'!AJ110='2. Nayoung'!AJ110,1,0))</f>
        <v>1</v>
      </c>
      <c r="AI110" s="20">
        <f>IF('1. Yixian'!AK110="","",IF('1. Yixian'!AK110='2. Nayoung'!AK110,1,0))</f>
        <v>1</v>
      </c>
      <c r="AJ110" s="20">
        <f>IF('1. Yixian'!AL110="","",IF('1. Yixian'!AL110='2. Nayoung'!AL110,1,0))</f>
        <v>1</v>
      </c>
      <c r="AK110" s="20">
        <f>IF('1. Yixian'!AM110="","",IF('1. Yixian'!AM110='2. Nayoung'!AM110,1,0))</f>
        <v>1</v>
      </c>
      <c r="AL110" s="20" t="str">
        <f>IF('1. Yixian'!AT110="","",IF('1. Yixian'!AT110='2. Nayoung'!AT110,1,0))</f>
        <v/>
      </c>
      <c r="AM110" s="20" t="str">
        <f>IF('1. Yixian'!AU110="","",IF('1. Yixian'!AU110='2. Nayoung'!AU110,1,0))</f>
        <v/>
      </c>
      <c r="AN110" s="2"/>
    </row>
    <row r="111" spans="1:40" s="20" customFormat="1" ht="17" hidden="1" customHeight="1">
      <c r="A111" s="20">
        <f>IF('1. Yixian'!A111="","",IF('1. Yixian'!A111='2. Nayoung'!A111,1,0))</f>
        <v>0</v>
      </c>
      <c r="B111" s="20">
        <f>IF('1. Yixian'!B111="","",IF(RIGHT('1. Yixian'!B111,2)=RIGHT('2. Nayoung'!B111,2),1,0))</f>
        <v>0</v>
      </c>
      <c r="C111" s="20">
        <f>IF('1. Yixian'!C111="","",IF('1. Yixian'!C111='2. Nayoung'!C111,1,0))</f>
        <v>1</v>
      </c>
      <c r="E111" s="20">
        <f>IF('1. Yixian'!E111="","",IF('1. Yixian'!E111='2. Nayoung'!E111,1,0))</f>
        <v>1</v>
      </c>
      <c r="F111" s="20">
        <f>IF('1. Yixian'!F111="","",IF('1. Yixian'!F111='2. Nayoung'!F111,1,0))</f>
        <v>1</v>
      </c>
      <c r="G111" s="20">
        <f>IF('1. Yixian'!G111="","",IF('1. Yixian'!G111='2. Nayoung'!G111,1,0))</f>
        <v>1</v>
      </c>
      <c r="H111" s="20">
        <f>IF('1. Yixian'!J111="","",IF(RIGHT('1. Yixian'!J111,3)=RIGHT('2. Nayoung'!J111,3),1,0))</f>
        <v>0</v>
      </c>
      <c r="I111" s="20">
        <f>IF(H111="","",IF(OR('2. Nayoung'!K111="", '1. Yixian'!K111 = ""),0,1))</f>
        <v>1</v>
      </c>
      <c r="J111" s="20">
        <f>IF('1. Yixian'!L111="","",IF('1. Yixian'!L111='2. Nayoung'!L111,1,0))</f>
        <v>1</v>
      </c>
      <c r="K111" s="20">
        <f>IF('1. Yixian'!M111="","",IF('1. Yixian'!M111='2. Nayoung'!M111,1,0))</f>
        <v>1</v>
      </c>
      <c r="L111" s="20">
        <f>IF('1. Yixian'!N111="","",IF('1. Yixian'!N111='2. Nayoung'!N111,1,0))</f>
        <v>1</v>
      </c>
      <c r="M111" s="20">
        <f>IF('1. Yixian'!O111="","",IF('1. Yixian'!O111='2. Nayoung'!O111,1,0))</f>
        <v>1</v>
      </c>
      <c r="N111" s="20">
        <f>IF('1. Yixian'!P111="","",IF('1. Yixian'!P111='2. Nayoung'!P111,1,0))</f>
        <v>1</v>
      </c>
      <c r="O111" s="20">
        <f>IF('1. Yixian'!Q111="","",IF('1. Yixian'!Q111='2. Nayoung'!Q111,1,0))</f>
        <v>1</v>
      </c>
      <c r="P111" s="20">
        <f>IF('1. Yixian'!R111="","",IF('1. Yixian'!R111='2. Nayoung'!R111,1,0))</f>
        <v>1</v>
      </c>
      <c r="Q111" s="20">
        <f>IF('1. Yixian'!S111="","",IF('1. Yixian'!S111='2. Nayoung'!S111,1,0))</f>
        <v>1</v>
      </c>
      <c r="R111" s="20">
        <f>IF('1. Yixian'!T111="","",IF('1. Yixian'!T111='2. Nayoung'!T111,1,0))</f>
        <v>1</v>
      </c>
      <c r="S111" s="20">
        <f>IF(R111="","",IF(OR('2. Nayoung'!U111="", '1. Yixian'!U111 = ""),0,1))</f>
        <v>1</v>
      </c>
      <c r="T111" s="20">
        <f>IF('1. Yixian'!V111="","",IF('1. Yixian'!V111='2. Nayoung'!V111,1,0))</f>
        <v>1</v>
      </c>
      <c r="U111" s="20">
        <f>IF('1. Yixian'!W111="","",IF('1. Yixian'!W111='2. Nayoung'!W111,1,0))</f>
        <v>1</v>
      </c>
      <c r="V111" s="20">
        <f>IF('1. Yixian'!X111="","",IF('1. Yixian'!X111='2. Nayoung'!X111,1,0))</f>
        <v>1</v>
      </c>
      <c r="W111" s="20">
        <f>IF('1. Yixian'!Y111="","",IF('1. Yixian'!Y111='2. Nayoung'!Y111,1,0))</f>
        <v>1</v>
      </c>
      <c r="X111" s="20">
        <f>IF('1. Yixian'!Z111="","",IF('1. Yixian'!Z111='2. Nayoung'!Z111,1,0))</f>
        <v>1</v>
      </c>
      <c r="Y111" s="20">
        <f>IF('1. Yixian'!AA111="","",IF('1. Yixian'!AA111='2. Nayoung'!AA111,1,0))</f>
        <v>1</v>
      </c>
      <c r="Z111" s="20">
        <f>IF('1. Yixian'!AB111="","",IF('1. Yixian'!AB111='2. Nayoung'!AB111,1,0))</f>
        <v>1</v>
      </c>
      <c r="AA111" s="20">
        <f>IF('1. Yixian'!AC111="","",IF('1. Yixian'!AC111='2. Nayoung'!AC111,1,0))</f>
        <v>1</v>
      </c>
      <c r="AB111" s="20">
        <f>IF(OR('2. Nayoung'!AD110="", '1. Yixian'!AD111 = ""),0,1)</f>
        <v>1</v>
      </c>
      <c r="AC111" s="20">
        <f>IF('1. Yixian'!AE111="","",IF('1. Yixian'!AE111='2. Nayoung'!AE111,1,0))</f>
        <v>1</v>
      </c>
      <c r="AD111" s="20">
        <f>IF(OR('2. Nayoung'!AF111="", '1. Yixian'!AF111 = ""),0,1)</f>
        <v>1</v>
      </c>
      <c r="AF111" s="20">
        <f>IF('1. Yixian'!AH111="","",IF('1. Yixian'!AH111='2. Nayoung'!AH111,1,0))</f>
        <v>1</v>
      </c>
      <c r="AG111" s="20">
        <f>IF('1. Yixian'!AI111="","",IF('1. Yixian'!AI111='2. Nayoung'!AI111,1,0))</f>
        <v>1</v>
      </c>
      <c r="AH111" s="20">
        <f>IF('1. Yixian'!AJ111="","",IF('1. Yixian'!AJ111='2. Nayoung'!AJ111,1,0))</f>
        <v>1</v>
      </c>
      <c r="AI111" s="20">
        <f>IF('1. Yixian'!AK111="","",IF('1. Yixian'!AK111='2. Nayoung'!AK111,1,0))</f>
        <v>1</v>
      </c>
      <c r="AJ111" s="20">
        <f>IF('1. Yixian'!AL111="","",IF('1. Yixian'!AL111='2. Nayoung'!AL111,1,0))</f>
        <v>1</v>
      </c>
      <c r="AK111" s="20">
        <f>IF('1. Yixian'!AM111="","",IF('1. Yixian'!AM111='2. Nayoung'!AM111,1,0))</f>
        <v>1</v>
      </c>
      <c r="AL111" s="20" t="str">
        <f>IF('1. Yixian'!AT111="","",IF('1. Yixian'!AT111='2. Nayoung'!AT111,1,0))</f>
        <v/>
      </c>
      <c r="AM111" s="20" t="str">
        <f>IF('1. Yixian'!AU111="","",IF('1. Yixian'!AU111='2. Nayoung'!AU111,1,0))</f>
        <v/>
      </c>
      <c r="AN111" s="2"/>
    </row>
    <row r="112" spans="1:40" s="20" customFormat="1" ht="17" hidden="1" customHeight="1">
      <c r="A112" s="20" t="str">
        <f>IF('1. Yixian'!A112="","",IF('1. Yixian'!A112='2. Nayoung'!A112,1,0))</f>
        <v/>
      </c>
      <c r="B112" s="20" t="str">
        <f>IF('1. Yixian'!B112="","",IF(RIGHT('1. Yixian'!B112,2)=RIGHT('2. Nayoung'!B112,2),1,0))</f>
        <v/>
      </c>
      <c r="C112" s="20" t="str">
        <f>IF('1. Yixian'!C112="","",IF('1. Yixian'!C112='2. Nayoung'!C112,1,0))</f>
        <v/>
      </c>
      <c r="E112" s="20" t="str">
        <f>IF('1. Yixian'!E112="","",IF('1. Yixian'!E112='2. Nayoung'!E112,1,0))</f>
        <v/>
      </c>
      <c r="F112" s="20" t="str">
        <f>IF('1. Yixian'!F112="","",IF('1. Yixian'!F112='2. Nayoung'!F112,1,0))</f>
        <v/>
      </c>
      <c r="G112" s="20" t="str">
        <f>IF('1. Yixian'!G112="","",IF('1. Yixian'!G112='2. Nayoung'!G112,1,0))</f>
        <v/>
      </c>
      <c r="H112" s="20" t="str">
        <f>IF('1. Yixian'!J112="","",IF(RIGHT('1. Yixian'!J112,3)=RIGHT('2. Nayoung'!J112,3),1,0))</f>
        <v/>
      </c>
      <c r="I112" s="20" t="str">
        <f>IF(H112="","",IF(OR('2. Nayoung'!K112="", '1. Yixian'!K112 = ""),0,1))</f>
        <v/>
      </c>
      <c r="J112" s="20" t="str">
        <f>IF('1. Yixian'!L112="","",IF('1. Yixian'!L112='2. Nayoung'!L112,1,0))</f>
        <v/>
      </c>
      <c r="K112" s="20" t="str">
        <f>IF('1. Yixian'!M112="","",IF('1. Yixian'!M112='2. Nayoung'!M112,1,0))</f>
        <v/>
      </c>
      <c r="L112" s="20" t="str">
        <f>IF('1. Yixian'!N112="","",IF('1. Yixian'!N112='2. Nayoung'!N112,1,0))</f>
        <v/>
      </c>
      <c r="M112" s="20" t="str">
        <f>IF('1. Yixian'!O112="","",IF('1. Yixian'!O112='2. Nayoung'!O112,1,0))</f>
        <v/>
      </c>
      <c r="N112" s="20" t="str">
        <f>IF('1. Yixian'!P112="","",IF('1. Yixian'!P112='2. Nayoung'!P112,1,0))</f>
        <v/>
      </c>
      <c r="O112" s="20" t="str">
        <f>IF('1. Yixian'!Q112="","",IF('1. Yixian'!Q112='2. Nayoung'!Q112,1,0))</f>
        <v/>
      </c>
      <c r="P112" s="20" t="str">
        <f>IF('1. Yixian'!R112="","",IF('1. Yixian'!R112='2. Nayoung'!R112,1,0))</f>
        <v/>
      </c>
      <c r="Q112" s="20" t="str">
        <f>IF('1. Yixian'!S112="","",IF('1. Yixian'!S112='2. Nayoung'!S112,1,0))</f>
        <v/>
      </c>
      <c r="R112" s="20" t="str">
        <f>IF('1. Yixian'!T112="","",IF('1. Yixian'!T112='2. Nayoung'!T112,1,0))</f>
        <v/>
      </c>
      <c r="S112" s="20" t="str">
        <f>IF(R112="","",IF(OR('2. Nayoung'!U112="", '1. Yixian'!U112 = ""),0,1))</f>
        <v/>
      </c>
      <c r="T112" s="20" t="str">
        <f>IF('1. Yixian'!V112="","",IF('1. Yixian'!V112='2. Nayoung'!V112,1,0))</f>
        <v/>
      </c>
      <c r="U112" s="20" t="str">
        <f>IF('1. Yixian'!W112="","",IF('1. Yixian'!W112='2. Nayoung'!W112,1,0))</f>
        <v/>
      </c>
      <c r="V112" s="20" t="str">
        <f>IF('1. Yixian'!X112="","",IF('1. Yixian'!X112='2. Nayoung'!X112,1,0))</f>
        <v/>
      </c>
      <c r="W112" s="20" t="str">
        <f>IF('1. Yixian'!Y112="","",IF('1. Yixian'!Y112='2. Nayoung'!Y112,1,0))</f>
        <v/>
      </c>
      <c r="X112" s="20" t="str">
        <f>IF('1. Yixian'!Z112="","",IF('1. Yixian'!Z112='2. Nayoung'!Z112,1,0))</f>
        <v/>
      </c>
      <c r="Y112" s="20" t="str">
        <f>IF('1. Yixian'!AA112="","",IF('1. Yixian'!AA112='2. Nayoung'!AA112,1,0))</f>
        <v/>
      </c>
      <c r="Z112" s="20" t="str">
        <f>IF('1. Yixian'!AB112="","",IF('1. Yixian'!AB112='2. Nayoung'!AB112,1,0))</f>
        <v/>
      </c>
      <c r="AA112" s="20" t="str">
        <f>IF('1. Yixian'!AC112="","",IF('1. Yixian'!AC112='2. Nayoung'!AC112,1,0))</f>
        <v/>
      </c>
      <c r="AB112" s="20">
        <f>IF(OR('2. Nayoung'!AD111="", '1. Yixian'!AD112 = ""),0,1)</f>
        <v>1</v>
      </c>
      <c r="AC112" s="20">
        <f>IF('1. Yixian'!AE112="","",IF('1. Yixian'!AE112='2. Nayoung'!AE112,1,0))</f>
        <v>1</v>
      </c>
      <c r="AD112" s="20">
        <f>IF(OR('2. Nayoung'!AF112="", '1. Yixian'!AF112 = ""),0,1)</f>
        <v>1</v>
      </c>
      <c r="AF112" s="20">
        <f>IF('1. Yixian'!AH112="","",IF('1. Yixian'!AH112='2. Nayoung'!AH112,1,0))</f>
        <v>1</v>
      </c>
      <c r="AG112" s="20">
        <f>IF('1. Yixian'!AI112="","",IF('1. Yixian'!AI112='2. Nayoung'!AI112,1,0))</f>
        <v>1</v>
      </c>
      <c r="AH112" s="20">
        <f>IF('1. Yixian'!AJ112="","",IF('1. Yixian'!AJ112='2. Nayoung'!AJ112,1,0))</f>
        <v>1</v>
      </c>
      <c r="AI112" s="20">
        <f>IF('1. Yixian'!AK112="","",IF('1. Yixian'!AK112='2. Nayoung'!AK112,1,0))</f>
        <v>1</v>
      </c>
      <c r="AJ112" s="20">
        <f>IF('1. Yixian'!AL112="","",IF('1. Yixian'!AL112='2. Nayoung'!AL112,1,0))</f>
        <v>1</v>
      </c>
      <c r="AK112" s="20">
        <f>IF('1. Yixian'!AM112="","",IF('1. Yixian'!AM112='2. Nayoung'!AM112,1,0))</f>
        <v>1</v>
      </c>
      <c r="AL112" s="20" t="str">
        <f>IF('1. Yixian'!AT112="","",IF('1. Yixian'!AT112='2. Nayoung'!AT112,1,0))</f>
        <v/>
      </c>
      <c r="AM112" s="20" t="str">
        <f>IF('1. Yixian'!AU112="","",IF('1. Yixian'!AU112='2. Nayoung'!AU112,1,0))</f>
        <v/>
      </c>
      <c r="AN112" s="2"/>
    </row>
    <row r="113" spans="1:40" s="20" customFormat="1" ht="17" hidden="1" customHeight="1">
      <c r="A113" s="20" t="str">
        <f>IF('1. Yixian'!A113="","",IF('1. Yixian'!A113='2. Nayoung'!A113,1,0))</f>
        <v/>
      </c>
      <c r="B113" s="20" t="str">
        <f>IF('1. Yixian'!B113="","",IF(RIGHT('1. Yixian'!B113,2)=RIGHT('2. Nayoung'!B113,2),1,0))</f>
        <v/>
      </c>
      <c r="C113" s="20" t="str">
        <f>IF('1. Yixian'!C113="","",IF('1. Yixian'!C113='2. Nayoung'!C113,1,0))</f>
        <v/>
      </c>
      <c r="E113" s="20" t="str">
        <f>IF('1. Yixian'!E113="","",IF('1. Yixian'!E113='2. Nayoung'!E113,1,0))</f>
        <v/>
      </c>
      <c r="F113" s="20" t="str">
        <f>IF('1. Yixian'!F113="","",IF('1. Yixian'!F113='2. Nayoung'!F113,1,0))</f>
        <v/>
      </c>
      <c r="G113" s="20" t="str">
        <f>IF('1. Yixian'!G113="","",IF('1. Yixian'!G113='2. Nayoung'!G113,1,0))</f>
        <v/>
      </c>
      <c r="H113" s="20" t="str">
        <f>IF('1. Yixian'!J113="","",IF(RIGHT('1. Yixian'!J113,3)=RIGHT('2. Nayoung'!J113,3),1,0))</f>
        <v/>
      </c>
      <c r="I113" s="20" t="str">
        <f>IF(H113="","",IF(OR('2. Nayoung'!K113="", '1. Yixian'!K113 = ""),0,1))</f>
        <v/>
      </c>
      <c r="J113" s="20" t="str">
        <f>IF('1. Yixian'!L113="","",IF('1. Yixian'!L113='2. Nayoung'!L113,1,0))</f>
        <v/>
      </c>
      <c r="K113" s="20" t="str">
        <f>IF('1. Yixian'!M113="","",IF('1. Yixian'!M113='2. Nayoung'!M113,1,0))</f>
        <v/>
      </c>
      <c r="L113" s="20" t="str">
        <f>IF('1. Yixian'!N113="","",IF('1. Yixian'!N113='2. Nayoung'!N113,1,0))</f>
        <v/>
      </c>
      <c r="M113" s="20" t="str">
        <f>IF('1. Yixian'!O113="","",IF('1. Yixian'!O113='2. Nayoung'!O113,1,0))</f>
        <v/>
      </c>
      <c r="N113" s="20" t="str">
        <f>IF('1. Yixian'!P113="","",IF('1. Yixian'!P113='2. Nayoung'!P113,1,0))</f>
        <v/>
      </c>
      <c r="O113" s="20" t="str">
        <f>IF('1. Yixian'!Q113="","",IF('1. Yixian'!Q113='2. Nayoung'!Q113,1,0))</f>
        <v/>
      </c>
      <c r="P113" s="20" t="str">
        <f>IF('1. Yixian'!R113="","",IF('1. Yixian'!R113='2. Nayoung'!R113,1,0))</f>
        <v/>
      </c>
      <c r="Q113" s="20" t="str">
        <f>IF('1. Yixian'!S113="","",IF('1. Yixian'!S113='2. Nayoung'!S113,1,0))</f>
        <v/>
      </c>
      <c r="R113" s="20" t="str">
        <f>IF('1. Yixian'!T113="","",IF('1. Yixian'!T113='2. Nayoung'!T113,1,0))</f>
        <v/>
      </c>
      <c r="S113" s="20" t="str">
        <f>IF(R113="","",IF(OR('2. Nayoung'!U113="", '1. Yixian'!U113 = ""),0,1))</f>
        <v/>
      </c>
      <c r="T113" s="20" t="str">
        <f>IF('1. Yixian'!V113="","",IF('1. Yixian'!V113='2. Nayoung'!V113,1,0))</f>
        <v/>
      </c>
      <c r="U113" s="20" t="str">
        <f>IF('1. Yixian'!W113="","",IF('1. Yixian'!W113='2. Nayoung'!W113,1,0))</f>
        <v/>
      </c>
      <c r="V113" s="20" t="str">
        <f>IF('1. Yixian'!X113="","",IF('1. Yixian'!X113='2. Nayoung'!X113,1,0))</f>
        <v/>
      </c>
      <c r="W113" s="20" t="str">
        <f>IF('1. Yixian'!Y113="","",IF('1. Yixian'!Y113='2. Nayoung'!Y113,1,0))</f>
        <v/>
      </c>
      <c r="X113" s="20" t="str">
        <f>IF('1. Yixian'!Z113="","",IF('1. Yixian'!Z113='2. Nayoung'!Z113,1,0))</f>
        <v/>
      </c>
      <c r="Y113" s="20" t="str">
        <f>IF('1. Yixian'!AA113="","",IF('1. Yixian'!AA113='2. Nayoung'!AA113,1,0))</f>
        <v/>
      </c>
      <c r="Z113" s="20" t="str">
        <f>IF('1. Yixian'!AB113="","",IF('1. Yixian'!AB113='2. Nayoung'!AB113,1,0))</f>
        <v/>
      </c>
      <c r="AA113" s="20" t="str">
        <f>IF('1. Yixian'!AC113="","",IF('1. Yixian'!AC113='2. Nayoung'!AC113,1,0))</f>
        <v/>
      </c>
      <c r="AB113" s="20">
        <f>IF(OR('2. Nayoung'!AD112="", '1. Yixian'!AD113 = ""),0,1)</f>
        <v>1</v>
      </c>
      <c r="AC113" s="20">
        <f>IF('1. Yixian'!AE113="","",IF('1. Yixian'!AE113='2. Nayoung'!AE113,1,0))</f>
        <v>1</v>
      </c>
      <c r="AD113" s="20">
        <f>IF(OR('2. Nayoung'!AF113="", '1. Yixian'!AF113 = ""),0,1)</f>
        <v>1</v>
      </c>
      <c r="AF113" s="20">
        <f>IF('1. Yixian'!AH113="","",IF('1. Yixian'!AH113='2. Nayoung'!AH113,1,0))</f>
        <v>1</v>
      </c>
      <c r="AG113" s="20">
        <f>IF('1. Yixian'!AI113="","",IF('1. Yixian'!AI113='2. Nayoung'!AI113,1,0))</f>
        <v>1</v>
      </c>
      <c r="AH113" s="20">
        <f>IF('1. Yixian'!AJ113="","",IF('1. Yixian'!AJ113='2. Nayoung'!AJ113,1,0))</f>
        <v>1</v>
      </c>
      <c r="AI113" s="20">
        <f>IF('1. Yixian'!AK113="","",IF('1. Yixian'!AK113='2. Nayoung'!AK113,1,0))</f>
        <v>1</v>
      </c>
      <c r="AJ113" s="20">
        <f>IF('1. Yixian'!AL113="","",IF('1. Yixian'!AL113='2. Nayoung'!AL113,1,0))</f>
        <v>1</v>
      </c>
      <c r="AK113" s="20">
        <f>IF('1. Yixian'!AM113="","",IF('1. Yixian'!AM113='2. Nayoung'!AM113,1,0))</f>
        <v>1</v>
      </c>
      <c r="AL113" s="20" t="str">
        <f>IF('1. Yixian'!AT113="","",IF('1. Yixian'!AT113='2. Nayoung'!AT113,1,0))</f>
        <v/>
      </c>
      <c r="AM113" s="20" t="str">
        <f>IF('1. Yixian'!AU113="","",IF('1. Yixian'!AU113='2. Nayoung'!AU113,1,0))</f>
        <v/>
      </c>
      <c r="AN113" s="2"/>
    </row>
    <row r="114" spans="1:40" s="20" customFormat="1" ht="17" hidden="1" customHeight="1">
      <c r="A114" s="20" t="str">
        <f>IF('1. Yixian'!A114="","",IF('1. Yixian'!A114='2. Nayoung'!A114,1,0))</f>
        <v/>
      </c>
      <c r="B114" s="20" t="str">
        <f>IF('1. Yixian'!B114="","",IF(RIGHT('1. Yixian'!B114,2)=RIGHT('2. Nayoung'!B114,2),1,0))</f>
        <v/>
      </c>
      <c r="C114" s="20" t="str">
        <f>IF('1. Yixian'!C114="","",IF('1. Yixian'!C114='2. Nayoung'!C114,1,0))</f>
        <v/>
      </c>
      <c r="E114" s="20" t="str">
        <f>IF('1. Yixian'!E114="","",IF('1. Yixian'!E114='2. Nayoung'!E114,1,0))</f>
        <v/>
      </c>
      <c r="F114" s="20" t="str">
        <f>IF('1. Yixian'!F114="","",IF('1. Yixian'!F114='2. Nayoung'!F114,1,0))</f>
        <v/>
      </c>
      <c r="G114" s="20" t="str">
        <f>IF('1. Yixian'!G114="","",IF('1. Yixian'!G114='2. Nayoung'!G114,1,0))</f>
        <v/>
      </c>
      <c r="H114" s="20">
        <f>IF('1. Yixian'!J114="","",IF(RIGHT('1. Yixian'!J114,3)=RIGHT('2. Nayoung'!J114,3),1,0))</f>
        <v>0</v>
      </c>
      <c r="I114" s="20">
        <f>IF(H114="","",IF(OR('2. Nayoung'!K114="", '1. Yixian'!K114 = ""),0,1))</f>
        <v>1</v>
      </c>
      <c r="J114" s="20">
        <f>IF('1. Yixian'!L114="","",IF('1. Yixian'!L114='2. Nayoung'!L114,1,0))</f>
        <v>1</v>
      </c>
      <c r="K114" s="20">
        <f>IF('1. Yixian'!M114="","",IF('1. Yixian'!M114='2. Nayoung'!M114,1,0))</f>
        <v>1</v>
      </c>
      <c r="L114" s="20">
        <f>IF('1. Yixian'!N114="","",IF('1. Yixian'!N114='2. Nayoung'!N114,1,0))</f>
        <v>1</v>
      </c>
      <c r="M114" s="20">
        <f>IF('1. Yixian'!O114="","",IF('1. Yixian'!O114='2. Nayoung'!O114,1,0))</f>
        <v>1</v>
      </c>
      <c r="N114" s="20">
        <f>IF('1. Yixian'!P114="","",IF('1. Yixian'!P114='2. Nayoung'!P114,1,0))</f>
        <v>1</v>
      </c>
      <c r="O114" s="20">
        <f>IF('1. Yixian'!Q114="","",IF('1. Yixian'!Q114='2. Nayoung'!Q114,1,0))</f>
        <v>1</v>
      </c>
      <c r="P114" s="20">
        <f>IF('1. Yixian'!R114="","",IF('1. Yixian'!R114='2. Nayoung'!R114,1,0))</f>
        <v>1</v>
      </c>
      <c r="Q114" s="20">
        <f>IF('1. Yixian'!S114="","",IF('1. Yixian'!S114='2. Nayoung'!S114,1,0))</f>
        <v>1</v>
      </c>
      <c r="R114" s="20">
        <f>IF('1. Yixian'!T114="","",IF('1. Yixian'!T114='2. Nayoung'!T114,1,0))</f>
        <v>1</v>
      </c>
      <c r="S114" s="20">
        <f>IF(R114="","",IF(OR('2. Nayoung'!U114="", '1. Yixian'!U114 = ""),0,1))</f>
        <v>1</v>
      </c>
      <c r="T114" s="20">
        <f>IF('1. Yixian'!V114="","",IF('1. Yixian'!V114='2. Nayoung'!V114,1,0))</f>
        <v>1</v>
      </c>
      <c r="U114" s="20">
        <f>IF('1. Yixian'!W114="","",IF('1. Yixian'!W114='2. Nayoung'!W114,1,0))</f>
        <v>1</v>
      </c>
      <c r="V114" s="20">
        <f>IF('1. Yixian'!X114="","",IF('1. Yixian'!X114='2. Nayoung'!X114,1,0))</f>
        <v>1</v>
      </c>
      <c r="W114" s="20">
        <f>IF('1. Yixian'!Y114="","",IF('1. Yixian'!Y114='2. Nayoung'!Y114,1,0))</f>
        <v>1</v>
      </c>
      <c r="X114" s="20">
        <f>IF('1. Yixian'!Z114="","",IF('1. Yixian'!Z114='2. Nayoung'!Z114,1,0))</f>
        <v>1</v>
      </c>
      <c r="Y114" s="20">
        <f>IF('1. Yixian'!AA114="","",IF('1. Yixian'!AA114='2. Nayoung'!AA114,1,0))</f>
        <v>1</v>
      </c>
      <c r="Z114" s="20">
        <f>IF('1. Yixian'!AB114="","",IF('1. Yixian'!AB114='2. Nayoung'!AB114,1,0))</f>
        <v>1</v>
      </c>
      <c r="AA114" s="20">
        <f>IF('1. Yixian'!AC114="","",IF('1. Yixian'!AC114='2. Nayoung'!AC114,1,0))</f>
        <v>1</v>
      </c>
      <c r="AB114" s="20">
        <f>IF(OR('2. Nayoung'!AD113="", '1. Yixian'!AD114 = ""),0,1)</f>
        <v>1</v>
      </c>
      <c r="AC114" s="20">
        <f>IF('1. Yixian'!AE114="","",IF('1. Yixian'!AE114='2. Nayoung'!AE114,1,0))</f>
        <v>1</v>
      </c>
      <c r="AD114" s="20">
        <f>IF(OR('2. Nayoung'!AF114="", '1. Yixian'!AF114 = ""),0,1)</f>
        <v>1</v>
      </c>
      <c r="AF114" s="20">
        <f>IF('1. Yixian'!AH114="","",IF('1. Yixian'!AH114='2. Nayoung'!AH114,1,0))</f>
        <v>1</v>
      </c>
      <c r="AG114" s="20">
        <f>IF('1. Yixian'!AI114="","",IF('1. Yixian'!AI114='2. Nayoung'!AI114,1,0))</f>
        <v>1</v>
      </c>
      <c r="AH114" s="20">
        <f>IF('1. Yixian'!AJ114="","",IF('1. Yixian'!AJ114='2. Nayoung'!AJ114,1,0))</f>
        <v>1</v>
      </c>
      <c r="AI114" s="20">
        <f>IF('1. Yixian'!AK114="","",IF('1. Yixian'!AK114='2. Nayoung'!AK114,1,0))</f>
        <v>1</v>
      </c>
      <c r="AJ114" s="20">
        <f>IF('1. Yixian'!AL114="","",IF('1. Yixian'!AL114='2. Nayoung'!AL114,1,0))</f>
        <v>1</v>
      </c>
      <c r="AK114" s="20">
        <f>IF('1. Yixian'!AM114="","",IF('1. Yixian'!AM114='2. Nayoung'!AM114,1,0))</f>
        <v>1</v>
      </c>
      <c r="AL114" s="20" t="str">
        <f>IF('1. Yixian'!AT114="","",IF('1. Yixian'!AT114='2. Nayoung'!AT114,1,0))</f>
        <v/>
      </c>
      <c r="AM114" s="20" t="str">
        <f>IF('1. Yixian'!AU114="","",IF('1. Yixian'!AU114='2. Nayoung'!AU114,1,0))</f>
        <v/>
      </c>
      <c r="AN114" s="2"/>
    </row>
    <row r="115" spans="1:40" s="20" customFormat="1" ht="17" hidden="1" customHeight="1">
      <c r="A115" s="20" t="str">
        <f>IF('1. Yixian'!A115="","",IF('1. Yixian'!A115='2. Nayoung'!A115,1,0))</f>
        <v/>
      </c>
      <c r="B115" s="20" t="str">
        <f>IF('1. Yixian'!B115="","",IF(RIGHT('1. Yixian'!B115,2)=RIGHT('2. Nayoung'!B115,2),1,0))</f>
        <v/>
      </c>
      <c r="C115" s="20" t="str">
        <f>IF('1. Yixian'!C115="","",IF('1. Yixian'!C115='2. Nayoung'!C115,1,0))</f>
        <v/>
      </c>
      <c r="E115" s="20" t="str">
        <f>IF('1. Yixian'!E115="","",IF('1. Yixian'!E115='2. Nayoung'!E115,1,0))</f>
        <v/>
      </c>
      <c r="F115" s="20" t="str">
        <f>IF('1. Yixian'!F115="","",IF('1. Yixian'!F115='2. Nayoung'!F115,1,0))</f>
        <v/>
      </c>
      <c r="G115" s="20" t="str">
        <f>IF('1. Yixian'!G115="","",IF('1. Yixian'!G115='2. Nayoung'!G115,1,0))</f>
        <v/>
      </c>
      <c r="H115" s="20" t="str">
        <f>IF('1. Yixian'!J115="","",IF(RIGHT('1. Yixian'!J115,3)=RIGHT('2. Nayoung'!J115,3),1,0))</f>
        <v/>
      </c>
      <c r="I115" s="20" t="str">
        <f>IF(H115="","",IF(OR('2. Nayoung'!K115="", '1. Yixian'!K115 = ""),0,1))</f>
        <v/>
      </c>
      <c r="J115" s="20" t="str">
        <f>IF('1. Yixian'!L115="","",IF('1. Yixian'!L115='2. Nayoung'!L115,1,0))</f>
        <v/>
      </c>
      <c r="K115" s="20" t="str">
        <f>IF('1. Yixian'!M115="","",IF('1. Yixian'!M115='2. Nayoung'!M115,1,0))</f>
        <v/>
      </c>
      <c r="L115" s="20" t="str">
        <f>IF('1. Yixian'!N115="","",IF('1. Yixian'!N115='2. Nayoung'!N115,1,0))</f>
        <v/>
      </c>
      <c r="M115" s="20" t="str">
        <f>IF('1. Yixian'!O115="","",IF('1. Yixian'!O115='2. Nayoung'!O115,1,0))</f>
        <v/>
      </c>
      <c r="N115" s="20" t="str">
        <f>IF('1. Yixian'!P115="","",IF('1. Yixian'!P115='2. Nayoung'!P115,1,0))</f>
        <v/>
      </c>
      <c r="O115" s="20" t="str">
        <f>IF('1. Yixian'!Q115="","",IF('1. Yixian'!Q115='2. Nayoung'!Q115,1,0))</f>
        <v/>
      </c>
      <c r="P115" s="20" t="str">
        <f>IF('1. Yixian'!R115="","",IF('1. Yixian'!R115='2. Nayoung'!R115,1,0))</f>
        <v/>
      </c>
      <c r="Q115" s="20" t="str">
        <f>IF('1. Yixian'!S115="","",IF('1. Yixian'!S115='2. Nayoung'!S115,1,0))</f>
        <v/>
      </c>
      <c r="R115" s="20" t="str">
        <f>IF('1. Yixian'!T115="","",IF('1. Yixian'!T115='2. Nayoung'!T115,1,0))</f>
        <v/>
      </c>
      <c r="S115" s="20" t="str">
        <f>IF(R115="","",IF(OR('2. Nayoung'!U115="", '1. Yixian'!U115 = ""),0,1))</f>
        <v/>
      </c>
      <c r="T115" s="20" t="str">
        <f>IF('1. Yixian'!V115="","",IF('1. Yixian'!V115='2. Nayoung'!V115,1,0))</f>
        <v/>
      </c>
      <c r="U115" s="20" t="str">
        <f>IF('1. Yixian'!W115="","",IF('1. Yixian'!W115='2. Nayoung'!W115,1,0))</f>
        <v/>
      </c>
      <c r="V115" s="20" t="str">
        <f>IF('1. Yixian'!X115="","",IF('1. Yixian'!X115='2. Nayoung'!X115,1,0))</f>
        <v/>
      </c>
      <c r="W115" s="20" t="str">
        <f>IF('1. Yixian'!Y115="","",IF('1. Yixian'!Y115='2. Nayoung'!Y115,1,0))</f>
        <v/>
      </c>
      <c r="X115" s="20" t="str">
        <f>IF('1. Yixian'!Z115="","",IF('1. Yixian'!Z115='2. Nayoung'!Z115,1,0))</f>
        <v/>
      </c>
      <c r="Y115" s="20" t="str">
        <f>IF('1. Yixian'!AA115="","",IF('1. Yixian'!AA115='2. Nayoung'!AA115,1,0))</f>
        <v/>
      </c>
      <c r="Z115" s="20" t="str">
        <f>IF('1. Yixian'!AB115="","",IF('1. Yixian'!AB115='2. Nayoung'!AB115,1,0))</f>
        <v/>
      </c>
      <c r="AA115" s="20" t="str">
        <f>IF('1. Yixian'!AC115="","",IF('1. Yixian'!AC115='2. Nayoung'!AC115,1,0))</f>
        <v/>
      </c>
      <c r="AB115" s="20">
        <f>IF(OR('2. Nayoung'!AD114="", '1. Yixian'!AD115 = ""),0,1)</f>
        <v>1</v>
      </c>
      <c r="AC115" s="20">
        <f>IF('1. Yixian'!AE115="","",IF('1. Yixian'!AE115='2. Nayoung'!AE115,1,0))</f>
        <v>1</v>
      </c>
      <c r="AD115" s="20">
        <f>IF(OR('2. Nayoung'!AF115="", '1. Yixian'!AF115 = ""),0,1)</f>
        <v>1</v>
      </c>
      <c r="AF115" s="20">
        <f>IF('1. Yixian'!AH115="","",IF('1. Yixian'!AH115='2. Nayoung'!AH115,1,0))</f>
        <v>1</v>
      </c>
      <c r="AG115" s="20">
        <f>IF('1. Yixian'!AI115="","",IF('1. Yixian'!AI115='2. Nayoung'!AI115,1,0))</f>
        <v>1</v>
      </c>
      <c r="AH115" s="20">
        <f>IF('1. Yixian'!AJ115="","",IF('1. Yixian'!AJ115='2. Nayoung'!AJ115,1,0))</f>
        <v>1</v>
      </c>
      <c r="AI115" s="20">
        <f>IF('1. Yixian'!AK115="","",IF('1. Yixian'!AK115='2. Nayoung'!AK115,1,0))</f>
        <v>1</v>
      </c>
      <c r="AJ115" s="20">
        <f>IF('1. Yixian'!AL115="","",IF('1. Yixian'!AL115='2. Nayoung'!AL115,1,0))</f>
        <v>1</v>
      </c>
      <c r="AK115" s="20">
        <f>IF('1. Yixian'!AM115="","",IF('1. Yixian'!AM115='2. Nayoung'!AM115,1,0))</f>
        <v>1</v>
      </c>
      <c r="AL115" s="20" t="str">
        <f>IF('1. Yixian'!AT115="","",IF('1. Yixian'!AT115='2. Nayoung'!AT115,1,0))</f>
        <v/>
      </c>
      <c r="AM115" s="20" t="str">
        <f>IF('1. Yixian'!AU115="","",IF('1. Yixian'!AU115='2. Nayoung'!AU115,1,0))</f>
        <v/>
      </c>
      <c r="AN115" s="2"/>
    </row>
    <row r="116" spans="1:40" s="20" customFormat="1" ht="17" hidden="1" customHeight="1">
      <c r="A116" s="20" t="str">
        <f>IF('1. Yixian'!A116="","",IF('1. Yixian'!A116='2. Nayoung'!A116,1,0))</f>
        <v/>
      </c>
      <c r="B116" s="20" t="str">
        <f>IF('1. Yixian'!B116="","",IF(RIGHT('1. Yixian'!B116,2)=RIGHT('2. Nayoung'!B116,2),1,0))</f>
        <v/>
      </c>
      <c r="C116" s="20" t="str">
        <f>IF('1. Yixian'!C116="","",IF('1. Yixian'!C116='2. Nayoung'!C116,1,0))</f>
        <v/>
      </c>
      <c r="E116" s="20" t="str">
        <f>IF('1. Yixian'!E116="","",IF('1. Yixian'!E116='2. Nayoung'!E116,1,0))</f>
        <v/>
      </c>
      <c r="F116" s="20" t="str">
        <f>IF('1. Yixian'!F116="","",IF('1. Yixian'!F116='2. Nayoung'!F116,1,0))</f>
        <v/>
      </c>
      <c r="G116" s="20" t="str">
        <f>IF('1. Yixian'!G116="","",IF('1. Yixian'!G116='2. Nayoung'!G116,1,0))</f>
        <v/>
      </c>
      <c r="H116" s="20" t="str">
        <f>IF('1. Yixian'!J116="","",IF(RIGHT('1. Yixian'!J116,3)=RIGHT('2. Nayoung'!J116,3),1,0))</f>
        <v/>
      </c>
      <c r="I116" s="20" t="str">
        <f>IF(H116="","",IF(OR('2. Nayoung'!K116="", '1. Yixian'!K116 = ""),0,1))</f>
        <v/>
      </c>
      <c r="J116" s="20" t="str">
        <f>IF('1. Yixian'!L116="","",IF('1. Yixian'!L116='2. Nayoung'!L116,1,0))</f>
        <v/>
      </c>
      <c r="K116" s="20" t="str">
        <f>IF('1. Yixian'!M116="","",IF('1. Yixian'!M116='2. Nayoung'!M116,1,0))</f>
        <v/>
      </c>
      <c r="L116" s="20" t="str">
        <f>IF('1. Yixian'!N116="","",IF('1. Yixian'!N116='2. Nayoung'!N116,1,0))</f>
        <v/>
      </c>
      <c r="M116" s="20" t="str">
        <f>IF('1. Yixian'!O116="","",IF('1. Yixian'!O116='2. Nayoung'!O116,1,0))</f>
        <v/>
      </c>
      <c r="N116" s="20" t="str">
        <f>IF('1. Yixian'!P116="","",IF('1. Yixian'!P116='2. Nayoung'!P116,1,0))</f>
        <v/>
      </c>
      <c r="O116" s="20" t="str">
        <f>IF('1. Yixian'!Q116="","",IF('1. Yixian'!Q116='2. Nayoung'!Q116,1,0))</f>
        <v/>
      </c>
      <c r="P116" s="20" t="str">
        <f>IF('1. Yixian'!R116="","",IF('1. Yixian'!R116='2. Nayoung'!R116,1,0))</f>
        <v/>
      </c>
      <c r="Q116" s="20" t="str">
        <f>IF('1. Yixian'!S116="","",IF('1. Yixian'!S116='2. Nayoung'!S116,1,0))</f>
        <v/>
      </c>
      <c r="R116" s="20" t="str">
        <f>IF('1. Yixian'!T116="","",IF('1. Yixian'!T116='2. Nayoung'!T116,1,0))</f>
        <v/>
      </c>
      <c r="S116" s="20" t="str">
        <f>IF(R116="","",IF(OR('2. Nayoung'!U116="", '1. Yixian'!U116 = ""),0,1))</f>
        <v/>
      </c>
      <c r="T116" s="20" t="str">
        <f>IF('1. Yixian'!V116="","",IF('1. Yixian'!V116='2. Nayoung'!V116,1,0))</f>
        <v/>
      </c>
      <c r="U116" s="20" t="str">
        <f>IF('1. Yixian'!W116="","",IF('1. Yixian'!W116='2. Nayoung'!W116,1,0))</f>
        <v/>
      </c>
      <c r="V116" s="20" t="str">
        <f>IF('1. Yixian'!X116="","",IF('1. Yixian'!X116='2. Nayoung'!X116,1,0))</f>
        <v/>
      </c>
      <c r="W116" s="20" t="str">
        <f>IF('1. Yixian'!Y116="","",IF('1. Yixian'!Y116='2. Nayoung'!Y116,1,0))</f>
        <v/>
      </c>
      <c r="X116" s="20" t="str">
        <f>IF('1. Yixian'!Z116="","",IF('1. Yixian'!Z116='2. Nayoung'!Z116,1,0))</f>
        <v/>
      </c>
      <c r="Y116" s="20" t="str">
        <f>IF('1. Yixian'!AA116="","",IF('1. Yixian'!AA116='2. Nayoung'!AA116,1,0))</f>
        <v/>
      </c>
      <c r="Z116" s="20" t="str">
        <f>IF('1. Yixian'!AB116="","",IF('1. Yixian'!AB116='2. Nayoung'!AB116,1,0))</f>
        <v/>
      </c>
      <c r="AA116" s="20" t="str">
        <f>IF('1. Yixian'!AC116="","",IF('1. Yixian'!AC116='2. Nayoung'!AC116,1,0))</f>
        <v/>
      </c>
      <c r="AB116" s="20">
        <f>IF(OR('2. Nayoung'!AD115="", '1. Yixian'!AD116 = ""),0,1)</f>
        <v>1</v>
      </c>
      <c r="AC116" s="20">
        <f>IF('1. Yixian'!AE116="","",IF('1. Yixian'!AE116='2. Nayoung'!AE116,1,0))</f>
        <v>1</v>
      </c>
      <c r="AD116" s="20">
        <f>IF(OR('2. Nayoung'!AF116="", '1. Yixian'!AF116 = ""),0,1)</f>
        <v>1</v>
      </c>
      <c r="AF116" s="20">
        <f>IF('1. Yixian'!AH116="","",IF('1. Yixian'!AH116='2. Nayoung'!AH116,1,0))</f>
        <v>1</v>
      </c>
      <c r="AG116" s="20">
        <f>IF('1. Yixian'!AI116="","",IF('1. Yixian'!AI116='2. Nayoung'!AI116,1,0))</f>
        <v>1</v>
      </c>
      <c r="AH116" s="20">
        <f>IF('1. Yixian'!AJ116="","",IF('1. Yixian'!AJ116='2. Nayoung'!AJ116,1,0))</f>
        <v>1</v>
      </c>
      <c r="AI116" s="20">
        <f>IF('1. Yixian'!AK116="","",IF('1. Yixian'!AK116='2. Nayoung'!AK116,1,0))</f>
        <v>1</v>
      </c>
      <c r="AJ116" s="20">
        <f>IF('1. Yixian'!AL116="","",IF('1. Yixian'!AL116='2. Nayoung'!AL116,1,0))</f>
        <v>1</v>
      </c>
      <c r="AK116" s="20">
        <f>IF('1. Yixian'!AM116="","",IF('1. Yixian'!AM116='2. Nayoung'!AM116,1,0))</f>
        <v>1</v>
      </c>
      <c r="AL116" s="20" t="str">
        <f>IF('1. Yixian'!AT116="","",IF('1. Yixian'!AT116='2. Nayoung'!AT116,1,0))</f>
        <v/>
      </c>
      <c r="AM116" s="20" t="str">
        <f>IF('1. Yixian'!AU116="","",IF('1. Yixian'!AU116='2. Nayoung'!AU116,1,0))</f>
        <v/>
      </c>
      <c r="AN116" s="2"/>
    </row>
    <row r="117" spans="1:40" s="20" customFormat="1" ht="17" hidden="1" customHeight="1">
      <c r="A117" s="20">
        <f>IF('1. Yixian'!A117="","",IF('1. Yixian'!A117='2. Nayoung'!A117,1,0))</f>
        <v>0</v>
      </c>
      <c r="B117" s="20">
        <f>IF('1. Yixian'!B117="","",IF(RIGHT('1. Yixian'!B117,2)=RIGHT('2. Nayoung'!B117,2),1,0))</f>
        <v>0</v>
      </c>
      <c r="C117" s="20">
        <f>IF('1. Yixian'!C117="","",IF('1. Yixian'!C117='2. Nayoung'!C117,1,0))</f>
        <v>0</v>
      </c>
      <c r="E117" s="20">
        <f>IF('1. Yixian'!E117="","",IF('1. Yixian'!E117='2. Nayoung'!E117,1,0))</f>
        <v>0</v>
      </c>
      <c r="F117" s="20">
        <f>IF('1. Yixian'!F117="","",IF('1. Yixian'!F117='2. Nayoung'!F117,1,0))</f>
        <v>0</v>
      </c>
      <c r="G117" s="20">
        <f>IF('1. Yixian'!G117="","",IF('1. Yixian'!G117='2. Nayoung'!G117,1,0))</f>
        <v>0</v>
      </c>
      <c r="H117" s="20">
        <f>IF('1. Yixian'!J117="","",IF(RIGHT('1. Yixian'!J117,3)=RIGHT('2. Nayoung'!J117,3),1,0))</f>
        <v>0</v>
      </c>
      <c r="I117" s="20">
        <f>IF(H117="","",IF(OR('2. Nayoung'!K117="", '1. Yixian'!K117 = ""),0,1))</f>
        <v>1</v>
      </c>
      <c r="J117" s="20">
        <f>IF('1. Yixian'!L117="","",IF('1. Yixian'!L117='2. Nayoung'!L117,1,0))</f>
        <v>1</v>
      </c>
      <c r="K117" s="20">
        <f>IF('1. Yixian'!M117="","",IF('1. Yixian'!M117='2. Nayoung'!M117,1,0))</f>
        <v>1</v>
      </c>
      <c r="L117" s="20">
        <f>IF('1. Yixian'!N117="","",IF('1. Yixian'!N117='2. Nayoung'!N117,1,0))</f>
        <v>1</v>
      </c>
      <c r="M117" s="20">
        <f>IF('1. Yixian'!O117="","",IF('1. Yixian'!O117='2. Nayoung'!O117,1,0))</f>
        <v>1</v>
      </c>
      <c r="N117" s="20">
        <f>IF('1. Yixian'!P117="","",IF('1. Yixian'!P117='2. Nayoung'!P117,1,0))</f>
        <v>1</v>
      </c>
      <c r="O117" s="20">
        <f>IF('1. Yixian'!Q117="","",IF('1. Yixian'!Q117='2. Nayoung'!Q117,1,0))</f>
        <v>1</v>
      </c>
      <c r="P117" s="20">
        <f>IF('1. Yixian'!R117="","",IF('1. Yixian'!R117='2. Nayoung'!R117,1,0))</f>
        <v>1</v>
      </c>
      <c r="Q117" s="20">
        <f>IF('1. Yixian'!S117="","",IF('1. Yixian'!S117='2. Nayoung'!S117,1,0))</f>
        <v>1</v>
      </c>
      <c r="R117" s="20">
        <f>IF('1. Yixian'!T117="","",IF('1. Yixian'!T117='2. Nayoung'!T117,1,0))</f>
        <v>1</v>
      </c>
      <c r="S117" s="20">
        <f>IF(R117="","",IF(OR('2. Nayoung'!U117="", '1. Yixian'!U117 = ""),0,1))</f>
        <v>1</v>
      </c>
      <c r="T117" s="20">
        <f>IF('1. Yixian'!V117="","",IF('1. Yixian'!V117='2. Nayoung'!V117,1,0))</f>
        <v>1</v>
      </c>
      <c r="U117" s="20">
        <f>IF('1. Yixian'!W117="","",IF('1. Yixian'!W117='2. Nayoung'!W117,1,0))</f>
        <v>1</v>
      </c>
      <c r="V117" s="20">
        <f>IF('1. Yixian'!X117="","",IF('1. Yixian'!X117='2. Nayoung'!X117,1,0))</f>
        <v>1</v>
      </c>
      <c r="W117" s="20">
        <f>IF('1. Yixian'!Y117="","",IF('1. Yixian'!Y117='2. Nayoung'!Y117,1,0))</f>
        <v>1</v>
      </c>
      <c r="X117" s="20">
        <f>IF('1. Yixian'!Z117="","",IF('1. Yixian'!Z117='2. Nayoung'!Z117,1,0))</f>
        <v>1</v>
      </c>
      <c r="Y117" s="20">
        <f>IF('1. Yixian'!AA117="","",IF('1. Yixian'!AA117='2. Nayoung'!AA117,1,0))</f>
        <v>1</v>
      </c>
      <c r="Z117" s="20">
        <f>IF('1. Yixian'!AB117="","",IF('1. Yixian'!AB117='2. Nayoung'!AB117,1,0))</f>
        <v>1</v>
      </c>
      <c r="AA117" s="20">
        <f>IF('1. Yixian'!AC117="","",IF('1. Yixian'!AC117='2. Nayoung'!AC117,1,0))</f>
        <v>1</v>
      </c>
      <c r="AB117" s="20">
        <f>IF(OR('2. Nayoung'!AD116="", '1. Yixian'!AD117 = ""),0,1)</f>
        <v>1</v>
      </c>
      <c r="AC117" s="20">
        <f>IF('1. Yixian'!AE117="","",IF('1. Yixian'!AE117='2. Nayoung'!AE117,1,0))</f>
        <v>1</v>
      </c>
      <c r="AD117" s="20">
        <f>IF(OR('2. Nayoung'!AF117="", '1. Yixian'!AF117 = ""),0,1)</f>
        <v>1</v>
      </c>
      <c r="AF117" s="20">
        <f>IF('1. Yixian'!AH117="","",IF('1. Yixian'!AH117='2. Nayoung'!AH117,1,0))</f>
        <v>1</v>
      </c>
      <c r="AG117" s="20">
        <f>IF('1. Yixian'!AI117="","",IF('1. Yixian'!AI117='2. Nayoung'!AI117,1,0))</f>
        <v>1</v>
      </c>
      <c r="AH117" s="20">
        <f>IF('1. Yixian'!AJ117="","",IF('1. Yixian'!AJ117='2. Nayoung'!AJ117,1,0))</f>
        <v>1</v>
      </c>
      <c r="AI117" s="20">
        <f>IF('1. Yixian'!AK117="","",IF('1. Yixian'!AK117='2. Nayoung'!AK117,1,0))</f>
        <v>1</v>
      </c>
      <c r="AJ117" s="20">
        <f>IF('1. Yixian'!AL117="","",IF('1. Yixian'!AL117='2. Nayoung'!AL117,1,0))</f>
        <v>1</v>
      </c>
      <c r="AK117" s="20">
        <f>IF('1. Yixian'!AM117="","",IF('1. Yixian'!AM117='2. Nayoung'!AM117,1,0))</f>
        <v>1</v>
      </c>
      <c r="AL117" s="20" t="str">
        <f>IF('1. Yixian'!AT117="","",IF('1. Yixian'!AT117='2. Nayoung'!AT117,1,0))</f>
        <v/>
      </c>
      <c r="AM117" s="20" t="str">
        <f>IF('1. Yixian'!AU117="","",IF('1. Yixian'!AU117='2. Nayoung'!AU117,1,0))</f>
        <v/>
      </c>
      <c r="AN117" s="2"/>
    </row>
    <row r="118" spans="1:40" s="20" customFormat="1" ht="17" hidden="1" customHeight="1">
      <c r="A118" s="20" t="str">
        <f>IF('1. Yixian'!A118="","",IF('1. Yixian'!A118='2. Nayoung'!A118,1,0))</f>
        <v/>
      </c>
      <c r="B118" s="20" t="str">
        <f>IF('1. Yixian'!B118="","",IF(RIGHT('1. Yixian'!B118,2)=RIGHT('2. Nayoung'!B118,2),1,0))</f>
        <v/>
      </c>
      <c r="C118" s="20" t="str">
        <f>IF('1. Yixian'!C118="","",IF('1. Yixian'!C118='2. Nayoung'!C118,1,0))</f>
        <v/>
      </c>
      <c r="E118" s="20" t="str">
        <f>IF('1. Yixian'!E118="","",IF('1. Yixian'!E118='2. Nayoung'!E118,1,0))</f>
        <v/>
      </c>
      <c r="F118" s="20" t="str">
        <f>IF('1. Yixian'!F118="","",IF('1. Yixian'!F118='2. Nayoung'!F118,1,0))</f>
        <v/>
      </c>
      <c r="G118" s="20" t="str">
        <f>IF('1. Yixian'!G118="","",IF('1. Yixian'!G118='2. Nayoung'!G118,1,0))</f>
        <v/>
      </c>
      <c r="H118" s="20" t="str">
        <f>IF('1. Yixian'!J118="","",IF(RIGHT('1. Yixian'!J118,3)=RIGHT('2. Nayoung'!J118,3),1,0))</f>
        <v/>
      </c>
      <c r="I118" s="20" t="str">
        <f>IF(H118="","",IF(OR('2. Nayoung'!K118="", '1. Yixian'!K118 = ""),0,1))</f>
        <v/>
      </c>
      <c r="J118" s="20" t="str">
        <f>IF('1. Yixian'!L118="","",IF('1. Yixian'!L118='2. Nayoung'!L118,1,0))</f>
        <v/>
      </c>
      <c r="K118" s="20" t="str">
        <f>IF('1. Yixian'!M118="","",IF('1. Yixian'!M118='2. Nayoung'!M118,1,0))</f>
        <v/>
      </c>
      <c r="L118" s="20" t="str">
        <f>IF('1. Yixian'!N118="","",IF('1. Yixian'!N118='2. Nayoung'!N118,1,0))</f>
        <v/>
      </c>
      <c r="M118" s="20" t="str">
        <f>IF('1. Yixian'!O118="","",IF('1. Yixian'!O118='2. Nayoung'!O118,1,0))</f>
        <v/>
      </c>
      <c r="N118" s="20" t="str">
        <f>IF('1. Yixian'!P118="","",IF('1. Yixian'!P118='2. Nayoung'!P118,1,0))</f>
        <v/>
      </c>
      <c r="O118" s="20" t="str">
        <f>IF('1. Yixian'!Q118="","",IF('1. Yixian'!Q118='2. Nayoung'!Q118,1,0))</f>
        <v/>
      </c>
      <c r="P118" s="20" t="str">
        <f>IF('1. Yixian'!R118="","",IF('1. Yixian'!R118='2. Nayoung'!R118,1,0))</f>
        <v/>
      </c>
      <c r="Q118" s="20" t="str">
        <f>IF('1. Yixian'!S118="","",IF('1. Yixian'!S118='2. Nayoung'!S118,1,0))</f>
        <v/>
      </c>
      <c r="R118" s="20" t="str">
        <f>IF('1. Yixian'!T118="","",IF('1. Yixian'!T118='2. Nayoung'!T118,1,0))</f>
        <v/>
      </c>
      <c r="S118" s="20" t="str">
        <f>IF(R118="","",IF(OR('2. Nayoung'!U118="", '1. Yixian'!U118 = ""),0,1))</f>
        <v/>
      </c>
      <c r="T118" s="20" t="str">
        <f>IF('1. Yixian'!V118="","",IF('1. Yixian'!V118='2. Nayoung'!V118,1,0))</f>
        <v/>
      </c>
      <c r="U118" s="20" t="str">
        <f>IF('1. Yixian'!W118="","",IF('1. Yixian'!W118='2. Nayoung'!W118,1,0))</f>
        <v/>
      </c>
      <c r="V118" s="20" t="str">
        <f>IF('1. Yixian'!X118="","",IF('1. Yixian'!X118='2. Nayoung'!X118,1,0))</f>
        <v/>
      </c>
      <c r="W118" s="20" t="str">
        <f>IF('1. Yixian'!Y118="","",IF('1. Yixian'!Y118='2. Nayoung'!Y118,1,0))</f>
        <v/>
      </c>
      <c r="X118" s="20" t="str">
        <f>IF('1. Yixian'!Z118="","",IF('1. Yixian'!Z118='2. Nayoung'!Z118,1,0))</f>
        <v/>
      </c>
      <c r="Y118" s="20" t="str">
        <f>IF('1. Yixian'!AA118="","",IF('1. Yixian'!AA118='2. Nayoung'!AA118,1,0))</f>
        <v/>
      </c>
      <c r="Z118" s="20" t="str">
        <f>IF('1. Yixian'!AB118="","",IF('1. Yixian'!AB118='2. Nayoung'!AB118,1,0))</f>
        <v/>
      </c>
      <c r="AA118" s="20" t="str">
        <f>IF('1. Yixian'!AC118="","",IF('1. Yixian'!AC118='2. Nayoung'!AC118,1,0))</f>
        <v/>
      </c>
      <c r="AB118" s="20">
        <f>IF(OR('2. Nayoung'!AD117="", '1. Yixian'!AD118 = ""),0,1)</f>
        <v>1</v>
      </c>
      <c r="AC118" s="20">
        <f>IF('1. Yixian'!AE118="","",IF('1. Yixian'!AE118='2. Nayoung'!AE118,1,0))</f>
        <v>1</v>
      </c>
      <c r="AD118" s="20">
        <f>IF(OR('2. Nayoung'!AF118="", '1. Yixian'!AF118 = ""),0,1)</f>
        <v>1</v>
      </c>
      <c r="AF118" s="20">
        <f>IF('1. Yixian'!AH118="","",IF('1. Yixian'!AH118='2. Nayoung'!AH118,1,0))</f>
        <v>1</v>
      </c>
      <c r="AG118" s="20">
        <f>IF('1. Yixian'!AI118="","",IF('1. Yixian'!AI118='2. Nayoung'!AI118,1,0))</f>
        <v>1</v>
      </c>
      <c r="AH118" s="20">
        <f>IF('1. Yixian'!AJ118="","",IF('1. Yixian'!AJ118='2. Nayoung'!AJ118,1,0))</f>
        <v>1</v>
      </c>
      <c r="AI118" s="20">
        <f>IF('1. Yixian'!AK118="","",IF('1. Yixian'!AK118='2. Nayoung'!AK118,1,0))</f>
        <v>1</v>
      </c>
      <c r="AJ118" s="20">
        <f>IF('1. Yixian'!AL118="","",IF('1. Yixian'!AL118='2. Nayoung'!AL118,1,0))</f>
        <v>1</v>
      </c>
      <c r="AK118" s="20">
        <f>IF('1. Yixian'!AM118="","",IF('1. Yixian'!AM118='2. Nayoung'!AM118,1,0))</f>
        <v>1</v>
      </c>
      <c r="AL118" s="20" t="str">
        <f>IF('1. Yixian'!AT118="","",IF('1. Yixian'!AT118='2. Nayoung'!AT118,1,0))</f>
        <v/>
      </c>
      <c r="AM118" s="20" t="str">
        <f>IF('1. Yixian'!AU118="","",IF('1. Yixian'!AU118='2. Nayoung'!AU118,1,0))</f>
        <v/>
      </c>
      <c r="AN118" s="2"/>
    </row>
    <row r="119" spans="1:40" s="20" customFormat="1" ht="17" hidden="1" customHeight="1">
      <c r="A119" s="20" t="str">
        <f>IF('1. Yixian'!A119="","",IF('1. Yixian'!A119='2. Nayoung'!A119,1,0))</f>
        <v/>
      </c>
      <c r="B119" s="20" t="str">
        <f>IF('1. Yixian'!B119="","",IF(RIGHT('1. Yixian'!B119,2)=RIGHT('2. Nayoung'!B119,2),1,0))</f>
        <v/>
      </c>
      <c r="C119" s="20" t="str">
        <f>IF('1. Yixian'!C119="","",IF('1. Yixian'!C119='2. Nayoung'!C119,1,0))</f>
        <v/>
      </c>
      <c r="E119" s="20" t="str">
        <f>IF('1. Yixian'!E119="","",IF('1. Yixian'!E119='2. Nayoung'!E119,1,0))</f>
        <v/>
      </c>
      <c r="F119" s="20" t="str">
        <f>IF('1. Yixian'!F119="","",IF('1. Yixian'!F119='2. Nayoung'!F119,1,0))</f>
        <v/>
      </c>
      <c r="G119" s="20" t="str">
        <f>IF('1. Yixian'!G119="","",IF('1. Yixian'!G119='2. Nayoung'!G119,1,0))</f>
        <v/>
      </c>
      <c r="H119" s="20" t="str">
        <f>IF('1. Yixian'!J119="","",IF(RIGHT('1. Yixian'!J119,3)=RIGHT('2. Nayoung'!J119,3),1,0))</f>
        <v/>
      </c>
      <c r="I119" s="20" t="str">
        <f>IF(H119="","",IF(OR('2. Nayoung'!K119="", '1. Yixian'!K119 = ""),0,1))</f>
        <v/>
      </c>
      <c r="J119" s="20" t="str">
        <f>IF('1. Yixian'!L119="","",IF('1. Yixian'!L119='2. Nayoung'!L119,1,0))</f>
        <v/>
      </c>
      <c r="K119" s="20" t="str">
        <f>IF('1. Yixian'!M119="","",IF('1. Yixian'!M119='2. Nayoung'!M119,1,0))</f>
        <v/>
      </c>
      <c r="L119" s="20" t="str">
        <f>IF('1. Yixian'!N119="","",IF('1. Yixian'!N119='2. Nayoung'!N119,1,0))</f>
        <v/>
      </c>
      <c r="M119" s="20" t="str">
        <f>IF('1. Yixian'!O119="","",IF('1. Yixian'!O119='2. Nayoung'!O119,1,0))</f>
        <v/>
      </c>
      <c r="N119" s="20" t="str">
        <f>IF('1. Yixian'!P119="","",IF('1. Yixian'!P119='2. Nayoung'!P119,1,0))</f>
        <v/>
      </c>
      <c r="O119" s="20" t="str">
        <f>IF('1. Yixian'!Q119="","",IF('1. Yixian'!Q119='2. Nayoung'!Q119,1,0))</f>
        <v/>
      </c>
      <c r="P119" s="20" t="str">
        <f>IF('1. Yixian'!R119="","",IF('1. Yixian'!R119='2. Nayoung'!R119,1,0))</f>
        <v/>
      </c>
      <c r="Q119" s="20" t="str">
        <f>IF('1. Yixian'!S119="","",IF('1. Yixian'!S119='2. Nayoung'!S119,1,0))</f>
        <v/>
      </c>
      <c r="R119" s="20" t="str">
        <f>IF('1. Yixian'!T119="","",IF('1. Yixian'!T119='2. Nayoung'!T119,1,0))</f>
        <v/>
      </c>
      <c r="S119" s="20" t="str">
        <f>IF(R119="","",IF(OR('2. Nayoung'!U119="", '1. Yixian'!U119 = ""),0,1))</f>
        <v/>
      </c>
      <c r="T119" s="20" t="str">
        <f>IF('1. Yixian'!V119="","",IF('1. Yixian'!V119='2. Nayoung'!V119,1,0))</f>
        <v/>
      </c>
      <c r="U119" s="20" t="str">
        <f>IF('1. Yixian'!W119="","",IF('1. Yixian'!W119='2. Nayoung'!W119,1,0))</f>
        <v/>
      </c>
      <c r="V119" s="20" t="str">
        <f>IF('1. Yixian'!X119="","",IF('1. Yixian'!X119='2. Nayoung'!X119,1,0))</f>
        <v/>
      </c>
      <c r="W119" s="20" t="str">
        <f>IF('1. Yixian'!Y119="","",IF('1. Yixian'!Y119='2. Nayoung'!Y119,1,0))</f>
        <v/>
      </c>
      <c r="X119" s="20" t="str">
        <f>IF('1. Yixian'!Z119="","",IF('1. Yixian'!Z119='2. Nayoung'!Z119,1,0))</f>
        <v/>
      </c>
      <c r="Y119" s="20" t="str">
        <f>IF('1. Yixian'!AA119="","",IF('1. Yixian'!AA119='2. Nayoung'!AA119,1,0))</f>
        <v/>
      </c>
      <c r="Z119" s="20" t="str">
        <f>IF('1. Yixian'!AB119="","",IF('1. Yixian'!AB119='2. Nayoung'!AB119,1,0))</f>
        <v/>
      </c>
      <c r="AA119" s="20" t="str">
        <f>IF('1. Yixian'!AC119="","",IF('1. Yixian'!AC119='2. Nayoung'!AC119,1,0))</f>
        <v/>
      </c>
      <c r="AB119" s="20">
        <f>IF(OR('2. Nayoung'!AD118="", '1. Yixian'!AD119 = ""),0,1)</f>
        <v>1</v>
      </c>
      <c r="AC119" s="20">
        <f>IF('1. Yixian'!AE119="","",IF('1. Yixian'!AE119='2. Nayoung'!AE119,1,0))</f>
        <v>1</v>
      </c>
      <c r="AD119" s="20">
        <f>IF(OR('2. Nayoung'!AF119="", '1. Yixian'!AF119 = ""),0,1)</f>
        <v>1</v>
      </c>
      <c r="AF119" s="20">
        <f>IF('1. Yixian'!AH119="","",IF('1. Yixian'!AH119='2. Nayoung'!AH119,1,0))</f>
        <v>1</v>
      </c>
      <c r="AG119" s="20">
        <f>IF('1. Yixian'!AI119="","",IF('1. Yixian'!AI119='2. Nayoung'!AI119,1,0))</f>
        <v>1</v>
      </c>
      <c r="AH119" s="20">
        <f>IF('1. Yixian'!AJ119="","",IF('1. Yixian'!AJ119='2. Nayoung'!AJ119,1,0))</f>
        <v>1</v>
      </c>
      <c r="AI119" s="20">
        <f>IF('1. Yixian'!AK119="","",IF('1. Yixian'!AK119='2. Nayoung'!AK119,1,0))</f>
        <v>1</v>
      </c>
      <c r="AJ119" s="20">
        <f>IF('1. Yixian'!AL119="","",IF('1. Yixian'!AL119='2. Nayoung'!AL119,1,0))</f>
        <v>1</v>
      </c>
      <c r="AK119" s="20">
        <f>IF('1. Yixian'!AM119="","",IF('1. Yixian'!AM119='2. Nayoung'!AM119,1,0))</f>
        <v>1</v>
      </c>
      <c r="AL119" s="20" t="str">
        <f>IF('1. Yixian'!AT119="","",IF('1. Yixian'!AT119='2. Nayoung'!AT119,1,0))</f>
        <v/>
      </c>
      <c r="AM119" s="20" t="str">
        <f>IF('1. Yixian'!AU119="","",IF('1. Yixian'!AU119='2. Nayoung'!AU119,1,0))</f>
        <v/>
      </c>
      <c r="AN119" s="2"/>
    </row>
    <row r="120" spans="1:40" s="20" customFormat="1" ht="17" hidden="1" customHeight="1">
      <c r="A120" s="20" t="str">
        <f>IF('1. Yixian'!A120="","",IF('1. Yixian'!A120='2. Nayoung'!A120,1,0))</f>
        <v/>
      </c>
      <c r="B120" s="20" t="str">
        <f>IF('1. Yixian'!B120="","",IF(RIGHT('1. Yixian'!B120,2)=RIGHT('2. Nayoung'!B120,2),1,0))</f>
        <v/>
      </c>
      <c r="C120" s="20" t="str">
        <f>IF('1. Yixian'!C120="","",IF('1. Yixian'!C120='2. Nayoung'!C120,1,0))</f>
        <v/>
      </c>
      <c r="E120" s="20" t="str">
        <f>IF('1. Yixian'!E120="","",IF('1. Yixian'!E120='2. Nayoung'!E120,1,0))</f>
        <v/>
      </c>
      <c r="F120" s="20" t="str">
        <f>IF('1. Yixian'!F120="","",IF('1. Yixian'!F120='2. Nayoung'!F120,1,0))</f>
        <v/>
      </c>
      <c r="G120" s="20" t="str">
        <f>IF('1. Yixian'!G120="","",IF('1. Yixian'!G120='2. Nayoung'!G120,1,0))</f>
        <v/>
      </c>
      <c r="H120" s="20">
        <f>IF('1. Yixian'!J120="","",IF(RIGHT('1. Yixian'!J120,3)=RIGHT('2. Nayoung'!J120,3),1,0))</f>
        <v>0</v>
      </c>
      <c r="I120" s="20">
        <f>IF(H120="","",IF(OR('2. Nayoung'!K120="", '1. Yixian'!K120 = ""),0,1))</f>
        <v>1</v>
      </c>
      <c r="J120" s="20">
        <f>IF('1. Yixian'!L120="","",IF('1. Yixian'!L120='2. Nayoung'!L120,1,0))</f>
        <v>1</v>
      </c>
      <c r="K120" s="20">
        <f>IF('1. Yixian'!M120="","",IF('1. Yixian'!M120='2. Nayoung'!M120,1,0))</f>
        <v>1</v>
      </c>
      <c r="L120" s="20">
        <f>IF('1. Yixian'!N120="","",IF('1. Yixian'!N120='2. Nayoung'!N120,1,0))</f>
        <v>1</v>
      </c>
      <c r="M120" s="20">
        <f>IF('1. Yixian'!O120="","",IF('1. Yixian'!O120='2. Nayoung'!O120,1,0))</f>
        <v>1</v>
      </c>
      <c r="N120" s="20">
        <f>IF('1. Yixian'!P120="","",IF('1. Yixian'!P120='2. Nayoung'!P120,1,0))</f>
        <v>1</v>
      </c>
      <c r="O120" s="20">
        <f>IF('1. Yixian'!Q120="","",IF('1. Yixian'!Q120='2. Nayoung'!Q120,1,0))</f>
        <v>1</v>
      </c>
      <c r="P120" s="20">
        <f>IF('1. Yixian'!R120="","",IF('1. Yixian'!R120='2. Nayoung'!R120,1,0))</f>
        <v>1</v>
      </c>
      <c r="Q120" s="20">
        <f>IF('1. Yixian'!S120="","",IF('1. Yixian'!S120='2. Nayoung'!S120,1,0))</f>
        <v>1</v>
      </c>
      <c r="R120" s="20">
        <f>IF('1. Yixian'!T120="","",IF('1. Yixian'!T120='2. Nayoung'!T120,1,0))</f>
        <v>1</v>
      </c>
      <c r="S120" s="20">
        <f>IF(R120="","",IF(OR('2. Nayoung'!U120="", '1. Yixian'!U120 = ""),0,1))</f>
        <v>1</v>
      </c>
      <c r="T120" s="20">
        <f>IF('1. Yixian'!V120="","",IF('1. Yixian'!V120='2. Nayoung'!V120,1,0))</f>
        <v>1</v>
      </c>
      <c r="U120" s="20">
        <f>IF('1. Yixian'!W120="","",IF('1. Yixian'!W120='2. Nayoung'!W120,1,0))</f>
        <v>1</v>
      </c>
      <c r="V120" s="20">
        <f>IF('1. Yixian'!X120="","",IF('1. Yixian'!X120='2. Nayoung'!X120,1,0))</f>
        <v>1</v>
      </c>
      <c r="W120" s="20">
        <f>IF('1. Yixian'!Y120="","",IF('1. Yixian'!Y120='2. Nayoung'!Y120,1,0))</f>
        <v>1</v>
      </c>
      <c r="X120" s="20">
        <f>IF('1. Yixian'!Z120="","",IF('1. Yixian'!Z120='2. Nayoung'!Z120,1,0))</f>
        <v>1</v>
      </c>
      <c r="Y120" s="20">
        <f>IF('1. Yixian'!AA120="","",IF('1. Yixian'!AA120='2. Nayoung'!AA120,1,0))</f>
        <v>1</v>
      </c>
      <c r="Z120" s="20">
        <f>IF('1. Yixian'!AB120="","",IF('1. Yixian'!AB120='2. Nayoung'!AB120,1,0))</f>
        <v>1</v>
      </c>
      <c r="AA120" s="20">
        <f>IF('1. Yixian'!AC120="","",IF('1. Yixian'!AC120='2. Nayoung'!AC120,1,0))</f>
        <v>1</v>
      </c>
      <c r="AB120" s="20">
        <f>IF(OR('2. Nayoung'!AD119="", '1. Yixian'!AD120 = ""),0,1)</f>
        <v>1</v>
      </c>
      <c r="AC120" s="20">
        <f>IF('1. Yixian'!AE120="","",IF('1. Yixian'!AE120='2. Nayoung'!AE120,1,0))</f>
        <v>1</v>
      </c>
      <c r="AD120" s="20">
        <f>IF(OR('2. Nayoung'!AF120="", '1. Yixian'!AF120 = ""),0,1)</f>
        <v>1</v>
      </c>
      <c r="AF120" s="20">
        <f>IF('1. Yixian'!AH120="","",IF('1. Yixian'!AH120='2. Nayoung'!AH120,1,0))</f>
        <v>1</v>
      </c>
      <c r="AG120" s="20">
        <f>IF('1. Yixian'!AI120="","",IF('1. Yixian'!AI120='2. Nayoung'!AI120,1,0))</f>
        <v>1</v>
      </c>
      <c r="AH120" s="20">
        <f>IF('1. Yixian'!AJ120="","",IF('1. Yixian'!AJ120='2. Nayoung'!AJ120,1,0))</f>
        <v>1</v>
      </c>
      <c r="AI120" s="20">
        <f>IF('1. Yixian'!AK120="","",IF('1. Yixian'!AK120='2. Nayoung'!AK120,1,0))</f>
        <v>1</v>
      </c>
      <c r="AJ120" s="20">
        <f>IF('1. Yixian'!AL120="","",IF('1. Yixian'!AL120='2. Nayoung'!AL120,1,0))</f>
        <v>1</v>
      </c>
      <c r="AK120" s="20">
        <f>IF('1. Yixian'!AM120="","",IF('1. Yixian'!AM120='2. Nayoung'!AM120,1,0))</f>
        <v>1</v>
      </c>
      <c r="AL120" s="20" t="str">
        <f>IF('1. Yixian'!AT120="","",IF('1. Yixian'!AT120='2. Nayoung'!AT120,1,0))</f>
        <v/>
      </c>
      <c r="AM120" s="20" t="str">
        <f>IF('1. Yixian'!AU120="","",IF('1. Yixian'!AU120='2. Nayoung'!AU120,1,0))</f>
        <v/>
      </c>
      <c r="AN120" s="2"/>
    </row>
    <row r="121" spans="1:40" s="20" customFormat="1" ht="17" hidden="1" customHeight="1">
      <c r="A121" s="20" t="str">
        <f>IF('1. Yixian'!A121="","",IF('1. Yixian'!A121='2. Nayoung'!A121,1,0))</f>
        <v/>
      </c>
      <c r="B121" s="20" t="str">
        <f>IF('1. Yixian'!B121="","",IF(RIGHT('1. Yixian'!B121,2)=RIGHT('2. Nayoung'!B121,2),1,0))</f>
        <v/>
      </c>
      <c r="C121" s="20" t="str">
        <f>IF('1. Yixian'!C121="","",IF('1. Yixian'!C121='2. Nayoung'!C121,1,0))</f>
        <v/>
      </c>
      <c r="E121" s="20" t="str">
        <f>IF('1. Yixian'!E121="","",IF('1. Yixian'!E121='2. Nayoung'!E121,1,0))</f>
        <v/>
      </c>
      <c r="F121" s="20" t="str">
        <f>IF('1. Yixian'!F121="","",IF('1. Yixian'!F121='2. Nayoung'!F121,1,0))</f>
        <v/>
      </c>
      <c r="G121" s="20" t="str">
        <f>IF('1. Yixian'!G121="","",IF('1. Yixian'!G121='2. Nayoung'!G121,1,0))</f>
        <v/>
      </c>
      <c r="H121" s="20" t="str">
        <f>IF('1. Yixian'!J121="","",IF(RIGHT('1. Yixian'!J121,3)=RIGHT('2. Nayoung'!J121,3),1,0))</f>
        <v/>
      </c>
      <c r="I121" s="20" t="str">
        <f>IF(H121="","",IF(OR('2. Nayoung'!K121="", '1. Yixian'!K121 = ""),0,1))</f>
        <v/>
      </c>
      <c r="J121" s="20" t="str">
        <f>IF('1. Yixian'!L121="","",IF('1. Yixian'!L121='2. Nayoung'!L121,1,0))</f>
        <v/>
      </c>
      <c r="K121" s="20" t="str">
        <f>IF('1. Yixian'!M121="","",IF('1. Yixian'!M121='2. Nayoung'!M121,1,0))</f>
        <v/>
      </c>
      <c r="L121" s="20" t="str">
        <f>IF('1. Yixian'!N121="","",IF('1. Yixian'!N121='2. Nayoung'!N121,1,0))</f>
        <v/>
      </c>
      <c r="M121" s="20" t="str">
        <f>IF('1. Yixian'!O121="","",IF('1. Yixian'!O121='2. Nayoung'!O121,1,0))</f>
        <v/>
      </c>
      <c r="N121" s="20" t="str">
        <f>IF('1. Yixian'!P121="","",IF('1. Yixian'!P121='2. Nayoung'!P121,1,0))</f>
        <v/>
      </c>
      <c r="O121" s="20" t="str">
        <f>IF('1. Yixian'!Q121="","",IF('1. Yixian'!Q121='2. Nayoung'!Q121,1,0))</f>
        <v/>
      </c>
      <c r="P121" s="20" t="str">
        <f>IF('1. Yixian'!R121="","",IF('1. Yixian'!R121='2. Nayoung'!R121,1,0))</f>
        <v/>
      </c>
      <c r="Q121" s="20" t="str">
        <f>IF('1. Yixian'!S121="","",IF('1. Yixian'!S121='2. Nayoung'!S121,1,0))</f>
        <v/>
      </c>
      <c r="R121" s="20" t="str">
        <f>IF('1. Yixian'!T121="","",IF('1. Yixian'!T121='2. Nayoung'!T121,1,0))</f>
        <v/>
      </c>
      <c r="S121" s="20" t="str">
        <f>IF(R121="","",IF(OR('2. Nayoung'!U121="", '1. Yixian'!U121 = ""),0,1))</f>
        <v/>
      </c>
      <c r="T121" s="20" t="str">
        <f>IF('1. Yixian'!V121="","",IF('1. Yixian'!V121='2. Nayoung'!V121,1,0))</f>
        <v/>
      </c>
      <c r="U121" s="20" t="str">
        <f>IF('1. Yixian'!W121="","",IF('1. Yixian'!W121='2. Nayoung'!W121,1,0))</f>
        <v/>
      </c>
      <c r="V121" s="20" t="str">
        <f>IF('1. Yixian'!X121="","",IF('1. Yixian'!X121='2. Nayoung'!X121,1,0))</f>
        <v/>
      </c>
      <c r="W121" s="20" t="str">
        <f>IF('1. Yixian'!Y121="","",IF('1. Yixian'!Y121='2. Nayoung'!Y121,1,0))</f>
        <v/>
      </c>
      <c r="X121" s="20" t="str">
        <f>IF('1. Yixian'!Z121="","",IF('1. Yixian'!Z121='2. Nayoung'!Z121,1,0))</f>
        <v/>
      </c>
      <c r="Y121" s="20" t="str">
        <f>IF('1. Yixian'!AA121="","",IF('1. Yixian'!AA121='2. Nayoung'!AA121,1,0))</f>
        <v/>
      </c>
      <c r="Z121" s="20" t="str">
        <f>IF('1. Yixian'!AB121="","",IF('1. Yixian'!AB121='2. Nayoung'!AB121,1,0))</f>
        <v/>
      </c>
      <c r="AA121" s="20" t="str">
        <f>IF('1. Yixian'!AC121="","",IF('1. Yixian'!AC121='2. Nayoung'!AC121,1,0))</f>
        <v/>
      </c>
      <c r="AB121" s="20">
        <f>IF(OR('2. Nayoung'!AD120="", '1. Yixian'!AD121 = ""),0,1)</f>
        <v>1</v>
      </c>
      <c r="AC121" s="20">
        <f>IF('1. Yixian'!AE121="","",IF('1. Yixian'!AE121='2. Nayoung'!AE121,1,0))</f>
        <v>1</v>
      </c>
      <c r="AD121" s="20">
        <f>IF(OR('2. Nayoung'!AF121="", '1. Yixian'!AF121 = ""),0,1)</f>
        <v>1</v>
      </c>
      <c r="AF121" s="20">
        <f>IF('1. Yixian'!AH121="","",IF('1. Yixian'!AH121='2. Nayoung'!AH121,1,0))</f>
        <v>1</v>
      </c>
      <c r="AG121" s="20">
        <f>IF('1. Yixian'!AI121="","",IF('1. Yixian'!AI121='2. Nayoung'!AI121,1,0))</f>
        <v>1</v>
      </c>
      <c r="AH121" s="20">
        <f>IF('1. Yixian'!AJ121="","",IF('1. Yixian'!AJ121='2. Nayoung'!AJ121,1,0))</f>
        <v>1</v>
      </c>
      <c r="AI121" s="20">
        <f>IF('1. Yixian'!AK121="","",IF('1. Yixian'!AK121='2. Nayoung'!AK121,1,0))</f>
        <v>1</v>
      </c>
      <c r="AJ121" s="20">
        <f>IF('1. Yixian'!AL121="","",IF('1. Yixian'!AL121='2. Nayoung'!AL121,1,0))</f>
        <v>1</v>
      </c>
      <c r="AK121" s="20">
        <f>IF('1. Yixian'!AM121="","",IF('1. Yixian'!AM121='2. Nayoung'!AM121,1,0))</f>
        <v>1</v>
      </c>
      <c r="AL121" s="20" t="str">
        <f>IF('1. Yixian'!AT121="","",IF('1. Yixian'!AT121='2. Nayoung'!AT121,1,0))</f>
        <v/>
      </c>
      <c r="AM121" s="20" t="str">
        <f>IF('1. Yixian'!AU121="","",IF('1. Yixian'!AU121='2. Nayoung'!AU121,1,0))</f>
        <v/>
      </c>
      <c r="AN121" s="2"/>
    </row>
    <row r="122" spans="1:40" s="20" customFormat="1" ht="17" hidden="1" customHeight="1">
      <c r="A122" s="20" t="str">
        <f>IF('1. Yixian'!A122="","",IF('1. Yixian'!A122='2. Nayoung'!A122,1,0))</f>
        <v/>
      </c>
      <c r="B122" s="20" t="str">
        <f>IF('1. Yixian'!B122="","",IF(RIGHT('1. Yixian'!B122,2)=RIGHT('2. Nayoung'!B122,2),1,0))</f>
        <v/>
      </c>
      <c r="C122" s="20" t="str">
        <f>IF('1. Yixian'!C122="","",IF('1. Yixian'!C122='2. Nayoung'!C122,1,0))</f>
        <v/>
      </c>
      <c r="E122" s="20" t="str">
        <f>IF('1. Yixian'!E122="","",IF('1. Yixian'!E122='2. Nayoung'!E122,1,0))</f>
        <v/>
      </c>
      <c r="F122" s="20" t="str">
        <f>IF('1. Yixian'!F122="","",IF('1. Yixian'!F122='2. Nayoung'!F122,1,0))</f>
        <v/>
      </c>
      <c r="G122" s="20" t="str">
        <f>IF('1. Yixian'!G122="","",IF('1. Yixian'!G122='2. Nayoung'!G122,1,0))</f>
        <v/>
      </c>
      <c r="H122" s="20" t="str">
        <f>IF('1. Yixian'!J122="","",IF(RIGHT('1. Yixian'!J122,3)=RIGHT('2. Nayoung'!J122,3),1,0))</f>
        <v/>
      </c>
      <c r="I122" s="20" t="str">
        <f>IF(H122="","",IF(OR('2. Nayoung'!K122="", '1. Yixian'!K122 = ""),0,1))</f>
        <v/>
      </c>
      <c r="J122" s="20" t="str">
        <f>IF('1. Yixian'!L122="","",IF('1. Yixian'!L122='2. Nayoung'!L122,1,0))</f>
        <v/>
      </c>
      <c r="K122" s="20" t="str">
        <f>IF('1. Yixian'!M122="","",IF('1. Yixian'!M122='2. Nayoung'!M122,1,0))</f>
        <v/>
      </c>
      <c r="L122" s="20" t="str">
        <f>IF('1. Yixian'!N122="","",IF('1. Yixian'!N122='2. Nayoung'!N122,1,0))</f>
        <v/>
      </c>
      <c r="M122" s="20" t="str">
        <f>IF('1. Yixian'!O122="","",IF('1. Yixian'!O122='2. Nayoung'!O122,1,0))</f>
        <v/>
      </c>
      <c r="N122" s="20" t="str">
        <f>IF('1. Yixian'!P122="","",IF('1. Yixian'!P122='2. Nayoung'!P122,1,0))</f>
        <v/>
      </c>
      <c r="O122" s="20" t="str">
        <f>IF('1. Yixian'!Q122="","",IF('1. Yixian'!Q122='2. Nayoung'!Q122,1,0))</f>
        <v/>
      </c>
      <c r="P122" s="20" t="str">
        <f>IF('1. Yixian'!R122="","",IF('1. Yixian'!R122='2. Nayoung'!R122,1,0))</f>
        <v/>
      </c>
      <c r="Q122" s="20" t="str">
        <f>IF('1. Yixian'!S122="","",IF('1. Yixian'!S122='2. Nayoung'!S122,1,0))</f>
        <v/>
      </c>
      <c r="R122" s="20" t="str">
        <f>IF('1. Yixian'!T122="","",IF('1. Yixian'!T122='2. Nayoung'!T122,1,0))</f>
        <v/>
      </c>
      <c r="S122" s="20" t="str">
        <f>IF(R122="","",IF(OR('2. Nayoung'!U122="", '1. Yixian'!U122 = ""),0,1))</f>
        <v/>
      </c>
      <c r="T122" s="20" t="str">
        <f>IF('1. Yixian'!V122="","",IF('1. Yixian'!V122='2. Nayoung'!V122,1,0))</f>
        <v/>
      </c>
      <c r="U122" s="20" t="str">
        <f>IF('1. Yixian'!W122="","",IF('1. Yixian'!W122='2. Nayoung'!W122,1,0))</f>
        <v/>
      </c>
      <c r="V122" s="20" t="str">
        <f>IF('1. Yixian'!X122="","",IF('1. Yixian'!X122='2. Nayoung'!X122,1,0))</f>
        <v/>
      </c>
      <c r="W122" s="20" t="str">
        <f>IF('1. Yixian'!Y122="","",IF('1. Yixian'!Y122='2. Nayoung'!Y122,1,0))</f>
        <v/>
      </c>
      <c r="X122" s="20" t="str">
        <f>IF('1. Yixian'!Z122="","",IF('1. Yixian'!Z122='2. Nayoung'!Z122,1,0))</f>
        <v/>
      </c>
      <c r="Y122" s="20" t="str">
        <f>IF('1. Yixian'!AA122="","",IF('1. Yixian'!AA122='2. Nayoung'!AA122,1,0))</f>
        <v/>
      </c>
      <c r="Z122" s="20" t="str">
        <f>IF('1. Yixian'!AB122="","",IF('1. Yixian'!AB122='2. Nayoung'!AB122,1,0))</f>
        <v/>
      </c>
      <c r="AA122" s="20" t="str">
        <f>IF('1. Yixian'!AC122="","",IF('1. Yixian'!AC122='2. Nayoung'!AC122,1,0))</f>
        <v/>
      </c>
      <c r="AB122" s="20">
        <f>IF(OR('2. Nayoung'!AD121="", '1. Yixian'!AD122 = ""),0,1)</f>
        <v>1</v>
      </c>
      <c r="AC122" s="20">
        <f>IF('1. Yixian'!AE122="","",IF('1. Yixian'!AE122='2. Nayoung'!AE122,1,0))</f>
        <v>1</v>
      </c>
      <c r="AD122" s="20">
        <f>IF(OR('2. Nayoung'!AF122="", '1. Yixian'!AF122 = ""),0,1)</f>
        <v>1</v>
      </c>
      <c r="AF122" s="20">
        <f>IF('1. Yixian'!AH122="","",IF('1. Yixian'!AH122='2. Nayoung'!AH122,1,0))</f>
        <v>1</v>
      </c>
      <c r="AG122" s="20">
        <f>IF('1. Yixian'!AI122="","",IF('1. Yixian'!AI122='2. Nayoung'!AI122,1,0))</f>
        <v>1</v>
      </c>
      <c r="AH122" s="20">
        <f>IF('1. Yixian'!AJ122="","",IF('1. Yixian'!AJ122='2. Nayoung'!AJ122,1,0))</f>
        <v>1</v>
      </c>
      <c r="AI122" s="20">
        <f>IF('1. Yixian'!AK122="","",IF('1. Yixian'!AK122='2. Nayoung'!AK122,1,0))</f>
        <v>1</v>
      </c>
      <c r="AJ122" s="20">
        <f>IF('1. Yixian'!AL122="","",IF('1. Yixian'!AL122='2. Nayoung'!AL122,1,0))</f>
        <v>1</v>
      </c>
      <c r="AK122" s="20">
        <f>IF('1. Yixian'!AM122="","",IF('1. Yixian'!AM122='2. Nayoung'!AM122,1,0))</f>
        <v>1</v>
      </c>
      <c r="AL122" s="20" t="str">
        <f>IF('1. Yixian'!AT122="","",IF('1. Yixian'!AT122='2. Nayoung'!AT122,1,0))</f>
        <v/>
      </c>
      <c r="AM122" s="20" t="str">
        <f>IF('1. Yixian'!AU122="","",IF('1. Yixian'!AU122='2. Nayoung'!AU122,1,0))</f>
        <v/>
      </c>
      <c r="AN122" s="2"/>
    </row>
    <row r="123" spans="1:40" s="20" customFormat="1" ht="17" hidden="1" customHeight="1">
      <c r="A123" s="20">
        <f>IF('1. Yixian'!A123="","",IF('1. Yixian'!A123='2. Nayoung'!A123,1,0))</f>
        <v>0</v>
      </c>
      <c r="B123" s="20">
        <f>IF('1. Yixian'!B123="","",IF(RIGHT('1. Yixian'!B123,2)=RIGHT('2. Nayoung'!B123,2),1,0))</f>
        <v>0</v>
      </c>
      <c r="C123" s="20">
        <f>IF('1. Yixian'!C123="","",IF('1. Yixian'!C123='2. Nayoung'!C123,1,0))</f>
        <v>0</v>
      </c>
      <c r="E123" s="20">
        <f>IF('1. Yixian'!E123="","",IF('1. Yixian'!E123='2. Nayoung'!E123,1,0))</f>
        <v>0</v>
      </c>
      <c r="F123" s="20">
        <f>IF('1. Yixian'!F123="","",IF('1. Yixian'!F123='2. Nayoung'!F123,1,0))</f>
        <v>0</v>
      </c>
      <c r="G123" s="20">
        <f>IF('1. Yixian'!G123="","",IF('1. Yixian'!G123='2. Nayoung'!G123,1,0))</f>
        <v>0</v>
      </c>
      <c r="H123" s="20">
        <f>IF('1. Yixian'!J123="","",IF(RIGHT('1. Yixian'!J123,3)=RIGHT('2. Nayoung'!J123,3),1,0))</f>
        <v>0</v>
      </c>
      <c r="I123" s="20">
        <f>IF(H123="","",IF(OR('2. Nayoung'!K123="", '1. Yixian'!K123 = ""),0,1))</f>
        <v>1</v>
      </c>
      <c r="J123" s="20">
        <f>IF('1. Yixian'!L123="","",IF('1. Yixian'!L123='2. Nayoung'!L123,1,0))</f>
        <v>1</v>
      </c>
      <c r="K123" s="20">
        <f>IF('1. Yixian'!M123="","",IF('1. Yixian'!M123='2. Nayoung'!M123,1,0))</f>
        <v>1</v>
      </c>
      <c r="L123" s="20">
        <f>IF('1. Yixian'!N123="","",IF('1. Yixian'!N123='2. Nayoung'!N123,1,0))</f>
        <v>1</v>
      </c>
      <c r="M123" s="20">
        <f>IF('1. Yixian'!O123="","",IF('1. Yixian'!O123='2. Nayoung'!O123,1,0))</f>
        <v>1</v>
      </c>
      <c r="N123" s="20">
        <f>IF('1. Yixian'!P123="","",IF('1. Yixian'!P123='2. Nayoung'!P123,1,0))</f>
        <v>1</v>
      </c>
      <c r="O123" s="20">
        <f>IF('1. Yixian'!Q123="","",IF('1. Yixian'!Q123='2. Nayoung'!Q123,1,0))</f>
        <v>1</v>
      </c>
      <c r="P123" s="20">
        <f>IF('1. Yixian'!R123="","",IF('1. Yixian'!R123='2. Nayoung'!R123,1,0))</f>
        <v>1</v>
      </c>
      <c r="Q123" s="20">
        <f>IF('1. Yixian'!S123="","",IF('1. Yixian'!S123='2. Nayoung'!S123,1,0))</f>
        <v>1</v>
      </c>
      <c r="R123" s="20">
        <f>IF('1. Yixian'!T123="","",IF('1. Yixian'!T123='2. Nayoung'!T123,1,0))</f>
        <v>1</v>
      </c>
      <c r="S123" s="20">
        <f>IF(R123="","",IF(OR('2. Nayoung'!U123="", '1. Yixian'!U123 = ""),0,1))</f>
        <v>1</v>
      </c>
      <c r="T123" s="20">
        <f>IF('1. Yixian'!V123="","",IF('1. Yixian'!V123='2. Nayoung'!V123,1,0))</f>
        <v>1</v>
      </c>
      <c r="U123" s="20">
        <f>IF('1. Yixian'!W123="","",IF('1. Yixian'!W123='2. Nayoung'!W123,1,0))</f>
        <v>1</v>
      </c>
      <c r="V123" s="20">
        <f>IF('1. Yixian'!X123="","",IF('1. Yixian'!X123='2. Nayoung'!X123,1,0))</f>
        <v>1</v>
      </c>
      <c r="W123" s="20">
        <f>IF('1. Yixian'!Y123="","",IF('1. Yixian'!Y123='2. Nayoung'!Y123,1,0))</f>
        <v>1</v>
      </c>
      <c r="X123" s="20">
        <f>IF('1. Yixian'!Z123="","",IF('1. Yixian'!Z123='2. Nayoung'!Z123,1,0))</f>
        <v>1</v>
      </c>
      <c r="Y123" s="20">
        <f>IF('1. Yixian'!AA123="","",IF('1. Yixian'!AA123='2. Nayoung'!AA123,1,0))</f>
        <v>1</v>
      </c>
      <c r="Z123" s="20">
        <f>IF('1. Yixian'!AB123="","",IF('1. Yixian'!AB123='2. Nayoung'!AB123,1,0))</f>
        <v>1</v>
      </c>
      <c r="AA123" s="20">
        <f>IF('1. Yixian'!AC123="","",IF('1. Yixian'!AC123='2. Nayoung'!AC123,1,0))</f>
        <v>1</v>
      </c>
      <c r="AB123" s="20">
        <f>IF(OR('2. Nayoung'!AD122="", '1. Yixian'!AD123 = ""),0,1)</f>
        <v>1</v>
      </c>
      <c r="AC123" s="20">
        <f>IF('1. Yixian'!AE123="","",IF('1. Yixian'!AE123='2. Nayoung'!AE123,1,0))</f>
        <v>1</v>
      </c>
      <c r="AD123" s="20">
        <f>IF(OR('2. Nayoung'!AF123="", '1. Yixian'!AF123 = ""),0,1)</f>
        <v>1</v>
      </c>
      <c r="AF123" s="20">
        <f>IF('1. Yixian'!AH123="","",IF('1. Yixian'!AH123='2. Nayoung'!AH123,1,0))</f>
        <v>1</v>
      </c>
      <c r="AG123" s="20">
        <f>IF('1. Yixian'!AI123="","",IF('1. Yixian'!AI123='2. Nayoung'!AI123,1,0))</f>
        <v>1</v>
      </c>
      <c r="AH123" s="20">
        <f>IF('1. Yixian'!AJ123="","",IF('1. Yixian'!AJ123='2. Nayoung'!AJ123,1,0))</f>
        <v>1</v>
      </c>
      <c r="AI123" s="20">
        <f>IF('1. Yixian'!AK123="","",IF('1. Yixian'!AK123='2. Nayoung'!AK123,1,0))</f>
        <v>1</v>
      </c>
      <c r="AJ123" s="20">
        <f>IF('1. Yixian'!AL123="","",IF('1. Yixian'!AL123='2. Nayoung'!AL123,1,0))</f>
        <v>1</v>
      </c>
      <c r="AK123" s="20">
        <f>IF('1. Yixian'!AM123="","",IF('1. Yixian'!AM123='2. Nayoung'!AM123,1,0))</f>
        <v>1</v>
      </c>
      <c r="AL123" s="20" t="str">
        <f>IF('1. Yixian'!AT123="","",IF('1. Yixian'!AT123='2. Nayoung'!AT123,1,0))</f>
        <v/>
      </c>
      <c r="AM123" s="20" t="str">
        <f>IF('1. Yixian'!AU123="","",IF('1. Yixian'!AU123='2. Nayoung'!AU123,1,0))</f>
        <v/>
      </c>
      <c r="AN123" s="2"/>
    </row>
    <row r="124" spans="1:40" s="20" customFormat="1" ht="17" hidden="1" customHeight="1">
      <c r="A124" s="20" t="str">
        <f>IF('1. Yixian'!A124="","",IF('1. Yixian'!A124='2. Nayoung'!A124,1,0))</f>
        <v/>
      </c>
      <c r="B124" s="20" t="str">
        <f>IF('1. Yixian'!B124="","",IF(RIGHT('1. Yixian'!B124,2)=RIGHT('2. Nayoung'!B124,2),1,0))</f>
        <v/>
      </c>
      <c r="C124" s="20" t="str">
        <f>IF('1. Yixian'!C124="","",IF('1. Yixian'!C124='2. Nayoung'!C124,1,0))</f>
        <v/>
      </c>
      <c r="E124" s="20" t="str">
        <f>IF('1. Yixian'!E124="","",IF('1. Yixian'!E124='2. Nayoung'!E124,1,0))</f>
        <v/>
      </c>
      <c r="F124" s="20" t="str">
        <f>IF('1. Yixian'!F124="","",IF('1. Yixian'!F124='2. Nayoung'!F124,1,0))</f>
        <v/>
      </c>
      <c r="G124" s="20" t="str">
        <f>IF('1. Yixian'!G124="","",IF('1. Yixian'!G124='2. Nayoung'!G124,1,0))</f>
        <v/>
      </c>
      <c r="H124" s="20" t="str">
        <f>IF('1. Yixian'!J124="","",IF(RIGHT('1. Yixian'!J124,3)=RIGHT('2. Nayoung'!J124,3),1,0))</f>
        <v/>
      </c>
      <c r="I124" s="20" t="str">
        <f>IF(H124="","",IF(OR('2. Nayoung'!K124="", '1. Yixian'!K124 = ""),0,1))</f>
        <v/>
      </c>
      <c r="J124" s="20" t="str">
        <f>IF('1. Yixian'!L124="","",IF('1. Yixian'!L124='2. Nayoung'!L124,1,0))</f>
        <v/>
      </c>
      <c r="K124" s="20" t="str">
        <f>IF('1. Yixian'!M124="","",IF('1. Yixian'!M124='2. Nayoung'!M124,1,0))</f>
        <v/>
      </c>
      <c r="L124" s="20" t="str">
        <f>IF('1. Yixian'!N124="","",IF('1. Yixian'!N124='2. Nayoung'!N124,1,0))</f>
        <v/>
      </c>
      <c r="M124" s="20" t="str">
        <f>IF('1. Yixian'!O124="","",IF('1. Yixian'!O124='2. Nayoung'!O124,1,0))</f>
        <v/>
      </c>
      <c r="N124" s="20" t="str">
        <f>IF('1. Yixian'!P124="","",IF('1. Yixian'!P124='2. Nayoung'!P124,1,0))</f>
        <v/>
      </c>
      <c r="O124" s="20" t="str">
        <f>IF('1. Yixian'!Q124="","",IF('1. Yixian'!Q124='2. Nayoung'!Q124,1,0))</f>
        <v/>
      </c>
      <c r="P124" s="20" t="str">
        <f>IF('1. Yixian'!R124="","",IF('1. Yixian'!R124='2. Nayoung'!R124,1,0))</f>
        <v/>
      </c>
      <c r="Q124" s="20" t="str">
        <f>IF('1. Yixian'!S124="","",IF('1. Yixian'!S124='2. Nayoung'!S124,1,0))</f>
        <v/>
      </c>
      <c r="R124" s="20" t="str">
        <f>IF('1. Yixian'!T124="","",IF('1. Yixian'!T124='2. Nayoung'!T124,1,0))</f>
        <v/>
      </c>
      <c r="S124" s="20" t="str">
        <f>IF(R124="","",IF(OR('2. Nayoung'!U124="", '1. Yixian'!U124 = ""),0,1))</f>
        <v/>
      </c>
      <c r="T124" s="20" t="str">
        <f>IF('1. Yixian'!V124="","",IF('1. Yixian'!V124='2. Nayoung'!V124,1,0))</f>
        <v/>
      </c>
      <c r="U124" s="20" t="str">
        <f>IF('1. Yixian'!W124="","",IF('1. Yixian'!W124='2. Nayoung'!W124,1,0))</f>
        <v/>
      </c>
      <c r="V124" s="20" t="str">
        <f>IF('1. Yixian'!X124="","",IF('1. Yixian'!X124='2. Nayoung'!X124,1,0))</f>
        <v/>
      </c>
      <c r="W124" s="20" t="str">
        <f>IF('1. Yixian'!Y124="","",IF('1. Yixian'!Y124='2. Nayoung'!Y124,1,0))</f>
        <v/>
      </c>
      <c r="X124" s="20" t="str">
        <f>IF('1. Yixian'!Z124="","",IF('1. Yixian'!Z124='2. Nayoung'!Z124,1,0))</f>
        <v/>
      </c>
      <c r="Y124" s="20" t="str">
        <f>IF('1. Yixian'!AA124="","",IF('1. Yixian'!AA124='2. Nayoung'!AA124,1,0))</f>
        <v/>
      </c>
      <c r="Z124" s="20" t="str">
        <f>IF('1. Yixian'!AB124="","",IF('1. Yixian'!AB124='2. Nayoung'!AB124,1,0))</f>
        <v/>
      </c>
      <c r="AA124" s="20" t="str">
        <f>IF('1. Yixian'!AC124="","",IF('1. Yixian'!AC124='2. Nayoung'!AC124,1,0))</f>
        <v/>
      </c>
      <c r="AB124" s="20">
        <f>IF(OR('2. Nayoung'!AD123="", '1. Yixian'!AD124 = ""),0,1)</f>
        <v>1</v>
      </c>
      <c r="AC124" s="20">
        <f>IF('1. Yixian'!AE124="","",IF('1. Yixian'!AE124='2. Nayoung'!AE124,1,0))</f>
        <v>1</v>
      </c>
      <c r="AD124" s="20">
        <f>IF(OR('2. Nayoung'!AF124="", '1. Yixian'!AF124 = ""),0,1)</f>
        <v>1</v>
      </c>
      <c r="AF124" s="20">
        <f>IF('1. Yixian'!AH124="","",IF('1. Yixian'!AH124='2. Nayoung'!AH124,1,0))</f>
        <v>1</v>
      </c>
      <c r="AG124" s="20">
        <f>IF('1. Yixian'!AI124="","",IF('1. Yixian'!AI124='2. Nayoung'!AI124,1,0))</f>
        <v>1</v>
      </c>
      <c r="AH124" s="20">
        <f>IF('1. Yixian'!AJ124="","",IF('1. Yixian'!AJ124='2. Nayoung'!AJ124,1,0))</f>
        <v>1</v>
      </c>
      <c r="AI124" s="20">
        <f>IF('1. Yixian'!AK124="","",IF('1. Yixian'!AK124='2. Nayoung'!AK124,1,0))</f>
        <v>1</v>
      </c>
      <c r="AJ124" s="20">
        <f>IF('1. Yixian'!AL124="","",IF('1. Yixian'!AL124='2. Nayoung'!AL124,1,0))</f>
        <v>1</v>
      </c>
      <c r="AK124" s="20">
        <f>IF('1. Yixian'!AM124="","",IF('1. Yixian'!AM124='2. Nayoung'!AM124,1,0))</f>
        <v>1</v>
      </c>
      <c r="AL124" s="20" t="str">
        <f>IF('1. Yixian'!AT124="","",IF('1. Yixian'!AT124='2. Nayoung'!AT124,1,0))</f>
        <v/>
      </c>
      <c r="AM124" s="20" t="str">
        <f>IF('1. Yixian'!AU124="","",IF('1. Yixian'!AU124='2. Nayoung'!AU124,1,0))</f>
        <v/>
      </c>
      <c r="AN124" s="2"/>
    </row>
    <row r="125" spans="1:40" s="20" customFormat="1" ht="17" hidden="1" customHeight="1">
      <c r="A125" s="20" t="str">
        <f>IF('1. Yixian'!A125="","",IF('1. Yixian'!A125='2. Nayoung'!A125,1,0))</f>
        <v/>
      </c>
      <c r="B125" s="20" t="str">
        <f>IF('1. Yixian'!B125="","",IF(RIGHT('1. Yixian'!B125,2)=RIGHT('2. Nayoung'!B125,2),1,0))</f>
        <v/>
      </c>
      <c r="C125" s="20" t="str">
        <f>IF('1. Yixian'!C125="","",IF('1. Yixian'!C125='2. Nayoung'!C125,1,0))</f>
        <v/>
      </c>
      <c r="E125" s="20" t="str">
        <f>IF('1. Yixian'!E125="","",IF('1. Yixian'!E125='2. Nayoung'!E125,1,0))</f>
        <v/>
      </c>
      <c r="F125" s="20" t="str">
        <f>IF('1. Yixian'!F125="","",IF('1. Yixian'!F125='2. Nayoung'!F125,1,0))</f>
        <v/>
      </c>
      <c r="G125" s="20" t="str">
        <f>IF('1. Yixian'!G125="","",IF('1. Yixian'!G125='2. Nayoung'!G125,1,0))</f>
        <v/>
      </c>
      <c r="H125" s="20" t="str">
        <f>IF('1. Yixian'!J125="","",IF(RIGHT('1. Yixian'!J125,3)=RIGHT('2. Nayoung'!J125,3),1,0))</f>
        <v/>
      </c>
      <c r="I125" s="20" t="str">
        <f>IF(H125="","",IF(OR('2. Nayoung'!K125="", '1. Yixian'!K125 = ""),0,1))</f>
        <v/>
      </c>
      <c r="J125" s="20" t="str">
        <f>IF('1. Yixian'!L125="","",IF('1. Yixian'!L125='2. Nayoung'!L125,1,0))</f>
        <v/>
      </c>
      <c r="K125" s="20" t="str">
        <f>IF('1. Yixian'!M125="","",IF('1. Yixian'!M125='2. Nayoung'!M125,1,0))</f>
        <v/>
      </c>
      <c r="L125" s="20" t="str">
        <f>IF('1. Yixian'!N125="","",IF('1. Yixian'!N125='2. Nayoung'!N125,1,0))</f>
        <v/>
      </c>
      <c r="M125" s="20" t="str">
        <f>IF('1. Yixian'!O125="","",IF('1. Yixian'!O125='2. Nayoung'!O125,1,0))</f>
        <v/>
      </c>
      <c r="N125" s="20" t="str">
        <f>IF('1. Yixian'!P125="","",IF('1. Yixian'!P125='2. Nayoung'!P125,1,0))</f>
        <v/>
      </c>
      <c r="O125" s="20" t="str">
        <f>IF('1. Yixian'!Q125="","",IF('1. Yixian'!Q125='2. Nayoung'!Q125,1,0))</f>
        <v/>
      </c>
      <c r="P125" s="20" t="str">
        <f>IF('1. Yixian'!R125="","",IF('1. Yixian'!R125='2. Nayoung'!R125,1,0))</f>
        <v/>
      </c>
      <c r="Q125" s="20" t="str">
        <f>IF('1. Yixian'!S125="","",IF('1. Yixian'!S125='2. Nayoung'!S125,1,0))</f>
        <v/>
      </c>
      <c r="R125" s="20" t="str">
        <f>IF('1. Yixian'!T125="","",IF('1. Yixian'!T125='2. Nayoung'!T125,1,0))</f>
        <v/>
      </c>
      <c r="S125" s="20" t="str">
        <f>IF(R125="","",IF(OR('2. Nayoung'!U125="", '1. Yixian'!U125 = ""),0,1))</f>
        <v/>
      </c>
      <c r="T125" s="20" t="str">
        <f>IF('1. Yixian'!V125="","",IF('1. Yixian'!V125='2. Nayoung'!V125,1,0))</f>
        <v/>
      </c>
      <c r="U125" s="20" t="str">
        <f>IF('1. Yixian'!W125="","",IF('1. Yixian'!W125='2. Nayoung'!W125,1,0))</f>
        <v/>
      </c>
      <c r="V125" s="20" t="str">
        <f>IF('1. Yixian'!X125="","",IF('1. Yixian'!X125='2. Nayoung'!X125,1,0))</f>
        <v/>
      </c>
      <c r="W125" s="20" t="str">
        <f>IF('1. Yixian'!Y125="","",IF('1. Yixian'!Y125='2. Nayoung'!Y125,1,0))</f>
        <v/>
      </c>
      <c r="X125" s="20" t="str">
        <f>IF('1. Yixian'!Z125="","",IF('1. Yixian'!Z125='2. Nayoung'!Z125,1,0))</f>
        <v/>
      </c>
      <c r="Y125" s="20" t="str">
        <f>IF('1. Yixian'!AA125="","",IF('1. Yixian'!AA125='2. Nayoung'!AA125,1,0))</f>
        <v/>
      </c>
      <c r="Z125" s="20" t="str">
        <f>IF('1. Yixian'!AB125="","",IF('1. Yixian'!AB125='2. Nayoung'!AB125,1,0))</f>
        <v/>
      </c>
      <c r="AA125" s="20" t="str">
        <f>IF('1. Yixian'!AC125="","",IF('1. Yixian'!AC125='2. Nayoung'!AC125,1,0))</f>
        <v/>
      </c>
      <c r="AB125" s="20">
        <f>IF(OR('2. Nayoung'!AD124="", '1. Yixian'!AD125 = ""),0,1)</f>
        <v>1</v>
      </c>
      <c r="AC125" s="20">
        <f>IF('1. Yixian'!AE125="","",IF('1. Yixian'!AE125='2. Nayoung'!AE125,1,0))</f>
        <v>1</v>
      </c>
      <c r="AD125" s="20">
        <f>IF(OR('2. Nayoung'!AF125="", '1. Yixian'!AF125 = ""),0,1)</f>
        <v>1</v>
      </c>
      <c r="AF125" s="20">
        <f>IF('1. Yixian'!AH125="","",IF('1. Yixian'!AH125='2. Nayoung'!AH125,1,0))</f>
        <v>1</v>
      </c>
      <c r="AG125" s="20">
        <f>IF('1. Yixian'!AI125="","",IF('1. Yixian'!AI125='2. Nayoung'!AI125,1,0))</f>
        <v>1</v>
      </c>
      <c r="AH125" s="20">
        <f>IF('1. Yixian'!AJ125="","",IF('1. Yixian'!AJ125='2. Nayoung'!AJ125,1,0))</f>
        <v>1</v>
      </c>
      <c r="AI125" s="20">
        <f>IF('1. Yixian'!AK125="","",IF('1. Yixian'!AK125='2. Nayoung'!AK125,1,0))</f>
        <v>1</v>
      </c>
      <c r="AJ125" s="20">
        <f>IF('1. Yixian'!AL125="","",IF('1. Yixian'!AL125='2. Nayoung'!AL125,1,0))</f>
        <v>1</v>
      </c>
      <c r="AK125" s="20">
        <f>IF('1. Yixian'!AM125="","",IF('1. Yixian'!AM125='2. Nayoung'!AM125,1,0))</f>
        <v>1</v>
      </c>
      <c r="AL125" s="20" t="str">
        <f>IF('1. Yixian'!AT125="","",IF('1. Yixian'!AT125='2. Nayoung'!AT125,1,0))</f>
        <v/>
      </c>
      <c r="AM125" s="20" t="str">
        <f>IF('1. Yixian'!AU125="","",IF('1. Yixian'!AU125='2. Nayoung'!AU125,1,0))</f>
        <v/>
      </c>
      <c r="AN125" s="2"/>
    </row>
    <row r="126" spans="1:40" s="20" customFormat="1" ht="17" hidden="1" customHeight="1">
      <c r="A126" s="20" t="str">
        <f>IF('1. Yixian'!A126="","",IF('1. Yixian'!A126='2. Nayoung'!A126,1,0))</f>
        <v/>
      </c>
      <c r="B126" s="20" t="str">
        <f>IF('1. Yixian'!B126="","",IF(RIGHT('1. Yixian'!B126,2)=RIGHT('2. Nayoung'!B126,2),1,0))</f>
        <v/>
      </c>
      <c r="C126" s="20" t="str">
        <f>IF('1. Yixian'!C126="","",IF('1. Yixian'!C126='2. Nayoung'!C126,1,0))</f>
        <v/>
      </c>
      <c r="E126" s="20" t="str">
        <f>IF('1. Yixian'!E126="","",IF('1. Yixian'!E126='2. Nayoung'!E126,1,0))</f>
        <v/>
      </c>
      <c r="F126" s="20" t="str">
        <f>IF('1. Yixian'!F126="","",IF('1. Yixian'!F126='2. Nayoung'!F126,1,0))</f>
        <v/>
      </c>
      <c r="G126" s="20" t="str">
        <f>IF('1. Yixian'!G126="","",IF('1. Yixian'!G126='2. Nayoung'!G126,1,0))</f>
        <v/>
      </c>
      <c r="H126" s="20">
        <f>IF('1. Yixian'!J126="","",IF(RIGHT('1. Yixian'!J126,3)=RIGHT('2. Nayoung'!J126,3),1,0))</f>
        <v>0</v>
      </c>
      <c r="I126" s="20">
        <f>IF(H126="","",IF(OR('2. Nayoung'!K126="", '1. Yixian'!K126 = ""),0,1))</f>
        <v>1</v>
      </c>
      <c r="J126" s="20">
        <f>IF('1. Yixian'!L126="","",IF('1. Yixian'!L126='2. Nayoung'!L126,1,0))</f>
        <v>1</v>
      </c>
      <c r="K126" s="20">
        <f>IF('1. Yixian'!M126="","",IF('1. Yixian'!M126='2. Nayoung'!M126,1,0))</f>
        <v>1</v>
      </c>
      <c r="L126" s="20">
        <f>IF('1. Yixian'!N126="","",IF('1. Yixian'!N126='2. Nayoung'!N126,1,0))</f>
        <v>1</v>
      </c>
      <c r="M126" s="20">
        <f>IF('1. Yixian'!O126="","",IF('1. Yixian'!O126='2. Nayoung'!O126,1,0))</f>
        <v>1</v>
      </c>
      <c r="N126" s="20">
        <f>IF('1. Yixian'!P126="","",IF('1. Yixian'!P126='2. Nayoung'!P126,1,0))</f>
        <v>1</v>
      </c>
      <c r="O126" s="20">
        <f>IF('1. Yixian'!Q126="","",IF('1. Yixian'!Q126='2. Nayoung'!Q126,1,0))</f>
        <v>1</v>
      </c>
      <c r="P126" s="20">
        <f>IF('1. Yixian'!R126="","",IF('1. Yixian'!R126='2. Nayoung'!R126,1,0))</f>
        <v>1</v>
      </c>
      <c r="Q126" s="20">
        <f>IF('1. Yixian'!S126="","",IF('1. Yixian'!S126='2. Nayoung'!S126,1,0))</f>
        <v>1</v>
      </c>
      <c r="R126" s="20">
        <f>IF('1. Yixian'!T126="","",IF('1. Yixian'!T126='2. Nayoung'!T126,1,0))</f>
        <v>1</v>
      </c>
      <c r="S126" s="20">
        <f>IF(R126="","",IF(OR('2. Nayoung'!U126="", '1. Yixian'!U126 = ""),0,1))</f>
        <v>1</v>
      </c>
      <c r="T126" s="20">
        <f>IF('1. Yixian'!V126="","",IF('1. Yixian'!V126='2. Nayoung'!V126,1,0))</f>
        <v>1</v>
      </c>
      <c r="U126" s="20">
        <f>IF('1. Yixian'!W126="","",IF('1. Yixian'!W126='2. Nayoung'!W126,1,0))</f>
        <v>1</v>
      </c>
      <c r="V126" s="20">
        <f>IF('1. Yixian'!X126="","",IF('1. Yixian'!X126='2. Nayoung'!X126,1,0))</f>
        <v>1</v>
      </c>
      <c r="W126" s="20">
        <f>IF('1. Yixian'!Y126="","",IF('1. Yixian'!Y126='2. Nayoung'!Y126,1,0))</f>
        <v>1</v>
      </c>
      <c r="X126" s="20">
        <f>IF('1. Yixian'!Z126="","",IF('1. Yixian'!Z126='2. Nayoung'!Z126,1,0))</f>
        <v>1</v>
      </c>
      <c r="Y126" s="20">
        <f>IF('1. Yixian'!AA126="","",IF('1. Yixian'!AA126='2. Nayoung'!AA126,1,0))</f>
        <v>1</v>
      </c>
      <c r="Z126" s="20">
        <f>IF('1. Yixian'!AB126="","",IF('1. Yixian'!AB126='2. Nayoung'!AB126,1,0))</f>
        <v>1</v>
      </c>
      <c r="AA126" s="20">
        <f>IF('1. Yixian'!AC126="","",IF('1. Yixian'!AC126='2. Nayoung'!AC126,1,0))</f>
        <v>1</v>
      </c>
      <c r="AB126" s="20">
        <f>IF(OR('2. Nayoung'!AD125="", '1. Yixian'!AD126 = ""),0,1)</f>
        <v>1</v>
      </c>
      <c r="AC126" s="20">
        <f>IF('1. Yixian'!AE126="","",IF('1. Yixian'!AE126='2. Nayoung'!AE126,1,0))</f>
        <v>1</v>
      </c>
      <c r="AD126" s="20">
        <f>IF(OR('2. Nayoung'!AF126="", '1. Yixian'!AF126 = ""),0,1)</f>
        <v>1</v>
      </c>
      <c r="AF126" s="20">
        <f>IF('1. Yixian'!AH126="","",IF('1. Yixian'!AH126='2. Nayoung'!AH126,1,0))</f>
        <v>1</v>
      </c>
      <c r="AG126" s="20">
        <f>IF('1. Yixian'!AI126="","",IF('1. Yixian'!AI126='2. Nayoung'!AI126,1,0))</f>
        <v>1</v>
      </c>
      <c r="AH126" s="20">
        <f>IF('1. Yixian'!AJ126="","",IF('1. Yixian'!AJ126='2. Nayoung'!AJ126,1,0))</f>
        <v>1</v>
      </c>
      <c r="AI126" s="20">
        <f>IF('1. Yixian'!AK126="","",IF('1. Yixian'!AK126='2. Nayoung'!AK126,1,0))</f>
        <v>1</v>
      </c>
      <c r="AJ126" s="20">
        <f>IF('1. Yixian'!AL126="","",IF('1. Yixian'!AL126='2. Nayoung'!AL126,1,0))</f>
        <v>1</v>
      </c>
      <c r="AK126" s="20">
        <f>IF('1. Yixian'!AM126="","",IF('1. Yixian'!AM126='2. Nayoung'!AM126,1,0))</f>
        <v>1</v>
      </c>
      <c r="AL126" s="20" t="str">
        <f>IF('1. Yixian'!AT126="","",IF('1. Yixian'!AT126='2. Nayoung'!AT126,1,0))</f>
        <v/>
      </c>
      <c r="AM126" s="20" t="str">
        <f>IF('1. Yixian'!AU126="","",IF('1. Yixian'!AU126='2. Nayoung'!AU126,1,0))</f>
        <v/>
      </c>
      <c r="AN126" s="2"/>
    </row>
    <row r="127" spans="1:40" s="20" customFormat="1" ht="17" hidden="1" customHeight="1">
      <c r="A127" s="20" t="str">
        <f>IF('1. Yixian'!A127="","",IF('1. Yixian'!A127='2. Nayoung'!A127,1,0))</f>
        <v/>
      </c>
      <c r="B127" s="20" t="str">
        <f>IF('1. Yixian'!B127="","",IF(RIGHT('1. Yixian'!B127,2)=RIGHT('2. Nayoung'!B127,2),1,0))</f>
        <v/>
      </c>
      <c r="C127" s="20" t="str">
        <f>IF('1. Yixian'!C127="","",IF('1. Yixian'!C127='2. Nayoung'!C127,1,0))</f>
        <v/>
      </c>
      <c r="E127" s="20" t="str">
        <f>IF('1. Yixian'!E127="","",IF('1. Yixian'!E127='2. Nayoung'!E127,1,0))</f>
        <v/>
      </c>
      <c r="F127" s="20" t="str">
        <f>IF('1. Yixian'!F127="","",IF('1. Yixian'!F127='2. Nayoung'!F127,1,0))</f>
        <v/>
      </c>
      <c r="G127" s="20" t="str">
        <f>IF('1. Yixian'!G127="","",IF('1. Yixian'!G127='2. Nayoung'!G127,1,0))</f>
        <v/>
      </c>
      <c r="H127" s="20" t="str">
        <f>IF('1. Yixian'!J127="","",IF(RIGHT('1. Yixian'!J127,3)=RIGHT('2. Nayoung'!J127,3),1,0))</f>
        <v/>
      </c>
      <c r="I127" s="20" t="str">
        <f>IF(H127="","",IF(OR('2. Nayoung'!K127="", '1. Yixian'!K127 = ""),0,1))</f>
        <v/>
      </c>
      <c r="J127" s="20" t="str">
        <f>IF('1. Yixian'!L127="","",IF('1. Yixian'!L127='2. Nayoung'!L127,1,0))</f>
        <v/>
      </c>
      <c r="K127" s="20" t="str">
        <f>IF('1. Yixian'!M127="","",IF('1. Yixian'!M127='2. Nayoung'!M127,1,0))</f>
        <v/>
      </c>
      <c r="L127" s="20" t="str">
        <f>IF('1. Yixian'!N127="","",IF('1. Yixian'!N127='2. Nayoung'!N127,1,0))</f>
        <v/>
      </c>
      <c r="M127" s="20" t="str">
        <f>IF('1. Yixian'!O127="","",IF('1. Yixian'!O127='2. Nayoung'!O127,1,0))</f>
        <v/>
      </c>
      <c r="N127" s="20" t="str">
        <f>IF('1. Yixian'!P127="","",IF('1. Yixian'!P127='2. Nayoung'!P127,1,0))</f>
        <v/>
      </c>
      <c r="O127" s="20" t="str">
        <f>IF('1. Yixian'!Q127="","",IF('1. Yixian'!Q127='2. Nayoung'!Q127,1,0))</f>
        <v/>
      </c>
      <c r="P127" s="20" t="str">
        <f>IF('1. Yixian'!R127="","",IF('1. Yixian'!R127='2. Nayoung'!R127,1,0))</f>
        <v/>
      </c>
      <c r="Q127" s="20" t="str">
        <f>IF('1. Yixian'!S127="","",IF('1. Yixian'!S127='2. Nayoung'!S127,1,0))</f>
        <v/>
      </c>
      <c r="R127" s="20" t="str">
        <f>IF('1. Yixian'!T127="","",IF('1. Yixian'!T127='2. Nayoung'!T127,1,0))</f>
        <v/>
      </c>
      <c r="S127" s="20" t="str">
        <f>IF(R127="","",IF(OR('2. Nayoung'!U127="", '1. Yixian'!U127 = ""),0,1))</f>
        <v/>
      </c>
      <c r="T127" s="20" t="str">
        <f>IF('1. Yixian'!V127="","",IF('1. Yixian'!V127='2. Nayoung'!V127,1,0))</f>
        <v/>
      </c>
      <c r="U127" s="20" t="str">
        <f>IF('1. Yixian'!W127="","",IF('1. Yixian'!W127='2. Nayoung'!W127,1,0))</f>
        <v/>
      </c>
      <c r="V127" s="20" t="str">
        <f>IF('1. Yixian'!X127="","",IF('1. Yixian'!X127='2. Nayoung'!X127,1,0))</f>
        <v/>
      </c>
      <c r="W127" s="20" t="str">
        <f>IF('1. Yixian'!Y127="","",IF('1. Yixian'!Y127='2. Nayoung'!Y127,1,0))</f>
        <v/>
      </c>
      <c r="X127" s="20" t="str">
        <f>IF('1. Yixian'!Z127="","",IF('1. Yixian'!Z127='2. Nayoung'!Z127,1,0))</f>
        <v/>
      </c>
      <c r="Y127" s="20" t="str">
        <f>IF('1. Yixian'!AA127="","",IF('1. Yixian'!AA127='2. Nayoung'!AA127,1,0))</f>
        <v/>
      </c>
      <c r="Z127" s="20" t="str">
        <f>IF('1. Yixian'!AB127="","",IF('1. Yixian'!AB127='2. Nayoung'!AB127,1,0))</f>
        <v/>
      </c>
      <c r="AA127" s="20" t="str">
        <f>IF('1. Yixian'!AC127="","",IF('1. Yixian'!AC127='2. Nayoung'!AC127,1,0))</f>
        <v/>
      </c>
      <c r="AB127" s="20">
        <f>IF(OR('2. Nayoung'!AD126="", '1. Yixian'!AD127 = ""),0,1)</f>
        <v>1</v>
      </c>
      <c r="AC127" s="20">
        <f>IF('1. Yixian'!AE127="","",IF('1. Yixian'!AE127='2. Nayoung'!AE127,1,0))</f>
        <v>1</v>
      </c>
      <c r="AD127" s="20">
        <f>IF(OR('2. Nayoung'!AF127="", '1. Yixian'!AF127 = ""),0,1)</f>
        <v>1</v>
      </c>
      <c r="AF127" s="20">
        <f>IF('1. Yixian'!AH127="","",IF('1. Yixian'!AH127='2. Nayoung'!AH127,1,0))</f>
        <v>1</v>
      </c>
      <c r="AG127" s="20">
        <f>IF('1. Yixian'!AI127="","",IF('1. Yixian'!AI127='2. Nayoung'!AI127,1,0))</f>
        <v>1</v>
      </c>
      <c r="AH127" s="20">
        <f>IF('1. Yixian'!AJ127="","",IF('1. Yixian'!AJ127='2. Nayoung'!AJ127,1,0))</f>
        <v>1</v>
      </c>
      <c r="AI127" s="20">
        <f>IF('1. Yixian'!AK127="","",IF('1. Yixian'!AK127='2. Nayoung'!AK127,1,0))</f>
        <v>1</v>
      </c>
      <c r="AJ127" s="20">
        <f>IF('1. Yixian'!AL127="","",IF('1. Yixian'!AL127='2. Nayoung'!AL127,1,0))</f>
        <v>1</v>
      </c>
      <c r="AK127" s="20">
        <f>IF('1. Yixian'!AM127="","",IF('1. Yixian'!AM127='2. Nayoung'!AM127,1,0))</f>
        <v>1</v>
      </c>
      <c r="AL127" s="20" t="str">
        <f>IF('1. Yixian'!AT127="","",IF('1. Yixian'!AT127='2. Nayoung'!AT127,1,0))</f>
        <v/>
      </c>
      <c r="AM127" s="20" t="str">
        <f>IF('1. Yixian'!AU127="","",IF('1. Yixian'!AU127='2. Nayoung'!AU127,1,0))</f>
        <v/>
      </c>
      <c r="AN127" s="2"/>
    </row>
    <row r="128" spans="1:40" s="20" customFormat="1" ht="17" hidden="1" customHeight="1">
      <c r="A128" s="20" t="str">
        <f>IF('1. Yixian'!A128="","",IF('1. Yixian'!A128='2. Nayoung'!A128,1,0))</f>
        <v/>
      </c>
      <c r="B128" s="20" t="str">
        <f>IF('1. Yixian'!B128="","",IF(RIGHT('1. Yixian'!B128,2)=RIGHT('2. Nayoung'!B128,2),1,0))</f>
        <v/>
      </c>
      <c r="C128" s="20" t="str">
        <f>IF('1. Yixian'!C128="","",IF('1. Yixian'!C128='2. Nayoung'!C128,1,0))</f>
        <v/>
      </c>
      <c r="E128" s="20" t="str">
        <f>IF('1. Yixian'!E128="","",IF('1. Yixian'!E128='2. Nayoung'!E128,1,0))</f>
        <v/>
      </c>
      <c r="F128" s="20" t="str">
        <f>IF('1. Yixian'!F128="","",IF('1. Yixian'!F128='2. Nayoung'!F128,1,0))</f>
        <v/>
      </c>
      <c r="G128" s="20" t="str">
        <f>IF('1. Yixian'!G128="","",IF('1. Yixian'!G128='2. Nayoung'!G128,1,0))</f>
        <v/>
      </c>
      <c r="H128" s="20" t="str">
        <f>IF('1. Yixian'!J128="","",IF(RIGHT('1. Yixian'!J128,3)=RIGHT('2. Nayoung'!J128,3),1,0))</f>
        <v/>
      </c>
      <c r="I128" s="20" t="str">
        <f>IF(H128="","",IF(OR('2. Nayoung'!K128="", '1. Yixian'!K128 = ""),0,1))</f>
        <v/>
      </c>
      <c r="J128" s="20" t="str">
        <f>IF('1. Yixian'!L128="","",IF('1. Yixian'!L128='2. Nayoung'!L128,1,0))</f>
        <v/>
      </c>
      <c r="K128" s="20" t="str">
        <f>IF('1. Yixian'!M128="","",IF('1. Yixian'!M128='2. Nayoung'!M128,1,0))</f>
        <v/>
      </c>
      <c r="L128" s="20" t="str">
        <f>IF('1. Yixian'!N128="","",IF('1. Yixian'!N128='2. Nayoung'!N128,1,0))</f>
        <v/>
      </c>
      <c r="M128" s="20" t="str">
        <f>IF('1. Yixian'!O128="","",IF('1. Yixian'!O128='2. Nayoung'!O128,1,0))</f>
        <v/>
      </c>
      <c r="N128" s="20" t="str">
        <f>IF('1. Yixian'!P128="","",IF('1. Yixian'!P128='2. Nayoung'!P128,1,0))</f>
        <v/>
      </c>
      <c r="O128" s="20" t="str">
        <f>IF('1. Yixian'!Q128="","",IF('1. Yixian'!Q128='2. Nayoung'!Q128,1,0))</f>
        <v/>
      </c>
      <c r="P128" s="20" t="str">
        <f>IF('1. Yixian'!R128="","",IF('1. Yixian'!R128='2. Nayoung'!R128,1,0))</f>
        <v/>
      </c>
      <c r="Q128" s="20" t="str">
        <f>IF('1. Yixian'!S128="","",IF('1. Yixian'!S128='2. Nayoung'!S128,1,0))</f>
        <v/>
      </c>
      <c r="R128" s="20" t="str">
        <f>IF('1. Yixian'!T128="","",IF('1. Yixian'!T128='2. Nayoung'!T128,1,0))</f>
        <v/>
      </c>
      <c r="S128" s="20" t="str">
        <f>IF(R128="","",IF(OR('2. Nayoung'!U128="", '1. Yixian'!U128 = ""),0,1))</f>
        <v/>
      </c>
      <c r="T128" s="20" t="str">
        <f>IF('1. Yixian'!V128="","",IF('1. Yixian'!V128='2. Nayoung'!V128,1,0))</f>
        <v/>
      </c>
      <c r="U128" s="20" t="str">
        <f>IF('1. Yixian'!W128="","",IF('1. Yixian'!W128='2. Nayoung'!W128,1,0))</f>
        <v/>
      </c>
      <c r="V128" s="20" t="str">
        <f>IF('1. Yixian'!X128="","",IF('1. Yixian'!X128='2. Nayoung'!X128,1,0))</f>
        <v/>
      </c>
      <c r="W128" s="20" t="str">
        <f>IF('1. Yixian'!Y128="","",IF('1. Yixian'!Y128='2. Nayoung'!Y128,1,0))</f>
        <v/>
      </c>
      <c r="X128" s="20" t="str">
        <f>IF('1. Yixian'!Z128="","",IF('1. Yixian'!Z128='2. Nayoung'!Z128,1,0))</f>
        <v/>
      </c>
      <c r="Y128" s="20" t="str">
        <f>IF('1. Yixian'!AA128="","",IF('1. Yixian'!AA128='2. Nayoung'!AA128,1,0))</f>
        <v/>
      </c>
      <c r="Z128" s="20" t="str">
        <f>IF('1. Yixian'!AB128="","",IF('1. Yixian'!AB128='2. Nayoung'!AB128,1,0))</f>
        <v/>
      </c>
      <c r="AA128" s="20" t="str">
        <f>IF('1. Yixian'!AC128="","",IF('1. Yixian'!AC128='2. Nayoung'!AC128,1,0))</f>
        <v/>
      </c>
      <c r="AB128" s="20">
        <f>IF(OR('2. Nayoung'!AD127="", '1. Yixian'!AD128 = ""),0,1)</f>
        <v>1</v>
      </c>
      <c r="AC128" s="20">
        <f>IF('1. Yixian'!AE128="","",IF('1. Yixian'!AE128='2. Nayoung'!AE128,1,0))</f>
        <v>1</v>
      </c>
      <c r="AD128" s="20">
        <f>IF(OR('2. Nayoung'!AF128="", '1. Yixian'!AF128 = ""),0,1)</f>
        <v>1</v>
      </c>
      <c r="AF128" s="20">
        <f>IF('1. Yixian'!AH128="","",IF('1. Yixian'!AH128='2. Nayoung'!AH128,1,0))</f>
        <v>1</v>
      </c>
      <c r="AG128" s="20">
        <f>IF('1. Yixian'!AI128="","",IF('1. Yixian'!AI128='2. Nayoung'!AI128,1,0))</f>
        <v>1</v>
      </c>
      <c r="AH128" s="20">
        <f>IF('1. Yixian'!AJ128="","",IF('1. Yixian'!AJ128='2. Nayoung'!AJ128,1,0))</f>
        <v>1</v>
      </c>
      <c r="AI128" s="20">
        <f>IF('1. Yixian'!AK128="","",IF('1. Yixian'!AK128='2. Nayoung'!AK128,1,0))</f>
        <v>1</v>
      </c>
      <c r="AJ128" s="20">
        <f>IF('1. Yixian'!AL128="","",IF('1. Yixian'!AL128='2. Nayoung'!AL128,1,0))</f>
        <v>1</v>
      </c>
      <c r="AK128" s="20">
        <f>IF('1. Yixian'!AM128="","",IF('1. Yixian'!AM128='2. Nayoung'!AM128,1,0))</f>
        <v>1</v>
      </c>
      <c r="AL128" s="20" t="str">
        <f>IF('1. Yixian'!AT128="","",IF('1. Yixian'!AT128='2. Nayoung'!AT128,1,0))</f>
        <v/>
      </c>
      <c r="AM128" s="20" t="str">
        <f>IF('1. Yixian'!AU128="","",IF('1. Yixian'!AU128='2. Nayoung'!AU128,1,0))</f>
        <v/>
      </c>
      <c r="AN128" s="2"/>
    </row>
    <row r="129" spans="1:40" s="20" customFormat="1" ht="17" hidden="1" customHeight="1">
      <c r="A129" s="20">
        <f>IF('1. Yixian'!A129="","",IF('1. Yixian'!A129='2. Nayoung'!A129,1,0))</f>
        <v>0</v>
      </c>
      <c r="B129" s="20">
        <f>IF('1. Yixian'!B129="","",IF(RIGHT('1. Yixian'!B129,2)=RIGHT('2. Nayoung'!B129,2),1,0))</f>
        <v>0</v>
      </c>
      <c r="C129" s="20">
        <f>IF('1. Yixian'!C129="","",IF('1. Yixian'!C129='2. Nayoung'!C129,1,0))</f>
        <v>0</v>
      </c>
      <c r="E129" s="20">
        <f>IF('1. Yixian'!E129="","",IF('1. Yixian'!E129='2. Nayoung'!E129,1,0))</f>
        <v>0</v>
      </c>
      <c r="F129" s="20">
        <f>IF('1. Yixian'!F129="","",IF('1. Yixian'!F129='2. Nayoung'!F129,1,0))</f>
        <v>0</v>
      </c>
      <c r="G129" s="20">
        <f>IF('1. Yixian'!G129="","",IF('1. Yixian'!G129='2. Nayoung'!G129,1,0))</f>
        <v>0</v>
      </c>
      <c r="H129" s="20">
        <f>IF('1. Yixian'!J129="","",IF(RIGHT('1. Yixian'!J129,3)=RIGHT('2. Nayoung'!J129,3),1,0))</f>
        <v>0</v>
      </c>
      <c r="I129" s="20">
        <f>IF(H129="","",IF(OR('2. Nayoung'!K129="", '1. Yixian'!K129 = ""),0,1))</f>
        <v>1</v>
      </c>
      <c r="J129" s="20">
        <f>IF('1. Yixian'!L129="","",IF('1. Yixian'!L129='2. Nayoung'!L129,1,0))</f>
        <v>1</v>
      </c>
      <c r="K129" s="20">
        <f>IF('1. Yixian'!M129="","",IF('1. Yixian'!M129='2. Nayoung'!M129,1,0))</f>
        <v>1</v>
      </c>
      <c r="L129" s="20">
        <f>IF('1. Yixian'!N129="","",IF('1. Yixian'!N129='2. Nayoung'!N129,1,0))</f>
        <v>1</v>
      </c>
      <c r="M129" s="20">
        <f>IF('1. Yixian'!O129="","",IF('1. Yixian'!O129='2. Nayoung'!O129,1,0))</f>
        <v>1</v>
      </c>
      <c r="N129" s="20">
        <f>IF('1. Yixian'!P129="","",IF('1. Yixian'!P129='2. Nayoung'!P129,1,0))</f>
        <v>1</v>
      </c>
      <c r="O129" s="20">
        <f>IF('1. Yixian'!Q129="","",IF('1. Yixian'!Q129='2. Nayoung'!Q129,1,0))</f>
        <v>1</v>
      </c>
      <c r="P129" s="20">
        <f>IF('1. Yixian'!R129="","",IF('1. Yixian'!R129='2. Nayoung'!R129,1,0))</f>
        <v>1</v>
      </c>
      <c r="Q129" s="20">
        <f>IF('1. Yixian'!S129="","",IF('1. Yixian'!S129='2. Nayoung'!S129,1,0))</f>
        <v>1</v>
      </c>
      <c r="R129" s="20">
        <f>IF('1. Yixian'!T129="","",IF('1. Yixian'!T129='2. Nayoung'!T129,1,0))</f>
        <v>1</v>
      </c>
      <c r="S129" s="20">
        <f>IF(R129="","",IF(OR('2. Nayoung'!U129="", '1. Yixian'!U129 = ""),0,1))</f>
        <v>1</v>
      </c>
      <c r="T129" s="20">
        <f>IF('1. Yixian'!V129="","",IF('1. Yixian'!V129='2. Nayoung'!V129,1,0))</f>
        <v>1</v>
      </c>
      <c r="U129" s="20">
        <f>IF('1. Yixian'!W129="","",IF('1. Yixian'!W129='2. Nayoung'!W129,1,0))</f>
        <v>1</v>
      </c>
      <c r="V129" s="20">
        <f>IF('1. Yixian'!X129="","",IF('1. Yixian'!X129='2. Nayoung'!X129,1,0))</f>
        <v>1</v>
      </c>
      <c r="W129" s="20">
        <f>IF('1. Yixian'!Y129="","",IF('1. Yixian'!Y129='2. Nayoung'!Y129,1,0))</f>
        <v>1</v>
      </c>
      <c r="X129" s="20">
        <f>IF('1. Yixian'!Z129="","",IF('1. Yixian'!Z129='2. Nayoung'!Z129,1,0))</f>
        <v>1</v>
      </c>
      <c r="Y129" s="20">
        <f>IF('1. Yixian'!AA129="","",IF('1. Yixian'!AA129='2. Nayoung'!AA129,1,0))</f>
        <v>1</v>
      </c>
      <c r="Z129" s="20">
        <f>IF('1. Yixian'!AB129="","",IF('1. Yixian'!AB129='2. Nayoung'!AB129,1,0))</f>
        <v>1</v>
      </c>
      <c r="AA129" s="20">
        <f>IF('1. Yixian'!AC129="","",IF('1. Yixian'!AC129='2. Nayoung'!AC129,1,0))</f>
        <v>1</v>
      </c>
      <c r="AB129" s="20">
        <f>IF(OR('2. Nayoung'!AD128="", '1. Yixian'!AD129 = ""),0,1)</f>
        <v>1</v>
      </c>
      <c r="AC129" s="20">
        <f>IF('1. Yixian'!AE129="","",IF('1. Yixian'!AE129='2. Nayoung'!AE129,1,0))</f>
        <v>1</v>
      </c>
      <c r="AD129" s="20">
        <f>IF(OR('2. Nayoung'!AF129="", '1. Yixian'!AF129 = ""),0,1)</f>
        <v>1</v>
      </c>
      <c r="AF129" s="20">
        <f>IF('1. Yixian'!AH129="","",IF('1. Yixian'!AH129='2. Nayoung'!AH129,1,0))</f>
        <v>1</v>
      </c>
      <c r="AG129" s="20">
        <f>IF('1. Yixian'!AI129="","",IF('1. Yixian'!AI129='2. Nayoung'!AI129,1,0))</f>
        <v>1</v>
      </c>
      <c r="AH129" s="20">
        <f>IF('1. Yixian'!AJ129="","",IF('1. Yixian'!AJ129='2. Nayoung'!AJ129,1,0))</f>
        <v>1</v>
      </c>
      <c r="AI129" s="20">
        <f>IF('1. Yixian'!AK129="","",IF('1. Yixian'!AK129='2. Nayoung'!AK129,1,0))</f>
        <v>1</v>
      </c>
      <c r="AJ129" s="20">
        <f>IF('1. Yixian'!AL129="","",IF('1. Yixian'!AL129='2. Nayoung'!AL129,1,0))</f>
        <v>1</v>
      </c>
      <c r="AK129" s="20">
        <f>IF('1. Yixian'!AM129="","",IF('1. Yixian'!AM129='2. Nayoung'!AM129,1,0))</f>
        <v>1</v>
      </c>
      <c r="AL129" s="20" t="str">
        <f>IF('1. Yixian'!AT129="","",IF('1. Yixian'!AT129='2. Nayoung'!AT129,1,0))</f>
        <v/>
      </c>
      <c r="AM129" s="20" t="str">
        <f>IF('1. Yixian'!AU129="","",IF('1. Yixian'!AU129='2. Nayoung'!AU129,1,0))</f>
        <v/>
      </c>
      <c r="AN129" s="2"/>
    </row>
    <row r="130" spans="1:40" s="20" customFormat="1" ht="17" hidden="1" customHeight="1">
      <c r="A130" s="20" t="str">
        <f>IF('1. Yixian'!A130="","",IF('1. Yixian'!A130='2. Nayoung'!A130,1,0))</f>
        <v/>
      </c>
      <c r="B130" s="20" t="str">
        <f>IF('1. Yixian'!B130="","",IF(RIGHT('1. Yixian'!B130,2)=RIGHT('2. Nayoung'!B130,2),1,0))</f>
        <v/>
      </c>
      <c r="C130" s="20" t="str">
        <f>IF('1. Yixian'!C130="","",IF('1. Yixian'!C130='2. Nayoung'!C130,1,0))</f>
        <v/>
      </c>
      <c r="E130" s="20" t="str">
        <f>IF('1. Yixian'!E130="","",IF('1. Yixian'!E130='2. Nayoung'!E130,1,0))</f>
        <v/>
      </c>
      <c r="F130" s="20" t="str">
        <f>IF('1. Yixian'!F130="","",IF('1. Yixian'!F130='2. Nayoung'!F130,1,0))</f>
        <v/>
      </c>
      <c r="G130" s="20" t="str">
        <f>IF('1. Yixian'!G130="","",IF('1. Yixian'!G130='2. Nayoung'!G130,1,0))</f>
        <v/>
      </c>
      <c r="H130" s="20" t="str">
        <f>IF('1. Yixian'!J130="","",IF(RIGHT('1. Yixian'!J130,3)=RIGHT('2. Nayoung'!J130,3),1,0))</f>
        <v/>
      </c>
      <c r="I130" s="20" t="str">
        <f>IF(H130="","",IF(OR('2. Nayoung'!K130="", '1. Yixian'!K130 = ""),0,1))</f>
        <v/>
      </c>
      <c r="J130" s="20" t="str">
        <f>IF('1. Yixian'!L130="","",IF('1. Yixian'!L130='2. Nayoung'!L130,1,0))</f>
        <v/>
      </c>
      <c r="K130" s="20" t="str">
        <f>IF('1. Yixian'!M130="","",IF('1. Yixian'!M130='2. Nayoung'!M130,1,0))</f>
        <v/>
      </c>
      <c r="L130" s="20" t="str">
        <f>IF('1. Yixian'!N130="","",IF('1. Yixian'!N130='2. Nayoung'!N130,1,0))</f>
        <v/>
      </c>
      <c r="M130" s="20" t="str">
        <f>IF('1. Yixian'!O130="","",IF('1. Yixian'!O130='2. Nayoung'!O130,1,0))</f>
        <v/>
      </c>
      <c r="N130" s="20" t="str">
        <f>IF('1. Yixian'!P130="","",IF('1. Yixian'!P130='2. Nayoung'!P130,1,0))</f>
        <v/>
      </c>
      <c r="O130" s="20" t="str">
        <f>IF('1. Yixian'!Q130="","",IF('1. Yixian'!Q130='2. Nayoung'!Q130,1,0))</f>
        <v/>
      </c>
      <c r="P130" s="20" t="str">
        <f>IF('1. Yixian'!R130="","",IF('1. Yixian'!R130='2. Nayoung'!R130,1,0))</f>
        <v/>
      </c>
      <c r="Q130" s="20" t="str">
        <f>IF('1. Yixian'!S130="","",IF('1. Yixian'!S130='2. Nayoung'!S130,1,0))</f>
        <v/>
      </c>
      <c r="R130" s="20" t="str">
        <f>IF('1. Yixian'!T130="","",IF('1. Yixian'!T130='2. Nayoung'!T130,1,0))</f>
        <v/>
      </c>
      <c r="S130" s="20" t="str">
        <f>IF(R130="","",IF(OR('2. Nayoung'!U130="", '1. Yixian'!U130 = ""),0,1))</f>
        <v/>
      </c>
      <c r="T130" s="20" t="str">
        <f>IF('1. Yixian'!V130="","",IF('1. Yixian'!V130='2. Nayoung'!V130,1,0))</f>
        <v/>
      </c>
      <c r="U130" s="20" t="str">
        <f>IF('1. Yixian'!W130="","",IF('1. Yixian'!W130='2. Nayoung'!W130,1,0))</f>
        <v/>
      </c>
      <c r="V130" s="20" t="str">
        <f>IF('1. Yixian'!X130="","",IF('1. Yixian'!X130='2. Nayoung'!X130,1,0))</f>
        <v/>
      </c>
      <c r="W130" s="20" t="str">
        <f>IF('1. Yixian'!Y130="","",IF('1. Yixian'!Y130='2. Nayoung'!Y130,1,0))</f>
        <v/>
      </c>
      <c r="X130" s="20" t="str">
        <f>IF('1. Yixian'!Z130="","",IF('1. Yixian'!Z130='2. Nayoung'!Z130,1,0))</f>
        <v/>
      </c>
      <c r="Y130" s="20" t="str">
        <f>IF('1. Yixian'!AA130="","",IF('1. Yixian'!AA130='2. Nayoung'!AA130,1,0))</f>
        <v/>
      </c>
      <c r="Z130" s="20" t="str">
        <f>IF('1. Yixian'!AB130="","",IF('1. Yixian'!AB130='2. Nayoung'!AB130,1,0))</f>
        <v/>
      </c>
      <c r="AA130" s="20" t="str">
        <f>IF('1. Yixian'!AC130="","",IF('1. Yixian'!AC130='2. Nayoung'!AC130,1,0))</f>
        <v/>
      </c>
      <c r="AB130" s="20">
        <f>IF(OR('2. Nayoung'!AD129="", '1. Yixian'!AD130 = ""),0,1)</f>
        <v>1</v>
      </c>
      <c r="AC130" s="20">
        <f>IF('1. Yixian'!AE130="","",IF('1. Yixian'!AE130='2. Nayoung'!AE130,1,0))</f>
        <v>1</v>
      </c>
      <c r="AD130" s="20">
        <f>IF(OR('2. Nayoung'!AF130="", '1. Yixian'!AF130 = ""),0,1)</f>
        <v>1</v>
      </c>
      <c r="AF130" s="20">
        <f>IF('1. Yixian'!AH130="","",IF('1. Yixian'!AH130='2. Nayoung'!AH130,1,0))</f>
        <v>1</v>
      </c>
      <c r="AG130" s="20">
        <f>IF('1. Yixian'!AI130="","",IF('1. Yixian'!AI130='2. Nayoung'!AI130,1,0))</f>
        <v>1</v>
      </c>
      <c r="AH130" s="20">
        <f>IF('1. Yixian'!AJ130="","",IF('1. Yixian'!AJ130='2. Nayoung'!AJ130,1,0))</f>
        <v>1</v>
      </c>
      <c r="AI130" s="20">
        <f>IF('1. Yixian'!AK130="","",IF('1. Yixian'!AK130='2. Nayoung'!AK130,1,0))</f>
        <v>1</v>
      </c>
      <c r="AJ130" s="20">
        <f>IF('1. Yixian'!AL130="","",IF('1. Yixian'!AL130='2. Nayoung'!AL130,1,0))</f>
        <v>1</v>
      </c>
      <c r="AK130" s="20">
        <f>IF('1. Yixian'!AM130="","",IF('1. Yixian'!AM130='2. Nayoung'!AM130,1,0))</f>
        <v>1</v>
      </c>
      <c r="AL130" s="20" t="str">
        <f>IF('1. Yixian'!AT130="","",IF('1. Yixian'!AT130='2. Nayoung'!AT130,1,0))</f>
        <v/>
      </c>
      <c r="AM130" s="20" t="str">
        <f>IF('1. Yixian'!AU130="","",IF('1. Yixian'!AU130='2. Nayoung'!AU130,1,0))</f>
        <v/>
      </c>
      <c r="AN130" s="2"/>
    </row>
    <row r="131" spans="1:40" s="20" customFormat="1" ht="17" hidden="1" customHeight="1">
      <c r="A131" s="20" t="str">
        <f>IF('1. Yixian'!A131="","",IF('1. Yixian'!A131='2. Nayoung'!A131,1,0))</f>
        <v/>
      </c>
      <c r="B131" s="20" t="str">
        <f>IF('1. Yixian'!B131="","",IF(RIGHT('1. Yixian'!B131,2)=RIGHT('2. Nayoung'!B131,2),1,0))</f>
        <v/>
      </c>
      <c r="C131" s="20" t="str">
        <f>IF('1. Yixian'!C131="","",IF('1. Yixian'!C131='2. Nayoung'!C131,1,0))</f>
        <v/>
      </c>
      <c r="E131" s="20" t="str">
        <f>IF('1. Yixian'!E131="","",IF('1. Yixian'!E131='2. Nayoung'!E131,1,0))</f>
        <v/>
      </c>
      <c r="F131" s="20" t="str">
        <f>IF('1. Yixian'!F131="","",IF('1. Yixian'!F131='2. Nayoung'!F131,1,0))</f>
        <v/>
      </c>
      <c r="G131" s="20" t="str">
        <f>IF('1. Yixian'!G131="","",IF('1. Yixian'!G131='2. Nayoung'!G131,1,0))</f>
        <v/>
      </c>
      <c r="H131" s="20" t="str">
        <f>IF('1. Yixian'!J131="","",IF(RIGHT('1. Yixian'!J131,3)=RIGHT('2. Nayoung'!J131,3),1,0))</f>
        <v/>
      </c>
      <c r="I131" s="20" t="str">
        <f>IF(H131="","",IF(OR('2. Nayoung'!K131="", '1. Yixian'!K131 = ""),0,1))</f>
        <v/>
      </c>
      <c r="J131" s="20" t="str">
        <f>IF('1. Yixian'!L131="","",IF('1. Yixian'!L131='2. Nayoung'!L131,1,0))</f>
        <v/>
      </c>
      <c r="K131" s="20" t="str">
        <f>IF('1. Yixian'!M131="","",IF('1. Yixian'!M131='2. Nayoung'!M131,1,0))</f>
        <v/>
      </c>
      <c r="L131" s="20" t="str">
        <f>IF('1. Yixian'!N131="","",IF('1. Yixian'!N131='2. Nayoung'!N131,1,0))</f>
        <v/>
      </c>
      <c r="M131" s="20" t="str">
        <f>IF('1. Yixian'!O131="","",IF('1. Yixian'!O131='2. Nayoung'!O131,1,0))</f>
        <v/>
      </c>
      <c r="N131" s="20" t="str">
        <f>IF('1. Yixian'!P131="","",IF('1. Yixian'!P131='2. Nayoung'!P131,1,0))</f>
        <v/>
      </c>
      <c r="O131" s="20" t="str">
        <f>IF('1. Yixian'!Q131="","",IF('1. Yixian'!Q131='2. Nayoung'!Q131,1,0))</f>
        <v/>
      </c>
      <c r="P131" s="20" t="str">
        <f>IF('1. Yixian'!R131="","",IF('1. Yixian'!R131='2. Nayoung'!R131,1,0))</f>
        <v/>
      </c>
      <c r="Q131" s="20" t="str">
        <f>IF('1. Yixian'!S131="","",IF('1. Yixian'!S131='2. Nayoung'!S131,1,0))</f>
        <v/>
      </c>
      <c r="R131" s="20" t="str">
        <f>IF('1. Yixian'!T131="","",IF('1. Yixian'!T131='2. Nayoung'!T131,1,0))</f>
        <v/>
      </c>
      <c r="S131" s="20" t="str">
        <f>IF(R131="","",IF(OR('2. Nayoung'!U131="", '1. Yixian'!U131 = ""),0,1))</f>
        <v/>
      </c>
      <c r="T131" s="20" t="str">
        <f>IF('1. Yixian'!V131="","",IF('1. Yixian'!V131='2. Nayoung'!V131,1,0))</f>
        <v/>
      </c>
      <c r="U131" s="20" t="str">
        <f>IF('1. Yixian'!W131="","",IF('1. Yixian'!W131='2. Nayoung'!W131,1,0))</f>
        <v/>
      </c>
      <c r="V131" s="20" t="str">
        <f>IF('1. Yixian'!X131="","",IF('1. Yixian'!X131='2. Nayoung'!X131,1,0))</f>
        <v/>
      </c>
      <c r="W131" s="20" t="str">
        <f>IF('1. Yixian'!Y131="","",IF('1. Yixian'!Y131='2. Nayoung'!Y131,1,0))</f>
        <v/>
      </c>
      <c r="X131" s="20" t="str">
        <f>IF('1. Yixian'!Z131="","",IF('1. Yixian'!Z131='2. Nayoung'!Z131,1,0))</f>
        <v/>
      </c>
      <c r="Y131" s="20" t="str">
        <f>IF('1. Yixian'!AA131="","",IF('1. Yixian'!AA131='2. Nayoung'!AA131,1,0))</f>
        <v/>
      </c>
      <c r="Z131" s="20" t="str">
        <f>IF('1. Yixian'!AB131="","",IF('1. Yixian'!AB131='2. Nayoung'!AB131,1,0))</f>
        <v/>
      </c>
      <c r="AA131" s="20" t="str">
        <f>IF('1. Yixian'!AC131="","",IF('1. Yixian'!AC131='2. Nayoung'!AC131,1,0))</f>
        <v/>
      </c>
      <c r="AB131" s="20">
        <f>IF(OR('2. Nayoung'!AD130="", '1. Yixian'!AD131 = ""),0,1)</f>
        <v>1</v>
      </c>
      <c r="AC131" s="20">
        <f>IF('1. Yixian'!AE131="","",IF('1. Yixian'!AE131='2. Nayoung'!AE131,1,0))</f>
        <v>1</v>
      </c>
      <c r="AD131" s="20">
        <f>IF(OR('2. Nayoung'!AF131="", '1. Yixian'!AF131 = ""),0,1)</f>
        <v>1</v>
      </c>
      <c r="AF131" s="20">
        <f>IF('1. Yixian'!AH131="","",IF('1. Yixian'!AH131='2. Nayoung'!AH131,1,0))</f>
        <v>1</v>
      </c>
      <c r="AG131" s="20">
        <f>IF('1. Yixian'!AI131="","",IF('1. Yixian'!AI131='2. Nayoung'!AI131,1,0))</f>
        <v>1</v>
      </c>
      <c r="AH131" s="20">
        <f>IF('1. Yixian'!AJ131="","",IF('1. Yixian'!AJ131='2. Nayoung'!AJ131,1,0))</f>
        <v>1</v>
      </c>
      <c r="AI131" s="20">
        <f>IF('1. Yixian'!AK131="","",IF('1. Yixian'!AK131='2. Nayoung'!AK131,1,0))</f>
        <v>1</v>
      </c>
      <c r="AJ131" s="20">
        <f>IF('1. Yixian'!AL131="","",IF('1. Yixian'!AL131='2. Nayoung'!AL131,1,0))</f>
        <v>1</v>
      </c>
      <c r="AK131" s="20">
        <f>IF('1. Yixian'!AM131="","",IF('1. Yixian'!AM131='2. Nayoung'!AM131,1,0))</f>
        <v>1</v>
      </c>
      <c r="AL131" s="20" t="str">
        <f>IF('1. Yixian'!AT131="","",IF('1. Yixian'!AT131='2. Nayoung'!AT131,1,0))</f>
        <v/>
      </c>
      <c r="AM131" s="20" t="str">
        <f>IF('1. Yixian'!AU131="","",IF('1. Yixian'!AU131='2. Nayoung'!AU131,1,0))</f>
        <v/>
      </c>
      <c r="AN131" s="2"/>
    </row>
    <row r="132" spans="1:40" s="20" customFormat="1" ht="17" hidden="1" customHeight="1">
      <c r="A132" s="20" t="str">
        <f>IF('1. Yixian'!A132="","",IF('1. Yixian'!A132='2. Nayoung'!A132,1,0))</f>
        <v/>
      </c>
      <c r="B132" s="20" t="str">
        <f>IF('1. Yixian'!B132="","",IF(RIGHT('1. Yixian'!B132,2)=RIGHT('2. Nayoung'!B132,2),1,0))</f>
        <v/>
      </c>
      <c r="C132" s="20" t="str">
        <f>IF('1. Yixian'!C132="","",IF('1. Yixian'!C132='2. Nayoung'!C132,1,0))</f>
        <v/>
      </c>
      <c r="E132" s="20" t="str">
        <f>IF('1. Yixian'!E132="","",IF('1. Yixian'!E132='2. Nayoung'!E132,1,0))</f>
        <v/>
      </c>
      <c r="F132" s="20" t="str">
        <f>IF('1. Yixian'!F132="","",IF('1. Yixian'!F132='2. Nayoung'!F132,1,0))</f>
        <v/>
      </c>
      <c r="G132" s="20" t="str">
        <f>IF('1. Yixian'!G132="","",IF('1. Yixian'!G132='2. Nayoung'!G132,1,0))</f>
        <v/>
      </c>
      <c r="H132" s="20">
        <f>IF('1. Yixian'!J132="","",IF(RIGHT('1. Yixian'!J132,3)=RIGHT('2. Nayoung'!J132,3),1,0))</f>
        <v>0</v>
      </c>
      <c r="I132" s="20">
        <f>IF(H132="","",IF(OR('2. Nayoung'!K132="", '1. Yixian'!K132 = ""),0,1))</f>
        <v>1</v>
      </c>
      <c r="J132" s="20">
        <f>IF('1. Yixian'!L132="","",IF('1. Yixian'!L132='2. Nayoung'!L132,1,0))</f>
        <v>1</v>
      </c>
      <c r="K132" s="20">
        <f>IF('1. Yixian'!M132="","",IF('1. Yixian'!M132='2. Nayoung'!M132,1,0))</f>
        <v>1</v>
      </c>
      <c r="L132" s="20">
        <f>IF('1. Yixian'!N132="","",IF('1. Yixian'!N132='2. Nayoung'!N132,1,0))</f>
        <v>1</v>
      </c>
      <c r="M132" s="20">
        <f>IF('1. Yixian'!O132="","",IF('1. Yixian'!O132='2. Nayoung'!O132,1,0))</f>
        <v>1</v>
      </c>
      <c r="N132" s="20">
        <f>IF('1. Yixian'!P132="","",IF('1. Yixian'!P132='2. Nayoung'!P132,1,0))</f>
        <v>1</v>
      </c>
      <c r="O132" s="20">
        <f>IF('1. Yixian'!Q132="","",IF('1. Yixian'!Q132='2. Nayoung'!Q132,1,0))</f>
        <v>1</v>
      </c>
      <c r="P132" s="20">
        <f>IF('1. Yixian'!R132="","",IF('1. Yixian'!R132='2. Nayoung'!R132,1,0))</f>
        <v>1</v>
      </c>
      <c r="Q132" s="20">
        <f>IF('1. Yixian'!S132="","",IF('1. Yixian'!S132='2. Nayoung'!S132,1,0))</f>
        <v>1</v>
      </c>
      <c r="R132" s="20">
        <f>IF('1. Yixian'!T132="","",IF('1. Yixian'!T132='2. Nayoung'!T132,1,0))</f>
        <v>1</v>
      </c>
      <c r="S132" s="20">
        <f>IF(R132="","",IF(OR('2. Nayoung'!U132="", '1. Yixian'!U132 = ""),0,1))</f>
        <v>1</v>
      </c>
      <c r="T132" s="20">
        <f>IF('1. Yixian'!V132="","",IF('1. Yixian'!V132='2. Nayoung'!V132,1,0))</f>
        <v>1</v>
      </c>
      <c r="U132" s="20">
        <f>IF('1. Yixian'!W132="","",IF('1. Yixian'!W132='2. Nayoung'!W132,1,0))</f>
        <v>1</v>
      </c>
      <c r="V132" s="20">
        <f>IF('1. Yixian'!X132="","",IF('1. Yixian'!X132='2. Nayoung'!X132,1,0))</f>
        <v>1</v>
      </c>
      <c r="W132" s="20">
        <f>IF('1. Yixian'!Y132="","",IF('1. Yixian'!Y132='2. Nayoung'!Y132,1,0))</f>
        <v>1</v>
      </c>
      <c r="X132" s="20">
        <f>IF('1. Yixian'!Z132="","",IF('1. Yixian'!Z132='2. Nayoung'!Z132,1,0))</f>
        <v>1</v>
      </c>
      <c r="Y132" s="20">
        <f>IF('1. Yixian'!AA132="","",IF('1. Yixian'!AA132='2. Nayoung'!AA132,1,0))</f>
        <v>1</v>
      </c>
      <c r="Z132" s="20">
        <f>IF('1. Yixian'!AB132="","",IF('1. Yixian'!AB132='2. Nayoung'!AB132,1,0))</f>
        <v>1</v>
      </c>
      <c r="AA132" s="20">
        <f>IF('1. Yixian'!AC132="","",IF('1. Yixian'!AC132='2. Nayoung'!AC132,1,0))</f>
        <v>1</v>
      </c>
      <c r="AB132" s="20">
        <f>IF(OR('2. Nayoung'!AD131="", '1. Yixian'!AD132 = ""),0,1)</f>
        <v>1</v>
      </c>
      <c r="AC132" s="20">
        <f>IF('1. Yixian'!AE132="","",IF('1. Yixian'!AE132='2. Nayoung'!AE132,1,0))</f>
        <v>1</v>
      </c>
      <c r="AD132" s="20">
        <f>IF(OR('2. Nayoung'!AF132="", '1. Yixian'!AF132 = ""),0,1)</f>
        <v>1</v>
      </c>
      <c r="AF132" s="20">
        <f>IF('1. Yixian'!AH132="","",IF('1. Yixian'!AH132='2. Nayoung'!AH132,1,0))</f>
        <v>1</v>
      </c>
      <c r="AG132" s="20">
        <f>IF('1. Yixian'!AI132="","",IF('1. Yixian'!AI132='2. Nayoung'!AI132,1,0))</f>
        <v>1</v>
      </c>
      <c r="AH132" s="20">
        <f>IF('1. Yixian'!AJ132="","",IF('1. Yixian'!AJ132='2. Nayoung'!AJ132,1,0))</f>
        <v>1</v>
      </c>
      <c r="AI132" s="20">
        <f>IF('1. Yixian'!AK132="","",IF('1. Yixian'!AK132='2. Nayoung'!AK132,1,0))</f>
        <v>1</v>
      </c>
      <c r="AJ132" s="20">
        <f>IF('1. Yixian'!AL132="","",IF('1. Yixian'!AL132='2. Nayoung'!AL132,1,0))</f>
        <v>1</v>
      </c>
      <c r="AK132" s="20">
        <f>IF('1. Yixian'!AM132="","",IF('1. Yixian'!AM132='2. Nayoung'!AM132,1,0))</f>
        <v>1</v>
      </c>
      <c r="AL132" s="20" t="str">
        <f>IF('1. Yixian'!AT132="","",IF('1. Yixian'!AT132='2. Nayoung'!AT132,1,0))</f>
        <v/>
      </c>
      <c r="AM132" s="20" t="str">
        <f>IF('1. Yixian'!AU132="","",IF('1. Yixian'!AU132='2. Nayoung'!AU132,1,0))</f>
        <v/>
      </c>
      <c r="AN132" s="2"/>
    </row>
    <row r="133" spans="1:40" s="20" customFormat="1" ht="17" hidden="1" customHeight="1">
      <c r="A133" s="20" t="str">
        <f>IF('1. Yixian'!A133="","",IF('1. Yixian'!A133='2. Nayoung'!A133,1,0))</f>
        <v/>
      </c>
      <c r="B133" s="20" t="str">
        <f>IF('1. Yixian'!B133="","",IF(RIGHT('1. Yixian'!B133,2)=RIGHT('2. Nayoung'!B133,2),1,0))</f>
        <v/>
      </c>
      <c r="C133" s="20" t="str">
        <f>IF('1. Yixian'!C133="","",IF('1. Yixian'!C133='2. Nayoung'!C133,1,0))</f>
        <v/>
      </c>
      <c r="E133" s="20" t="str">
        <f>IF('1. Yixian'!E133="","",IF('1. Yixian'!E133='2. Nayoung'!E133,1,0))</f>
        <v/>
      </c>
      <c r="F133" s="20" t="str">
        <f>IF('1. Yixian'!F133="","",IF('1. Yixian'!F133='2. Nayoung'!F133,1,0))</f>
        <v/>
      </c>
      <c r="G133" s="20" t="str">
        <f>IF('1. Yixian'!G133="","",IF('1. Yixian'!G133='2. Nayoung'!G133,1,0))</f>
        <v/>
      </c>
      <c r="H133" s="20" t="str">
        <f>IF('1. Yixian'!J133="","",IF(RIGHT('1. Yixian'!J133,3)=RIGHT('2. Nayoung'!J133,3),1,0))</f>
        <v/>
      </c>
      <c r="I133" s="20" t="str">
        <f>IF(H133="","",IF(OR('2. Nayoung'!K133="", '1. Yixian'!K133 = ""),0,1))</f>
        <v/>
      </c>
      <c r="J133" s="20" t="str">
        <f>IF('1. Yixian'!L133="","",IF('1. Yixian'!L133='2. Nayoung'!L133,1,0))</f>
        <v/>
      </c>
      <c r="K133" s="20" t="str">
        <f>IF('1. Yixian'!M133="","",IF('1. Yixian'!M133='2. Nayoung'!M133,1,0))</f>
        <v/>
      </c>
      <c r="L133" s="20" t="str">
        <f>IF('1. Yixian'!N133="","",IF('1. Yixian'!N133='2. Nayoung'!N133,1,0))</f>
        <v/>
      </c>
      <c r="M133" s="20" t="str">
        <f>IF('1. Yixian'!O133="","",IF('1. Yixian'!O133='2. Nayoung'!O133,1,0))</f>
        <v/>
      </c>
      <c r="N133" s="20" t="str">
        <f>IF('1. Yixian'!P133="","",IF('1. Yixian'!P133='2. Nayoung'!P133,1,0))</f>
        <v/>
      </c>
      <c r="O133" s="20" t="str">
        <f>IF('1. Yixian'!Q133="","",IF('1. Yixian'!Q133='2. Nayoung'!Q133,1,0))</f>
        <v/>
      </c>
      <c r="P133" s="20" t="str">
        <f>IF('1. Yixian'!R133="","",IF('1. Yixian'!R133='2. Nayoung'!R133,1,0))</f>
        <v/>
      </c>
      <c r="Q133" s="20" t="str">
        <f>IF('1. Yixian'!S133="","",IF('1. Yixian'!S133='2. Nayoung'!S133,1,0))</f>
        <v/>
      </c>
      <c r="R133" s="20" t="str">
        <f>IF('1. Yixian'!T133="","",IF('1. Yixian'!T133='2. Nayoung'!T133,1,0))</f>
        <v/>
      </c>
      <c r="S133" s="20" t="str">
        <f>IF(R133="","",IF(OR('2. Nayoung'!U133="", '1. Yixian'!U133 = ""),0,1))</f>
        <v/>
      </c>
      <c r="T133" s="20" t="str">
        <f>IF('1. Yixian'!V133="","",IF('1. Yixian'!V133='2. Nayoung'!V133,1,0))</f>
        <v/>
      </c>
      <c r="U133" s="20" t="str">
        <f>IF('1. Yixian'!W133="","",IF('1. Yixian'!W133='2. Nayoung'!W133,1,0))</f>
        <v/>
      </c>
      <c r="V133" s="20" t="str">
        <f>IF('1. Yixian'!X133="","",IF('1. Yixian'!X133='2. Nayoung'!X133,1,0))</f>
        <v/>
      </c>
      <c r="W133" s="20" t="str">
        <f>IF('1. Yixian'!Y133="","",IF('1. Yixian'!Y133='2. Nayoung'!Y133,1,0))</f>
        <v/>
      </c>
      <c r="X133" s="20" t="str">
        <f>IF('1. Yixian'!Z133="","",IF('1. Yixian'!Z133='2. Nayoung'!Z133,1,0))</f>
        <v/>
      </c>
      <c r="Y133" s="20" t="str">
        <f>IF('1. Yixian'!AA133="","",IF('1. Yixian'!AA133='2. Nayoung'!AA133,1,0))</f>
        <v/>
      </c>
      <c r="Z133" s="20" t="str">
        <f>IF('1. Yixian'!AB133="","",IF('1. Yixian'!AB133='2. Nayoung'!AB133,1,0))</f>
        <v/>
      </c>
      <c r="AA133" s="20" t="str">
        <f>IF('1. Yixian'!AC133="","",IF('1. Yixian'!AC133='2. Nayoung'!AC133,1,0))</f>
        <v/>
      </c>
      <c r="AB133" s="20">
        <f>IF(OR('2. Nayoung'!AD132="", '1. Yixian'!AD133 = ""),0,1)</f>
        <v>1</v>
      </c>
      <c r="AC133" s="20">
        <f>IF('1. Yixian'!AE133="","",IF('1. Yixian'!AE133='2. Nayoung'!AE133,1,0))</f>
        <v>1</v>
      </c>
      <c r="AD133" s="20">
        <f>IF(OR('2. Nayoung'!AF133="", '1. Yixian'!AF133 = ""),0,1)</f>
        <v>1</v>
      </c>
      <c r="AF133" s="20">
        <f>IF('1. Yixian'!AH133="","",IF('1. Yixian'!AH133='2. Nayoung'!AH133,1,0))</f>
        <v>1</v>
      </c>
      <c r="AG133" s="20">
        <f>IF('1. Yixian'!AI133="","",IF('1. Yixian'!AI133='2. Nayoung'!AI133,1,0))</f>
        <v>1</v>
      </c>
      <c r="AH133" s="20">
        <f>IF('1. Yixian'!AJ133="","",IF('1. Yixian'!AJ133='2. Nayoung'!AJ133,1,0))</f>
        <v>1</v>
      </c>
      <c r="AI133" s="20">
        <f>IF('1. Yixian'!AK133="","",IF('1. Yixian'!AK133='2. Nayoung'!AK133,1,0))</f>
        <v>1</v>
      </c>
      <c r="AJ133" s="20">
        <f>IF('1. Yixian'!AL133="","",IF('1. Yixian'!AL133='2. Nayoung'!AL133,1,0))</f>
        <v>1</v>
      </c>
      <c r="AK133" s="20">
        <f>IF('1. Yixian'!AM133="","",IF('1. Yixian'!AM133='2. Nayoung'!AM133,1,0))</f>
        <v>1</v>
      </c>
      <c r="AL133" s="20" t="str">
        <f>IF('1. Yixian'!AT133="","",IF('1. Yixian'!AT133='2. Nayoung'!AT133,1,0))</f>
        <v/>
      </c>
      <c r="AM133" s="20" t="str">
        <f>IF('1. Yixian'!AU133="","",IF('1. Yixian'!AU133='2. Nayoung'!AU133,1,0))</f>
        <v/>
      </c>
      <c r="AN133" s="2"/>
    </row>
    <row r="134" spans="1:40" s="20" customFormat="1" ht="17" hidden="1" customHeight="1">
      <c r="A134" s="20" t="str">
        <f>IF('1. Yixian'!A134="","",IF('1. Yixian'!A134='2. Nayoung'!A134,1,0))</f>
        <v/>
      </c>
      <c r="B134" s="20" t="str">
        <f>IF('1. Yixian'!B134="","",IF(RIGHT('1. Yixian'!B134,2)=RIGHT('2. Nayoung'!B134,2),1,0))</f>
        <v/>
      </c>
      <c r="C134" s="20" t="str">
        <f>IF('1. Yixian'!C134="","",IF('1. Yixian'!C134='2. Nayoung'!C134,1,0))</f>
        <v/>
      </c>
      <c r="E134" s="20" t="str">
        <f>IF('1. Yixian'!E134="","",IF('1. Yixian'!E134='2. Nayoung'!E134,1,0))</f>
        <v/>
      </c>
      <c r="F134" s="20" t="str">
        <f>IF('1. Yixian'!F134="","",IF('1. Yixian'!F134='2. Nayoung'!F134,1,0))</f>
        <v/>
      </c>
      <c r="G134" s="20" t="str">
        <f>IF('1. Yixian'!G134="","",IF('1. Yixian'!G134='2. Nayoung'!G134,1,0))</f>
        <v/>
      </c>
      <c r="H134" s="20" t="str">
        <f>IF('1. Yixian'!J134="","",IF(RIGHT('1. Yixian'!J134,3)=RIGHT('2. Nayoung'!J134,3),1,0))</f>
        <v/>
      </c>
      <c r="I134" s="20" t="str">
        <f>IF(H134="","",IF(OR('2. Nayoung'!K134="", '1. Yixian'!K134 = ""),0,1))</f>
        <v/>
      </c>
      <c r="J134" s="20" t="str">
        <f>IF('1. Yixian'!L134="","",IF('1. Yixian'!L134='2. Nayoung'!L134,1,0))</f>
        <v/>
      </c>
      <c r="K134" s="20" t="str">
        <f>IF('1. Yixian'!M134="","",IF('1. Yixian'!M134='2. Nayoung'!M134,1,0))</f>
        <v/>
      </c>
      <c r="L134" s="20" t="str">
        <f>IF('1. Yixian'!N134="","",IF('1. Yixian'!N134='2. Nayoung'!N134,1,0))</f>
        <v/>
      </c>
      <c r="M134" s="20" t="str">
        <f>IF('1. Yixian'!O134="","",IF('1. Yixian'!O134='2. Nayoung'!O134,1,0))</f>
        <v/>
      </c>
      <c r="N134" s="20" t="str">
        <f>IF('1. Yixian'!P134="","",IF('1. Yixian'!P134='2. Nayoung'!P134,1,0))</f>
        <v/>
      </c>
      <c r="O134" s="20" t="str">
        <f>IF('1. Yixian'!Q134="","",IF('1. Yixian'!Q134='2. Nayoung'!Q134,1,0))</f>
        <v/>
      </c>
      <c r="P134" s="20" t="str">
        <f>IF('1. Yixian'!R134="","",IF('1. Yixian'!R134='2. Nayoung'!R134,1,0))</f>
        <v/>
      </c>
      <c r="Q134" s="20" t="str">
        <f>IF('1. Yixian'!S134="","",IF('1. Yixian'!S134='2. Nayoung'!S134,1,0))</f>
        <v/>
      </c>
      <c r="R134" s="20" t="str">
        <f>IF('1. Yixian'!T134="","",IF('1. Yixian'!T134='2. Nayoung'!T134,1,0))</f>
        <v/>
      </c>
      <c r="S134" s="20" t="str">
        <f>IF(R134="","",IF(OR('2. Nayoung'!U134="", '1. Yixian'!U134 = ""),0,1))</f>
        <v/>
      </c>
      <c r="T134" s="20" t="str">
        <f>IF('1. Yixian'!V134="","",IF('1. Yixian'!V134='2. Nayoung'!V134,1,0))</f>
        <v/>
      </c>
      <c r="U134" s="20" t="str">
        <f>IF('1. Yixian'!W134="","",IF('1. Yixian'!W134='2. Nayoung'!W134,1,0))</f>
        <v/>
      </c>
      <c r="V134" s="20" t="str">
        <f>IF('1. Yixian'!X134="","",IF('1. Yixian'!X134='2. Nayoung'!X134,1,0))</f>
        <v/>
      </c>
      <c r="W134" s="20" t="str">
        <f>IF('1. Yixian'!Y134="","",IF('1. Yixian'!Y134='2. Nayoung'!Y134,1,0))</f>
        <v/>
      </c>
      <c r="X134" s="20" t="str">
        <f>IF('1. Yixian'!Z134="","",IF('1. Yixian'!Z134='2. Nayoung'!Z134,1,0))</f>
        <v/>
      </c>
      <c r="Y134" s="20" t="str">
        <f>IF('1. Yixian'!AA134="","",IF('1. Yixian'!AA134='2. Nayoung'!AA134,1,0))</f>
        <v/>
      </c>
      <c r="Z134" s="20" t="str">
        <f>IF('1. Yixian'!AB134="","",IF('1. Yixian'!AB134='2. Nayoung'!AB134,1,0))</f>
        <v/>
      </c>
      <c r="AA134" s="20" t="str">
        <f>IF('1. Yixian'!AC134="","",IF('1. Yixian'!AC134='2. Nayoung'!AC134,1,0))</f>
        <v/>
      </c>
      <c r="AB134" s="20">
        <f>IF(OR('2. Nayoung'!AD133="", '1. Yixian'!AD134 = ""),0,1)</f>
        <v>1</v>
      </c>
      <c r="AC134" s="20">
        <f>IF('1. Yixian'!AE134="","",IF('1. Yixian'!AE134='2. Nayoung'!AE134,1,0))</f>
        <v>1</v>
      </c>
      <c r="AD134" s="20">
        <f>IF(OR('2. Nayoung'!AF134="", '1. Yixian'!AF134 = ""),0,1)</f>
        <v>1</v>
      </c>
      <c r="AF134" s="20">
        <f>IF('1. Yixian'!AH134="","",IF('1. Yixian'!AH134='2. Nayoung'!AH134,1,0))</f>
        <v>1</v>
      </c>
      <c r="AG134" s="20">
        <f>IF('1. Yixian'!AI134="","",IF('1. Yixian'!AI134='2. Nayoung'!AI134,1,0))</f>
        <v>1</v>
      </c>
      <c r="AH134" s="20">
        <f>IF('1. Yixian'!AJ134="","",IF('1. Yixian'!AJ134='2. Nayoung'!AJ134,1,0))</f>
        <v>1</v>
      </c>
      <c r="AI134" s="20">
        <f>IF('1. Yixian'!AK134="","",IF('1. Yixian'!AK134='2. Nayoung'!AK134,1,0))</f>
        <v>1</v>
      </c>
      <c r="AJ134" s="20">
        <f>IF('1. Yixian'!AL134="","",IF('1. Yixian'!AL134='2. Nayoung'!AL134,1,0))</f>
        <v>1</v>
      </c>
      <c r="AK134" s="20">
        <f>IF('1. Yixian'!AM134="","",IF('1. Yixian'!AM134='2. Nayoung'!AM134,1,0))</f>
        <v>1</v>
      </c>
      <c r="AL134" s="20" t="str">
        <f>IF('1. Yixian'!AT134="","",IF('1. Yixian'!AT134='2. Nayoung'!AT134,1,0))</f>
        <v/>
      </c>
      <c r="AM134" s="20" t="str">
        <f>IF('1. Yixian'!AU134="","",IF('1. Yixian'!AU134='2. Nayoung'!AU134,1,0))</f>
        <v/>
      </c>
      <c r="AN134" s="2"/>
    </row>
    <row r="135" spans="1:40" s="20" customFormat="1" ht="17" hidden="1" customHeight="1">
      <c r="A135" s="20">
        <f>IF('1. Yixian'!A135="","",IF('1. Yixian'!A135='2. Nayoung'!A135,1,0))</f>
        <v>0</v>
      </c>
      <c r="B135" s="20">
        <f>IF('1. Yixian'!B135="","",IF(RIGHT('1. Yixian'!B135,2)=RIGHT('2. Nayoung'!B135,2),1,0))</f>
        <v>0</v>
      </c>
      <c r="C135" s="20">
        <f>IF('1. Yixian'!C135="","",IF('1. Yixian'!C135='2. Nayoung'!C135,1,0))</f>
        <v>1</v>
      </c>
      <c r="E135" s="20">
        <f>IF('1. Yixian'!E135="","",IF('1. Yixian'!E135='2. Nayoung'!E135,1,0))</f>
        <v>1</v>
      </c>
      <c r="F135" s="20">
        <f>IF('1. Yixian'!F135="","",IF('1. Yixian'!F135='2. Nayoung'!F135,1,0))</f>
        <v>1</v>
      </c>
      <c r="G135" s="20">
        <f>IF('1. Yixian'!G135="","",IF('1. Yixian'!G135='2. Nayoung'!G135,1,0))</f>
        <v>1</v>
      </c>
      <c r="H135" s="20">
        <f>IF('1. Yixian'!J135="","",IF(RIGHT('1. Yixian'!J135,3)=RIGHT('2. Nayoung'!J135,3),1,0))</f>
        <v>0</v>
      </c>
      <c r="I135" s="20">
        <f>IF(H135="","",IF(OR('2. Nayoung'!K135="", '1. Yixian'!K135 = ""),0,1))</f>
        <v>1</v>
      </c>
      <c r="J135" s="20">
        <f>IF('1. Yixian'!L135="","",IF('1. Yixian'!L135='2. Nayoung'!L135,1,0))</f>
        <v>1</v>
      </c>
      <c r="K135" s="20">
        <f>IF('1. Yixian'!M135="","",IF('1. Yixian'!M135='2. Nayoung'!M135,1,0))</f>
        <v>1</v>
      </c>
      <c r="L135" s="20">
        <f>IF('1. Yixian'!N135="","",IF('1. Yixian'!N135='2. Nayoung'!N135,1,0))</f>
        <v>1</v>
      </c>
      <c r="M135" s="20">
        <f>IF('1. Yixian'!O135="","",IF('1. Yixian'!O135='2. Nayoung'!O135,1,0))</f>
        <v>1</v>
      </c>
      <c r="N135" s="20">
        <f>IF('1. Yixian'!P135="","",IF('1. Yixian'!P135='2. Nayoung'!P135,1,0))</f>
        <v>1</v>
      </c>
      <c r="O135" s="20">
        <f>IF('1. Yixian'!Q135="","",IF('1. Yixian'!Q135='2. Nayoung'!Q135,1,0))</f>
        <v>1</v>
      </c>
      <c r="P135" s="20">
        <f>IF('1. Yixian'!R135="","",IF('1. Yixian'!R135='2. Nayoung'!R135,1,0))</f>
        <v>1</v>
      </c>
      <c r="Q135" s="20">
        <f>IF('1. Yixian'!S135="","",IF('1. Yixian'!S135='2. Nayoung'!S135,1,0))</f>
        <v>1</v>
      </c>
      <c r="R135" s="20">
        <f>IF('1. Yixian'!T135="","",IF('1. Yixian'!T135='2. Nayoung'!T135,1,0))</f>
        <v>1</v>
      </c>
      <c r="S135" s="20">
        <f>IF(R135="","",IF(OR('2. Nayoung'!U135="", '1. Yixian'!U135 = ""),0,1))</f>
        <v>1</v>
      </c>
      <c r="T135" s="20">
        <f>IF('1. Yixian'!V135="","",IF('1. Yixian'!V135='2. Nayoung'!V135,1,0))</f>
        <v>1</v>
      </c>
      <c r="U135" s="20">
        <f>IF('1. Yixian'!W135="","",IF('1. Yixian'!W135='2. Nayoung'!W135,1,0))</f>
        <v>1</v>
      </c>
      <c r="V135" s="20">
        <f>IF('1. Yixian'!X135="","",IF('1. Yixian'!X135='2. Nayoung'!X135,1,0))</f>
        <v>1</v>
      </c>
      <c r="W135" s="20">
        <f>IF('1. Yixian'!Y135="","",IF('1. Yixian'!Y135='2. Nayoung'!Y135,1,0))</f>
        <v>1</v>
      </c>
      <c r="X135" s="20">
        <f>IF('1. Yixian'!Z135="","",IF('1. Yixian'!Z135='2. Nayoung'!Z135,1,0))</f>
        <v>1</v>
      </c>
      <c r="Y135" s="20">
        <f>IF('1. Yixian'!AA135="","",IF('1. Yixian'!AA135='2. Nayoung'!AA135,1,0))</f>
        <v>1</v>
      </c>
      <c r="Z135" s="20">
        <f>IF('1. Yixian'!AB135="","",IF('1. Yixian'!AB135='2. Nayoung'!AB135,1,0))</f>
        <v>1</v>
      </c>
      <c r="AA135" s="20">
        <f>IF('1. Yixian'!AC135="","",IF('1. Yixian'!AC135='2. Nayoung'!AC135,1,0))</f>
        <v>1</v>
      </c>
      <c r="AB135" s="20">
        <f>IF(OR('2. Nayoung'!AD134="", '1. Yixian'!AD135 = ""),0,1)</f>
        <v>1</v>
      </c>
      <c r="AC135" s="20">
        <f>IF('1. Yixian'!AE135="","",IF('1. Yixian'!AE135='2. Nayoung'!AE135,1,0))</f>
        <v>1</v>
      </c>
      <c r="AD135" s="20">
        <f>IF(OR('2. Nayoung'!AF135="", '1. Yixian'!AF135 = ""),0,1)</f>
        <v>1</v>
      </c>
      <c r="AF135" s="20">
        <f>IF('1. Yixian'!AH135="","",IF('1. Yixian'!AH135='2. Nayoung'!AH135,1,0))</f>
        <v>1</v>
      </c>
      <c r="AG135" s="20">
        <f>IF('1. Yixian'!AI135="","",IF('1. Yixian'!AI135='2. Nayoung'!AI135,1,0))</f>
        <v>1</v>
      </c>
      <c r="AH135" s="20">
        <f>IF('1. Yixian'!AJ135="","",IF('1. Yixian'!AJ135='2. Nayoung'!AJ135,1,0))</f>
        <v>1</v>
      </c>
      <c r="AI135" s="20">
        <f>IF('1. Yixian'!AK135="","",IF('1. Yixian'!AK135='2. Nayoung'!AK135,1,0))</f>
        <v>1</v>
      </c>
      <c r="AJ135" s="20">
        <f>IF('1. Yixian'!AL135="","",IF('1. Yixian'!AL135='2. Nayoung'!AL135,1,0))</f>
        <v>1</v>
      </c>
      <c r="AK135" s="20">
        <f>IF('1. Yixian'!AM135="","",IF('1. Yixian'!AM135='2. Nayoung'!AM135,1,0))</f>
        <v>1</v>
      </c>
      <c r="AL135" s="20" t="str">
        <f>IF('1. Yixian'!AT135="","",IF('1. Yixian'!AT135='2. Nayoung'!AT135,1,0))</f>
        <v/>
      </c>
      <c r="AM135" s="20" t="str">
        <f>IF('1. Yixian'!AU135="","",IF('1. Yixian'!AU135='2. Nayoung'!AU135,1,0))</f>
        <v/>
      </c>
      <c r="AN135" s="2"/>
    </row>
    <row r="136" spans="1:40" s="20" customFormat="1" ht="17" hidden="1" customHeight="1">
      <c r="A136" s="20" t="str">
        <f>IF('1. Yixian'!A136="","",IF('1. Yixian'!A136='2. Nayoung'!A136,1,0))</f>
        <v/>
      </c>
      <c r="B136" s="20" t="str">
        <f>IF('1. Yixian'!B136="","",IF(RIGHT('1. Yixian'!B136,2)=RIGHT('2. Nayoung'!B136,2),1,0))</f>
        <v/>
      </c>
      <c r="C136" s="20" t="str">
        <f>IF('1. Yixian'!C136="","",IF('1. Yixian'!C136='2. Nayoung'!C136,1,0))</f>
        <v/>
      </c>
      <c r="E136" s="20" t="str">
        <f>IF('1. Yixian'!E136="","",IF('1. Yixian'!E136='2. Nayoung'!E136,1,0))</f>
        <v/>
      </c>
      <c r="F136" s="20" t="str">
        <f>IF('1. Yixian'!F136="","",IF('1. Yixian'!F136='2. Nayoung'!F136,1,0))</f>
        <v/>
      </c>
      <c r="G136" s="20" t="str">
        <f>IF('1. Yixian'!G136="","",IF('1. Yixian'!G136='2. Nayoung'!G136,1,0))</f>
        <v/>
      </c>
      <c r="H136" s="20" t="str">
        <f>IF('1. Yixian'!J136="","",IF(RIGHT('1. Yixian'!J136,3)=RIGHT('2. Nayoung'!J136,3),1,0))</f>
        <v/>
      </c>
      <c r="I136" s="20" t="str">
        <f>IF(H136="","",IF(OR('2. Nayoung'!K136="", '1. Yixian'!K136 = ""),0,1))</f>
        <v/>
      </c>
      <c r="J136" s="20" t="str">
        <f>IF('1. Yixian'!L136="","",IF('1. Yixian'!L136='2. Nayoung'!L136,1,0))</f>
        <v/>
      </c>
      <c r="K136" s="20" t="str">
        <f>IF('1. Yixian'!M136="","",IF('1. Yixian'!M136='2. Nayoung'!M136,1,0))</f>
        <v/>
      </c>
      <c r="L136" s="20" t="str">
        <f>IF('1. Yixian'!N136="","",IF('1. Yixian'!N136='2. Nayoung'!N136,1,0))</f>
        <v/>
      </c>
      <c r="M136" s="20" t="str">
        <f>IF('1. Yixian'!O136="","",IF('1. Yixian'!O136='2. Nayoung'!O136,1,0))</f>
        <v/>
      </c>
      <c r="N136" s="20" t="str">
        <f>IF('1. Yixian'!P136="","",IF('1. Yixian'!P136='2. Nayoung'!P136,1,0))</f>
        <v/>
      </c>
      <c r="O136" s="20" t="str">
        <f>IF('1. Yixian'!Q136="","",IF('1. Yixian'!Q136='2. Nayoung'!Q136,1,0))</f>
        <v/>
      </c>
      <c r="P136" s="20" t="str">
        <f>IF('1. Yixian'!R136="","",IF('1. Yixian'!R136='2. Nayoung'!R136,1,0))</f>
        <v/>
      </c>
      <c r="Q136" s="20" t="str">
        <f>IF('1. Yixian'!S136="","",IF('1. Yixian'!S136='2. Nayoung'!S136,1,0))</f>
        <v/>
      </c>
      <c r="R136" s="20" t="str">
        <f>IF('1. Yixian'!T136="","",IF('1. Yixian'!T136='2. Nayoung'!T136,1,0))</f>
        <v/>
      </c>
      <c r="S136" s="20" t="str">
        <f>IF(R136="","",IF(OR('2. Nayoung'!U136="", '1. Yixian'!U136 = ""),0,1))</f>
        <v/>
      </c>
      <c r="T136" s="20" t="str">
        <f>IF('1. Yixian'!V136="","",IF('1. Yixian'!V136='2. Nayoung'!V136,1,0))</f>
        <v/>
      </c>
      <c r="U136" s="20" t="str">
        <f>IF('1. Yixian'!W136="","",IF('1. Yixian'!W136='2. Nayoung'!W136,1,0))</f>
        <v/>
      </c>
      <c r="V136" s="20" t="str">
        <f>IF('1. Yixian'!X136="","",IF('1. Yixian'!X136='2. Nayoung'!X136,1,0))</f>
        <v/>
      </c>
      <c r="W136" s="20" t="str">
        <f>IF('1. Yixian'!Y136="","",IF('1. Yixian'!Y136='2. Nayoung'!Y136,1,0))</f>
        <v/>
      </c>
      <c r="X136" s="20" t="str">
        <f>IF('1. Yixian'!Z136="","",IF('1. Yixian'!Z136='2. Nayoung'!Z136,1,0))</f>
        <v/>
      </c>
      <c r="Y136" s="20" t="str">
        <f>IF('1. Yixian'!AA136="","",IF('1. Yixian'!AA136='2. Nayoung'!AA136,1,0))</f>
        <v/>
      </c>
      <c r="Z136" s="20" t="str">
        <f>IF('1. Yixian'!AB136="","",IF('1. Yixian'!AB136='2. Nayoung'!AB136,1,0))</f>
        <v/>
      </c>
      <c r="AA136" s="20" t="str">
        <f>IF('1. Yixian'!AC136="","",IF('1. Yixian'!AC136='2. Nayoung'!AC136,1,0))</f>
        <v/>
      </c>
      <c r="AB136" s="20">
        <f>IF(OR('2. Nayoung'!AD135="", '1. Yixian'!AD136 = ""),0,1)</f>
        <v>1</v>
      </c>
      <c r="AC136" s="20">
        <f>IF('1. Yixian'!AE136="","",IF('1. Yixian'!AE136='2. Nayoung'!AE136,1,0))</f>
        <v>1</v>
      </c>
      <c r="AD136" s="20">
        <f>IF(OR('2. Nayoung'!AF136="", '1. Yixian'!AF136 = ""),0,1)</f>
        <v>1</v>
      </c>
      <c r="AF136" s="20">
        <f>IF('1. Yixian'!AH136="","",IF('1. Yixian'!AH136='2. Nayoung'!AH136,1,0))</f>
        <v>1</v>
      </c>
      <c r="AG136" s="20">
        <f>IF('1. Yixian'!AI136="","",IF('1. Yixian'!AI136='2. Nayoung'!AI136,1,0))</f>
        <v>1</v>
      </c>
      <c r="AH136" s="20">
        <f>IF('1. Yixian'!AJ136="","",IF('1. Yixian'!AJ136='2. Nayoung'!AJ136,1,0))</f>
        <v>1</v>
      </c>
      <c r="AI136" s="20">
        <f>IF('1. Yixian'!AK136="","",IF('1. Yixian'!AK136='2. Nayoung'!AK136,1,0))</f>
        <v>1</v>
      </c>
      <c r="AJ136" s="20">
        <f>IF('1. Yixian'!AL136="","",IF('1. Yixian'!AL136='2. Nayoung'!AL136,1,0))</f>
        <v>1</v>
      </c>
      <c r="AK136" s="20">
        <f>IF('1. Yixian'!AM136="","",IF('1. Yixian'!AM136='2. Nayoung'!AM136,1,0))</f>
        <v>1</v>
      </c>
      <c r="AL136" s="20" t="str">
        <f>IF('1. Yixian'!AT136="","",IF('1. Yixian'!AT136='2. Nayoung'!AT136,1,0))</f>
        <v/>
      </c>
      <c r="AM136" s="20" t="str">
        <f>IF('1. Yixian'!AU136="","",IF('1. Yixian'!AU136='2. Nayoung'!AU136,1,0))</f>
        <v/>
      </c>
      <c r="AN136" s="2"/>
    </row>
    <row r="137" spans="1:40" s="20" customFormat="1" ht="17" hidden="1" customHeight="1">
      <c r="A137" s="20" t="str">
        <f>IF('1. Yixian'!A137="","",IF('1. Yixian'!A137='2. Nayoung'!A137,1,0))</f>
        <v/>
      </c>
      <c r="B137" s="20" t="str">
        <f>IF('1. Yixian'!B137="","",IF(RIGHT('1. Yixian'!B137,2)=RIGHT('2. Nayoung'!B137,2),1,0))</f>
        <v/>
      </c>
      <c r="C137" s="20" t="str">
        <f>IF('1. Yixian'!C137="","",IF('1. Yixian'!C137='2. Nayoung'!C137,1,0))</f>
        <v/>
      </c>
      <c r="E137" s="20" t="str">
        <f>IF('1. Yixian'!E137="","",IF('1. Yixian'!E137='2. Nayoung'!E137,1,0))</f>
        <v/>
      </c>
      <c r="F137" s="20" t="str">
        <f>IF('1. Yixian'!F137="","",IF('1. Yixian'!F137='2. Nayoung'!F137,1,0))</f>
        <v/>
      </c>
      <c r="G137" s="20" t="str">
        <f>IF('1. Yixian'!G137="","",IF('1. Yixian'!G137='2. Nayoung'!G137,1,0))</f>
        <v/>
      </c>
      <c r="H137" s="20">
        <f>IF('1. Yixian'!J137="","",IF(RIGHT('1. Yixian'!J137,3)=RIGHT('2. Nayoung'!J137,3),1,0))</f>
        <v>0</v>
      </c>
      <c r="I137" s="20">
        <f>IF(H137="","",IF(OR('2. Nayoung'!K137="", '1. Yixian'!K137 = ""),0,1))</f>
        <v>1</v>
      </c>
      <c r="J137" s="20">
        <f>IF('1. Yixian'!L137="","",IF('1. Yixian'!L137='2. Nayoung'!L137,1,0))</f>
        <v>1</v>
      </c>
      <c r="K137" s="20">
        <f>IF('1. Yixian'!M137="","",IF('1. Yixian'!M137='2. Nayoung'!M137,1,0))</f>
        <v>1</v>
      </c>
      <c r="L137" s="20">
        <f>IF('1. Yixian'!N137="","",IF('1. Yixian'!N137='2. Nayoung'!N137,1,0))</f>
        <v>1</v>
      </c>
      <c r="M137" s="20">
        <f>IF('1. Yixian'!O137="","",IF('1. Yixian'!O137='2. Nayoung'!O137,1,0))</f>
        <v>1</v>
      </c>
      <c r="N137" s="20">
        <f>IF('1. Yixian'!P137="","",IF('1. Yixian'!P137='2. Nayoung'!P137,1,0))</f>
        <v>1</v>
      </c>
      <c r="O137" s="20">
        <f>IF('1. Yixian'!Q137="","",IF('1. Yixian'!Q137='2. Nayoung'!Q137,1,0))</f>
        <v>1</v>
      </c>
      <c r="P137" s="20">
        <f>IF('1. Yixian'!R137="","",IF('1. Yixian'!R137='2. Nayoung'!R137,1,0))</f>
        <v>1</v>
      </c>
      <c r="Q137" s="20">
        <f>IF('1. Yixian'!S137="","",IF('1. Yixian'!S137='2. Nayoung'!S137,1,0))</f>
        <v>1</v>
      </c>
      <c r="R137" s="20">
        <f>IF('1. Yixian'!T137="","",IF('1. Yixian'!T137='2. Nayoung'!T137,1,0))</f>
        <v>1</v>
      </c>
      <c r="S137" s="20">
        <f>IF(R137="","",IF(OR('2. Nayoung'!U137="", '1. Yixian'!U137 = ""),0,1))</f>
        <v>1</v>
      </c>
      <c r="T137" s="20">
        <f>IF('1. Yixian'!V137="","",IF('1. Yixian'!V137='2. Nayoung'!V137,1,0))</f>
        <v>1</v>
      </c>
      <c r="U137" s="20">
        <f>IF('1. Yixian'!W137="","",IF('1. Yixian'!W137='2. Nayoung'!W137,1,0))</f>
        <v>1</v>
      </c>
      <c r="V137" s="20">
        <f>IF('1. Yixian'!X137="","",IF('1. Yixian'!X137='2. Nayoung'!X137,1,0))</f>
        <v>1</v>
      </c>
      <c r="W137" s="20">
        <f>IF('1. Yixian'!Y137="","",IF('1. Yixian'!Y137='2. Nayoung'!Y137,1,0))</f>
        <v>1</v>
      </c>
      <c r="X137" s="20">
        <f>IF('1. Yixian'!Z137="","",IF('1. Yixian'!Z137='2. Nayoung'!Z137,1,0))</f>
        <v>1</v>
      </c>
      <c r="Y137" s="20">
        <f>IF('1. Yixian'!AA137="","",IF('1. Yixian'!AA137='2. Nayoung'!AA137,1,0))</f>
        <v>1</v>
      </c>
      <c r="Z137" s="20">
        <f>IF('1. Yixian'!AB137="","",IF('1. Yixian'!AB137='2. Nayoung'!AB137,1,0))</f>
        <v>1</v>
      </c>
      <c r="AA137" s="20">
        <f>IF('1. Yixian'!AC137="","",IF('1. Yixian'!AC137='2. Nayoung'!AC137,1,0))</f>
        <v>1</v>
      </c>
      <c r="AB137" s="20">
        <f>IF(OR('2. Nayoung'!AD136="", '1. Yixian'!AD137 = ""),0,1)</f>
        <v>1</v>
      </c>
      <c r="AC137" s="20">
        <f>IF('1. Yixian'!AE137="","",IF('1. Yixian'!AE137='2. Nayoung'!AE137,1,0))</f>
        <v>1</v>
      </c>
      <c r="AD137" s="20">
        <f>IF(OR('2. Nayoung'!AF137="", '1. Yixian'!AF137 = ""),0,1)</f>
        <v>1</v>
      </c>
      <c r="AF137" s="20">
        <f>IF('1. Yixian'!AH137="","",IF('1. Yixian'!AH137='2. Nayoung'!AH137,1,0))</f>
        <v>1</v>
      </c>
      <c r="AG137" s="20">
        <f>IF('1. Yixian'!AI137="","",IF('1. Yixian'!AI137='2. Nayoung'!AI137,1,0))</f>
        <v>1</v>
      </c>
      <c r="AH137" s="20">
        <f>IF('1. Yixian'!AJ137="","",IF('1. Yixian'!AJ137='2. Nayoung'!AJ137,1,0))</f>
        <v>1</v>
      </c>
      <c r="AI137" s="20">
        <f>IF('1. Yixian'!AK137="","",IF('1. Yixian'!AK137='2. Nayoung'!AK137,1,0))</f>
        <v>1</v>
      </c>
      <c r="AJ137" s="20">
        <f>IF('1. Yixian'!AL137="","",IF('1. Yixian'!AL137='2. Nayoung'!AL137,1,0))</f>
        <v>1</v>
      </c>
      <c r="AK137" s="20">
        <f>IF('1. Yixian'!AM137="","",IF('1. Yixian'!AM137='2. Nayoung'!AM137,1,0))</f>
        <v>1</v>
      </c>
      <c r="AL137" s="20" t="str">
        <f>IF('1. Yixian'!AT137="","",IF('1. Yixian'!AT137='2. Nayoung'!AT137,1,0))</f>
        <v/>
      </c>
      <c r="AM137" s="20" t="str">
        <f>IF('1. Yixian'!AU137="","",IF('1. Yixian'!AU137='2. Nayoung'!AU137,1,0))</f>
        <v/>
      </c>
      <c r="AN137" s="2"/>
    </row>
    <row r="138" spans="1:40" s="20" customFormat="1" ht="17" hidden="1" customHeight="1">
      <c r="A138" s="20" t="str">
        <f>IF('1. Yixian'!A138="","",IF('1. Yixian'!A138='2. Nayoung'!A138,1,0))</f>
        <v/>
      </c>
      <c r="B138" s="20" t="str">
        <f>IF('1. Yixian'!B138="","",IF(RIGHT('1. Yixian'!B138,2)=RIGHT('2. Nayoung'!B138,2),1,0))</f>
        <v/>
      </c>
      <c r="C138" s="20" t="str">
        <f>IF('1. Yixian'!C138="","",IF('1. Yixian'!C138='2. Nayoung'!C138,1,0))</f>
        <v/>
      </c>
      <c r="E138" s="20" t="str">
        <f>IF('1. Yixian'!E138="","",IF('1. Yixian'!E138='2. Nayoung'!E138,1,0))</f>
        <v/>
      </c>
      <c r="F138" s="20" t="str">
        <f>IF('1. Yixian'!F138="","",IF('1. Yixian'!F138='2. Nayoung'!F138,1,0))</f>
        <v/>
      </c>
      <c r="G138" s="20" t="str">
        <f>IF('1. Yixian'!G138="","",IF('1. Yixian'!G138='2. Nayoung'!G138,1,0))</f>
        <v/>
      </c>
      <c r="H138" s="20" t="str">
        <f>IF('1. Yixian'!J138="","",IF(RIGHT('1. Yixian'!J138,3)=RIGHT('2. Nayoung'!J138,3),1,0))</f>
        <v/>
      </c>
      <c r="I138" s="20" t="str">
        <f>IF(H138="","",IF(OR('2. Nayoung'!K138="", '1. Yixian'!K138 = ""),0,1))</f>
        <v/>
      </c>
      <c r="J138" s="20" t="str">
        <f>IF('1. Yixian'!L138="","",IF('1. Yixian'!L138='2. Nayoung'!L138,1,0))</f>
        <v/>
      </c>
      <c r="K138" s="20" t="str">
        <f>IF('1. Yixian'!M138="","",IF('1. Yixian'!M138='2. Nayoung'!M138,1,0))</f>
        <v/>
      </c>
      <c r="L138" s="20" t="str">
        <f>IF('1. Yixian'!N138="","",IF('1. Yixian'!N138='2. Nayoung'!N138,1,0))</f>
        <v/>
      </c>
      <c r="M138" s="20" t="str">
        <f>IF('1. Yixian'!O138="","",IF('1. Yixian'!O138='2. Nayoung'!O138,1,0))</f>
        <v/>
      </c>
      <c r="N138" s="20" t="str">
        <f>IF('1. Yixian'!P138="","",IF('1. Yixian'!P138='2. Nayoung'!P138,1,0))</f>
        <v/>
      </c>
      <c r="O138" s="20" t="str">
        <f>IF('1. Yixian'!Q138="","",IF('1. Yixian'!Q138='2. Nayoung'!Q138,1,0))</f>
        <v/>
      </c>
      <c r="P138" s="20" t="str">
        <f>IF('1. Yixian'!R138="","",IF('1. Yixian'!R138='2. Nayoung'!R138,1,0))</f>
        <v/>
      </c>
      <c r="Q138" s="20" t="str">
        <f>IF('1. Yixian'!S138="","",IF('1. Yixian'!S138='2. Nayoung'!S138,1,0))</f>
        <v/>
      </c>
      <c r="R138" s="20" t="str">
        <f>IF('1. Yixian'!T138="","",IF('1. Yixian'!T138='2. Nayoung'!T138,1,0))</f>
        <v/>
      </c>
      <c r="S138" s="20" t="str">
        <f>IF(R138="","",IF(OR('2. Nayoung'!U138="", '1. Yixian'!U138 = ""),0,1))</f>
        <v/>
      </c>
      <c r="T138" s="20" t="str">
        <f>IF('1. Yixian'!V138="","",IF('1. Yixian'!V138='2. Nayoung'!V138,1,0))</f>
        <v/>
      </c>
      <c r="U138" s="20" t="str">
        <f>IF('1. Yixian'!W138="","",IF('1. Yixian'!W138='2. Nayoung'!W138,1,0))</f>
        <v/>
      </c>
      <c r="V138" s="20" t="str">
        <f>IF('1. Yixian'!X138="","",IF('1. Yixian'!X138='2. Nayoung'!X138,1,0))</f>
        <v/>
      </c>
      <c r="W138" s="20" t="str">
        <f>IF('1. Yixian'!Y138="","",IF('1. Yixian'!Y138='2. Nayoung'!Y138,1,0))</f>
        <v/>
      </c>
      <c r="X138" s="20" t="str">
        <f>IF('1. Yixian'!Z138="","",IF('1. Yixian'!Z138='2. Nayoung'!Z138,1,0))</f>
        <v/>
      </c>
      <c r="Y138" s="20" t="str">
        <f>IF('1. Yixian'!AA138="","",IF('1. Yixian'!AA138='2. Nayoung'!AA138,1,0))</f>
        <v/>
      </c>
      <c r="Z138" s="20" t="str">
        <f>IF('1. Yixian'!AB138="","",IF('1. Yixian'!AB138='2. Nayoung'!AB138,1,0))</f>
        <v/>
      </c>
      <c r="AA138" s="20" t="str">
        <f>IF('1. Yixian'!AC138="","",IF('1. Yixian'!AC138='2. Nayoung'!AC138,1,0))</f>
        <v/>
      </c>
      <c r="AB138" s="20">
        <f>IF(OR('2. Nayoung'!AD137="", '1. Yixian'!AD138 = ""),0,1)</f>
        <v>1</v>
      </c>
      <c r="AC138" s="20">
        <f>IF('1. Yixian'!AE138="","",IF('1. Yixian'!AE138='2. Nayoung'!AE138,1,0))</f>
        <v>1</v>
      </c>
      <c r="AD138" s="20">
        <f>IF(OR('2. Nayoung'!AF138="", '1. Yixian'!AF138 = ""),0,1)</f>
        <v>1</v>
      </c>
      <c r="AF138" s="20">
        <f>IF('1. Yixian'!AH138="","",IF('1. Yixian'!AH138='2. Nayoung'!AH138,1,0))</f>
        <v>1</v>
      </c>
      <c r="AG138" s="20">
        <f>IF('1. Yixian'!AI138="","",IF('1. Yixian'!AI138='2. Nayoung'!AI138,1,0))</f>
        <v>1</v>
      </c>
      <c r="AH138" s="20">
        <f>IF('1. Yixian'!AJ138="","",IF('1. Yixian'!AJ138='2. Nayoung'!AJ138,1,0))</f>
        <v>1</v>
      </c>
      <c r="AI138" s="20">
        <f>IF('1. Yixian'!AK138="","",IF('1. Yixian'!AK138='2. Nayoung'!AK138,1,0))</f>
        <v>1</v>
      </c>
      <c r="AJ138" s="20">
        <f>IF('1. Yixian'!AL138="","",IF('1. Yixian'!AL138='2. Nayoung'!AL138,1,0))</f>
        <v>1</v>
      </c>
      <c r="AK138" s="20">
        <f>IF('1. Yixian'!AM138="","",IF('1. Yixian'!AM138='2. Nayoung'!AM138,1,0))</f>
        <v>1</v>
      </c>
      <c r="AL138" s="20" t="str">
        <f>IF('1. Yixian'!AT138="","",IF('1. Yixian'!AT138='2. Nayoung'!AT138,1,0))</f>
        <v/>
      </c>
      <c r="AM138" s="20" t="str">
        <f>IF('1. Yixian'!AU138="","",IF('1. Yixian'!AU138='2. Nayoung'!AU138,1,0))</f>
        <v/>
      </c>
      <c r="AN138" s="2"/>
    </row>
    <row r="139" spans="1:40" s="20" customFormat="1" ht="17" hidden="1" customHeight="1">
      <c r="A139" s="20">
        <f>IF('1. Yixian'!A139="","",IF('1. Yixian'!A139='2. Nayoung'!A139,1,0))</f>
        <v>0</v>
      </c>
      <c r="B139" s="20">
        <f>IF('1. Yixian'!B139="","",IF(RIGHT('1. Yixian'!B139,2)=RIGHT('2. Nayoung'!B139,2),1,0))</f>
        <v>0</v>
      </c>
      <c r="C139" s="20">
        <f>IF('1. Yixian'!C139="","",IF('1. Yixian'!C139='2. Nayoung'!C139,1,0))</f>
        <v>0</v>
      </c>
      <c r="E139" s="20">
        <f>IF('1. Yixian'!E139="","",IF('1. Yixian'!E139='2. Nayoung'!E139,1,0))</f>
        <v>0</v>
      </c>
      <c r="F139" s="20">
        <f>IF('1. Yixian'!F139="","",IF('1. Yixian'!F139='2. Nayoung'!F139,1,0))</f>
        <v>0</v>
      </c>
      <c r="G139" s="20">
        <f>IF('1. Yixian'!G139="","",IF('1. Yixian'!G139='2. Nayoung'!G139,1,0))</f>
        <v>0</v>
      </c>
      <c r="H139" s="20">
        <f>IF('1. Yixian'!J139="","",IF(RIGHT('1. Yixian'!J139,3)=RIGHT('2. Nayoung'!J139,3),1,0))</f>
        <v>0</v>
      </c>
      <c r="I139" s="20">
        <f>IF(H139="","",IF(OR('2. Nayoung'!K139="", '1. Yixian'!K139 = ""),0,1))</f>
        <v>1</v>
      </c>
      <c r="J139" s="20">
        <f>IF('1. Yixian'!L139="","",IF('1. Yixian'!L139='2. Nayoung'!L139,1,0))</f>
        <v>1</v>
      </c>
      <c r="K139" s="20">
        <f>IF('1. Yixian'!M139="","",IF('1. Yixian'!M139='2. Nayoung'!M139,1,0))</f>
        <v>1</v>
      </c>
      <c r="L139" s="20">
        <f>IF('1. Yixian'!N139="","",IF('1. Yixian'!N139='2. Nayoung'!N139,1,0))</f>
        <v>1</v>
      </c>
      <c r="M139" s="20">
        <f>IF('1. Yixian'!O139="","",IF('1. Yixian'!O139='2. Nayoung'!O139,1,0))</f>
        <v>1</v>
      </c>
      <c r="N139" s="20">
        <f>IF('1. Yixian'!P139="","",IF('1. Yixian'!P139='2. Nayoung'!P139,1,0))</f>
        <v>1</v>
      </c>
      <c r="O139" s="20">
        <f>IF('1. Yixian'!Q139="","",IF('1. Yixian'!Q139='2. Nayoung'!Q139,1,0))</f>
        <v>1</v>
      </c>
      <c r="P139" s="20">
        <f>IF('1. Yixian'!R139="","",IF('1. Yixian'!R139='2. Nayoung'!R139,1,0))</f>
        <v>1</v>
      </c>
      <c r="Q139" s="20">
        <f>IF('1. Yixian'!S139="","",IF('1. Yixian'!S139='2. Nayoung'!S139,1,0))</f>
        <v>1</v>
      </c>
      <c r="R139" s="20">
        <f>IF('1. Yixian'!T139="","",IF('1. Yixian'!T139='2. Nayoung'!T139,1,0))</f>
        <v>1</v>
      </c>
      <c r="S139" s="20">
        <f>IF(R139="","",IF(OR('2. Nayoung'!U139="", '1. Yixian'!U139 = ""),0,1))</f>
        <v>1</v>
      </c>
      <c r="T139" s="20">
        <f>IF('1. Yixian'!V139="","",IF('1. Yixian'!V139='2. Nayoung'!V139,1,0))</f>
        <v>1</v>
      </c>
      <c r="U139" s="20">
        <f>IF('1. Yixian'!W139="","",IF('1. Yixian'!W139='2. Nayoung'!W139,1,0))</f>
        <v>1</v>
      </c>
      <c r="V139" s="20">
        <f>IF('1. Yixian'!X139="","",IF('1. Yixian'!X139='2. Nayoung'!X139,1,0))</f>
        <v>1</v>
      </c>
      <c r="W139" s="20">
        <f>IF('1. Yixian'!Y139="","",IF('1. Yixian'!Y139='2. Nayoung'!Y139,1,0))</f>
        <v>1</v>
      </c>
      <c r="X139" s="20">
        <f>IF('1. Yixian'!Z139="","",IF('1. Yixian'!Z139='2. Nayoung'!Z139,1,0))</f>
        <v>1</v>
      </c>
      <c r="Y139" s="20">
        <f>IF('1. Yixian'!AA139="","",IF('1. Yixian'!AA139='2. Nayoung'!AA139,1,0))</f>
        <v>1</v>
      </c>
      <c r="Z139" s="20">
        <f>IF('1. Yixian'!AB139="","",IF('1. Yixian'!AB139='2. Nayoung'!AB139,1,0))</f>
        <v>1</v>
      </c>
      <c r="AA139" s="20">
        <f>IF('1. Yixian'!AC139="","",IF('1. Yixian'!AC139='2. Nayoung'!AC139,1,0))</f>
        <v>1</v>
      </c>
      <c r="AB139" s="20">
        <f>IF(OR('2. Nayoung'!AD138="", '1. Yixian'!AD139 = ""),0,1)</f>
        <v>1</v>
      </c>
      <c r="AC139" s="20">
        <f>IF('1. Yixian'!AE139="","",IF('1. Yixian'!AE139='2. Nayoung'!AE139,1,0))</f>
        <v>1</v>
      </c>
      <c r="AD139" s="20">
        <f>IF(OR('2. Nayoung'!AF139="", '1. Yixian'!AF139 = ""),0,1)</f>
        <v>1</v>
      </c>
      <c r="AF139" s="20">
        <f>IF('1. Yixian'!AH139="","",IF('1. Yixian'!AH139='2. Nayoung'!AH139,1,0))</f>
        <v>1</v>
      </c>
      <c r="AG139" s="20">
        <f>IF('1. Yixian'!AI139="","",IF('1. Yixian'!AI139='2. Nayoung'!AI139,1,0))</f>
        <v>1</v>
      </c>
      <c r="AH139" s="20">
        <f>IF('1. Yixian'!AJ139="","",IF('1. Yixian'!AJ139='2. Nayoung'!AJ139,1,0))</f>
        <v>1</v>
      </c>
      <c r="AI139" s="20">
        <f>IF('1. Yixian'!AK139="","",IF('1. Yixian'!AK139='2. Nayoung'!AK139,1,0))</f>
        <v>1</v>
      </c>
      <c r="AJ139" s="20">
        <f>IF('1. Yixian'!AL139="","",IF('1. Yixian'!AL139='2. Nayoung'!AL139,1,0))</f>
        <v>1</v>
      </c>
      <c r="AK139" s="20">
        <f>IF('1. Yixian'!AM139="","",IF('1. Yixian'!AM139='2. Nayoung'!AM139,1,0))</f>
        <v>1</v>
      </c>
      <c r="AL139" s="20" t="str">
        <f>IF('1. Yixian'!AT139="","",IF('1. Yixian'!AT139='2. Nayoung'!AT139,1,0))</f>
        <v/>
      </c>
      <c r="AM139" s="20" t="str">
        <f>IF('1. Yixian'!AU139="","",IF('1. Yixian'!AU139='2. Nayoung'!AU139,1,0))</f>
        <v/>
      </c>
      <c r="AN139" s="2"/>
    </row>
    <row r="140" spans="1:40" s="20" customFormat="1" ht="17" hidden="1" customHeight="1">
      <c r="A140" s="20" t="str">
        <f>IF('1. Yixian'!A140="","",IF('1. Yixian'!A140='2. Nayoung'!A140,1,0))</f>
        <v/>
      </c>
      <c r="B140" s="20" t="str">
        <f>IF('1. Yixian'!B140="","",IF(RIGHT('1. Yixian'!B140,2)=RIGHT('2. Nayoung'!B140,2),1,0))</f>
        <v/>
      </c>
      <c r="C140" s="20" t="str">
        <f>IF('1. Yixian'!C140="","",IF('1. Yixian'!C140='2. Nayoung'!C140,1,0))</f>
        <v/>
      </c>
      <c r="E140" s="20" t="str">
        <f>IF('1. Yixian'!E140="","",IF('1. Yixian'!E140='2. Nayoung'!E140,1,0))</f>
        <v/>
      </c>
      <c r="F140" s="20" t="str">
        <f>IF('1. Yixian'!F140="","",IF('1. Yixian'!F140='2. Nayoung'!F140,1,0))</f>
        <v/>
      </c>
      <c r="G140" s="20" t="str">
        <f>IF('1. Yixian'!G140="","",IF('1. Yixian'!G140='2. Nayoung'!G140,1,0))</f>
        <v/>
      </c>
      <c r="H140" s="20" t="str">
        <f>IF('1. Yixian'!J140="","",IF(RIGHT('1. Yixian'!J140,3)=RIGHT('2. Nayoung'!J140,3),1,0))</f>
        <v/>
      </c>
      <c r="I140" s="20" t="str">
        <f>IF(H140="","",IF(OR('2. Nayoung'!K140="", '1. Yixian'!K140 = ""),0,1))</f>
        <v/>
      </c>
      <c r="J140" s="20" t="str">
        <f>IF('1. Yixian'!L140="","",IF('1. Yixian'!L140='2. Nayoung'!L140,1,0))</f>
        <v/>
      </c>
      <c r="K140" s="20" t="str">
        <f>IF('1. Yixian'!M140="","",IF('1. Yixian'!M140='2. Nayoung'!M140,1,0))</f>
        <v/>
      </c>
      <c r="L140" s="20" t="str">
        <f>IF('1. Yixian'!N140="","",IF('1. Yixian'!N140='2. Nayoung'!N140,1,0))</f>
        <v/>
      </c>
      <c r="M140" s="20" t="str">
        <f>IF('1. Yixian'!O140="","",IF('1. Yixian'!O140='2. Nayoung'!O140,1,0))</f>
        <v/>
      </c>
      <c r="N140" s="20" t="str">
        <f>IF('1. Yixian'!P140="","",IF('1. Yixian'!P140='2. Nayoung'!P140,1,0))</f>
        <v/>
      </c>
      <c r="O140" s="20" t="str">
        <f>IF('1. Yixian'!Q140="","",IF('1. Yixian'!Q140='2. Nayoung'!Q140,1,0))</f>
        <v/>
      </c>
      <c r="P140" s="20" t="str">
        <f>IF('1. Yixian'!R140="","",IF('1. Yixian'!R140='2. Nayoung'!R140,1,0))</f>
        <v/>
      </c>
      <c r="Q140" s="20" t="str">
        <f>IF('1. Yixian'!S140="","",IF('1. Yixian'!S140='2. Nayoung'!S140,1,0))</f>
        <v/>
      </c>
      <c r="R140" s="20" t="str">
        <f>IF('1. Yixian'!T140="","",IF('1. Yixian'!T140='2. Nayoung'!T140,1,0))</f>
        <v/>
      </c>
      <c r="S140" s="20" t="str">
        <f>IF(R140="","",IF(OR('2. Nayoung'!U140="", '1. Yixian'!U140 = ""),0,1))</f>
        <v/>
      </c>
      <c r="T140" s="20" t="str">
        <f>IF('1. Yixian'!V140="","",IF('1. Yixian'!V140='2. Nayoung'!V140,1,0))</f>
        <v/>
      </c>
      <c r="U140" s="20" t="str">
        <f>IF('1. Yixian'!W140="","",IF('1. Yixian'!W140='2. Nayoung'!W140,1,0))</f>
        <v/>
      </c>
      <c r="V140" s="20" t="str">
        <f>IF('1. Yixian'!X140="","",IF('1. Yixian'!X140='2. Nayoung'!X140,1,0))</f>
        <v/>
      </c>
      <c r="W140" s="20" t="str">
        <f>IF('1. Yixian'!Y140="","",IF('1. Yixian'!Y140='2. Nayoung'!Y140,1,0))</f>
        <v/>
      </c>
      <c r="X140" s="20" t="str">
        <f>IF('1. Yixian'!Z140="","",IF('1. Yixian'!Z140='2. Nayoung'!Z140,1,0))</f>
        <v/>
      </c>
      <c r="Y140" s="20" t="str">
        <f>IF('1. Yixian'!AA140="","",IF('1. Yixian'!AA140='2. Nayoung'!AA140,1,0))</f>
        <v/>
      </c>
      <c r="Z140" s="20" t="str">
        <f>IF('1. Yixian'!AB140="","",IF('1. Yixian'!AB140='2. Nayoung'!AB140,1,0))</f>
        <v/>
      </c>
      <c r="AA140" s="20" t="str">
        <f>IF('1. Yixian'!AC140="","",IF('1. Yixian'!AC140='2. Nayoung'!AC140,1,0))</f>
        <v/>
      </c>
      <c r="AB140" s="20">
        <f>IF(OR('2. Nayoung'!AD139="", '1. Yixian'!AD140 = ""),0,1)</f>
        <v>1</v>
      </c>
      <c r="AC140" s="20">
        <f>IF('1. Yixian'!AE140="","",IF('1. Yixian'!AE140='2. Nayoung'!AE140,1,0))</f>
        <v>1</v>
      </c>
      <c r="AD140" s="20">
        <f>IF(OR('2. Nayoung'!AF140="", '1. Yixian'!AF140 = ""),0,1)</f>
        <v>1</v>
      </c>
      <c r="AF140" s="20">
        <f>IF('1. Yixian'!AH140="","",IF('1. Yixian'!AH140='2. Nayoung'!AH140,1,0))</f>
        <v>1</v>
      </c>
      <c r="AG140" s="20">
        <f>IF('1. Yixian'!AI140="","",IF('1. Yixian'!AI140='2. Nayoung'!AI140,1,0))</f>
        <v>1</v>
      </c>
      <c r="AH140" s="20">
        <f>IF('1. Yixian'!AJ140="","",IF('1. Yixian'!AJ140='2. Nayoung'!AJ140,1,0))</f>
        <v>1</v>
      </c>
      <c r="AI140" s="20">
        <f>IF('1. Yixian'!AK140="","",IF('1. Yixian'!AK140='2. Nayoung'!AK140,1,0))</f>
        <v>1</v>
      </c>
      <c r="AJ140" s="20">
        <f>IF('1. Yixian'!AL140="","",IF('1. Yixian'!AL140='2. Nayoung'!AL140,1,0))</f>
        <v>1</v>
      </c>
      <c r="AK140" s="20">
        <f>IF('1. Yixian'!AM140="","",IF('1. Yixian'!AM140='2. Nayoung'!AM140,1,0))</f>
        <v>1</v>
      </c>
      <c r="AL140" s="20" t="str">
        <f>IF('1. Yixian'!AT140="","",IF('1. Yixian'!AT140='2. Nayoung'!AT140,1,0))</f>
        <v/>
      </c>
      <c r="AM140" s="20" t="str">
        <f>IF('1. Yixian'!AU140="","",IF('1. Yixian'!AU140='2. Nayoung'!AU140,1,0))</f>
        <v/>
      </c>
      <c r="AN140" s="2"/>
    </row>
    <row r="141" spans="1:40" s="20" customFormat="1" ht="17" hidden="1" customHeight="1">
      <c r="A141" s="20" t="str">
        <f>IF('1. Yixian'!A141="","",IF('1. Yixian'!A141='2. Nayoung'!A141,1,0))</f>
        <v/>
      </c>
      <c r="B141" s="20" t="str">
        <f>IF('1. Yixian'!B141="","",IF(RIGHT('1. Yixian'!B141,2)=RIGHT('2. Nayoung'!B141,2),1,0))</f>
        <v/>
      </c>
      <c r="C141" s="20" t="str">
        <f>IF('1. Yixian'!C141="","",IF('1. Yixian'!C141='2. Nayoung'!C141,1,0))</f>
        <v/>
      </c>
      <c r="E141" s="20" t="str">
        <f>IF('1. Yixian'!E141="","",IF('1. Yixian'!E141='2. Nayoung'!E141,1,0))</f>
        <v/>
      </c>
      <c r="F141" s="20" t="str">
        <f>IF('1. Yixian'!F141="","",IF('1. Yixian'!F141='2. Nayoung'!F141,1,0))</f>
        <v/>
      </c>
      <c r="G141" s="20" t="str">
        <f>IF('1. Yixian'!G141="","",IF('1. Yixian'!G141='2. Nayoung'!G141,1,0))</f>
        <v/>
      </c>
      <c r="H141" s="20">
        <f>IF('1. Yixian'!J141="","",IF(RIGHT('1. Yixian'!J141,3)=RIGHT('2. Nayoung'!J141,3),1,0))</f>
        <v>0</v>
      </c>
      <c r="I141" s="20">
        <f>IF(H141="","",IF(OR('2. Nayoung'!K141="", '1. Yixian'!K141 = ""),0,1))</f>
        <v>1</v>
      </c>
      <c r="J141" s="20">
        <f>IF('1. Yixian'!L141="","",IF('1. Yixian'!L141='2. Nayoung'!L141,1,0))</f>
        <v>1</v>
      </c>
      <c r="K141" s="20">
        <f>IF('1. Yixian'!M141="","",IF('1. Yixian'!M141='2. Nayoung'!M141,1,0))</f>
        <v>1</v>
      </c>
      <c r="L141" s="20">
        <f>IF('1. Yixian'!N141="","",IF('1. Yixian'!N141='2. Nayoung'!N141,1,0))</f>
        <v>1</v>
      </c>
      <c r="M141" s="20">
        <f>IF('1. Yixian'!O141="","",IF('1. Yixian'!O141='2. Nayoung'!O141,1,0))</f>
        <v>1</v>
      </c>
      <c r="N141" s="20">
        <f>IF('1. Yixian'!P141="","",IF('1. Yixian'!P141='2. Nayoung'!P141,1,0))</f>
        <v>1</v>
      </c>
      <c r="O141" s="20">
        <f>IF('1. Yixian'!Q141="","",IF('1. Yixian'!Q141='2. Nayoung'!Q141,1,0))</f>
        <v>1</v>
      </c>
      <c r="P141" s="20">
        <f>IF('1. Yixian'!R141="","",IF('1. Yixian'!R141='2. Nayoung'!R141,1,0))</f>
        <v>1</v>
      </c>
      <c r="Q141" s="20">
        <f>IF('1. Yixian'!S141="","",IF('1. Yixian'!S141='2. Nayoung'!S141,1,0))</f>
        <v>1</v>
      </c>
      <c r="R141" s="20">
        <f>IF('1. Yixian'!T141="","",IF('1. Yixian'!T141='2. Nayoung'!T141,1,0))</f>
        <v>1</v>
      </c>
      <c r="S141" s="20">
        <f>IF(R141="","",IF(OR('2. Nayoung'!U141="", '1. Yixian'!U141 = ""),0,1))</f>
        <v>1</v>
      </c>
      <c r="T141" s="20">
        <f>IF('1. Yixian'!V141="","",IF('1. Yixian'!V141='2. Nayoung'!V141,1,0))</f>
        <v>1</v>
      </c>
      <c r="U141" s="20">
        <f>IF('1. Yixian'!W141="","",IF('1. Yixian'!W141='2. Nayoung'!W141,1,0))</f>
        <v>1</v>
      </c>
      <c r="V141" s="20">
        <f>IF('1. Yixian'!X141="","",IF('1. Yixian'!X141='2. Nayoung'!X141,1,0))</f>
        <v>1</v>
      </c>
      <c r="W141" s="20">
        <f>IF('1. Yixian'!Y141="","",IF('1. Yixian'!Y141='2. Nayoung'!Y141,1,0))</f>
        <v>1</v>
      </c>
      <c r="X141" s="20">
        <f>IF('1. Yixian'!Z141="","",IF('1. Yixian'!Z141='2. Nayoung'!Z141,1,0))</f>
        <v>1</v>
      </c>
      <c r="Y141" s="20">
        <f>IF('1. Yixian'!AA141="","",IF('1. Yixian'!AA141='2. Nayoung'!AA141,1,0))</f>
        <v>1</v>
      </c>
      <c r="Z141" s="20">
        <f>IF('1. Yixian'!AB141="","",IF('1. Yixian'!AB141='2. Nayoung'!AB141,1,0))</f>
        <v>1</v>
      </c>
      <c r="AA141" s="20">
        <f>IF('1. Yixian'!AC141="","",IF('1. Yixian'!AC141='2. Nayoung'!AC141,1,0))</f>
        <v>1</v>
      </c>
      <c r="AB141" s="20">
        <f>IF(OR('2. Nayoung'!AD140="", '1. Yixian'!AD141 = ""),0,1)</f>
        <v>1</v>
      </c>
      <c r="AC141" s="20">
        <f>IF('1. Yixian'!AE141="","",IF('1. Yixian'!AE141='2. Nayoung'!AE141,1,0))</f>
        <v>1</v>
      </c>
      <c r="AD141" s="20">
        <f>IF(OR('2. Nayoung'!AF141="", '1. Yixian'!AF141 = ""),0,1)</f>
        <v>1</v>
      </c>
      <c r="AF141" s="20">
        <f>IF('1. Yixian'!AH141="","",IF('1. Yixian'!AH141='2. Nayoung'!AH141,1,0))</f>
        <v>1</v>
      </c>
      <c r="AG141" s="20">
        <f>IF('1. Yixian'!AI141="","",IF('1. Yixian'!AI141='2. Nayoung'!AI141,1,0))</f>
        <v>1</v>
      </c>
      <c r="AH141" s="20">
        <f>IF('1. Yixian'!AJ141="","",IF('1. Yixian'!AJ141='2. Nayoung'!AJ141,1,0))</f>
        <v>1</v>
      </c>
      <c r="AI141" s="20">
        <f>IF('1. Yixian'!AK141="","",IF('1. Yixian'!AK141='2. Nayoung'!AK141,1,0))</f>
        <v>1</v>
      </c>
      <c r="AJ141" s="20">
        <f>IF('1. Yixian'!AL141="","",IF('1. Yixian'!AL141='2. Nayoung'!AL141,1,0))</f>
        <v>1</v>
      </c>
      <c r="AK141" s="20">
        <f>IF('1. Yixian'!AM141="","",IF('1. Yixian'!AM141='2. Nayoung'!AM141,1,0))</f>
        <v>1</v>
      </c>
      <c r="AL141" s="20" t="str">
        <f>IF('1. Yixian'!AT141="","",IF('1. Yixian'!AT141='2. Nayoung'!AT141,1,0))</f>
        <v/>
      </c>
      <c r="AM141" s="20" t="str">
        <f>IF('1. Yixian'!AU141="","",IF('1. Yixian'!AU141='2. Nayoung'!AU141,1,0))</f>
        <v/>
      </c>
      <c r="AN141" s="2"/>
    </row>
    <row r="142" spans="1:40" s="20" customFormat="1" ht="17" hidden="1" customHeight="1">
      <c r="A142" s="20" t="str">
        <f>IF('1. Yixian'!A142="","",IF('1. Yixian'!A142='2. Nayoung'!A142,1,0))</f>
        <v/>
      </c>
      <c r="B142" s="20" t="str">
        <f>IF('1. Yixian'!B142="","",IF(RIGHT('1. Yixian'!B142,2)=RIGHT('2. Nayoung'!B142,2),1,0))</f>
        <v/>
      </c>
      <c r="C142" s="20" t="str">
        <f>IF('1. Yixian'!C142="","",IF('1. Yixian'!C142='2. Nayoung'!C142,1,0))</f>
        <v/>
      </c>
      <c r="E142" s="20" t="str">
        <f>IF('1. Yixian'!E142="","",IF('1. Yixian'!E142='2. Nayoung'!E142,1,0))</f>
        <v/>
      </c>
      <c r="F142" s="20" t="str">
        <f>IF('1. Yixian'!F142="","",IF('1. Yixian'!F142='2. Nayoung'!F142,1,0))</f>
        <v/>
      </c>
      <c r="G142" s="20" t="str">
        <f>IF('1. Yixian'!G142="","",IF('1. Yixian'!G142='2. Nayoung'!G142,1,0))</f>
        <v/>
      </c>
      <c r="H142" s="20" t="str">
        <f>IF('1. Yixian'!J142="","",IF(RIGHT('1. Yixian'!J142,3)=RIGHT('2. Nayoung'!J142,3),1,0))</f>
        <v/>
      </c>
      <c r="I142" s="20" t="str">
        <f>IF(H142="","",IF(OR('2. Nayoung'!K142="", '1. Yixian'!K142 = ""),0,1))</f>
        <v/>
      </c>
      <c r="J142" s="20" t="str">
        <f>IF('1. Yixian'!L142="","",IF('1. Yixian'!L142='2. Nayoung'!L142,1,0))</f>
        <v/>
      </c>
      <c r="K142" s="20" t="str">
        <f>IF('1. Yixian'!M142="","",IF('1. Yixian'!M142='2. Nayoung'!M142,1,0))</f>
        <v/>
      </c>
      <c r="L142" s="20" t="str">
        <f>IF('1. Yixian'!N142="","",IF('1. Yixian'!N142='2. Nayoung'!N142,1,0))</f>
        <v/>
      </c>
      <c r="M142" s="20" t="str">
        <f>IF('1. Yixian'!O142="","",IF('1. Yixian'!O142='2. Nayoung'!O142,1,0))</f>
        <v/>
      </c>
      <c r="N142" s="20" t="str">
        <f>IF('1. Yixian'!P142="","",IF('1. Yixian'!P142='2. Nayoung'!P142,1,0))</f>
        <v/>
      </c>
      <c r="O142" s="20" t="str">
        <f>IF('1. Yixian'!Q142="","",IF('1. Yixian'!Q142='2. Nayoung'!Q142,1,0))</f>
        <v/>
      </c>
      <c r="P142" s="20" t="str">
        <f>IF('1. Yixian'!R142="","",IF('1. Yixian'!R142='2. Nayoung'!R142,1,0))</f>
        <v/>
      </c>
      <c r="Q142" s="20" t="str">
        <f>IF('1. Yixian'!S142="","",IF('1. Yixian'!S142='2. Nayoung'!S142,1,0))</f>
        <v/>
      </c>
      <c r="R142" s="20" t="str">
        <f>IF('1. Yixian'!T142="","",IF('1. Yixian'!T142='2. Nayoung'!T142,1,0))</f>
        <v/>
      </c>
      <c r="S142" s="20" t="str">
        <f>IF(R142="","",IF(OR('2. Nayoung'!U142="", '1. Yixian'!U142 = ""),0,1))</f>
        <v/>
      </c>
      <c r="T142" s="20" t="str">
        <f>IF('1. Yixian'!V142="","",IF('1. Yixian'!V142='2. Nayoung'!V142,1,0))</f>
        <v/>
      </c>
      <c r="U142" s="20" t="str">
        <f>IF('1. Yixian'!W142="","",IF('1. Yixian'!W142='2. Nayoung'!W142,1,0))</f>
        <v/>
      </c>
      <c r="V142" s="20" t="str">
        <f>IF('1. Yixian'!X142="","",IF('1. Yixian'!X142='2. Nayoung'!X142,1,0))</f>
        <v/>
      </c>
      <c r="W142" s="20" t="str">
        <f>IF('1. Yixian'!Y142="","",IF('1. Yixian'!Y142='2. Nayoung'!Y142,1,0))</f>
        <v/>
      </c>
      <c r="X142" s="20" t="str">
        <f>IF('1. Yixian'!Z142="","",IF('1. Yixian'!Z142='2. Nayoung'!Z142,1,0))</f>
        <v/>
      </c>
      <c r="Y142" s="20" t="str">
        <f>IF('1. Yixian'!AA142="","",IF('1. Yixian'!AA142='2. Nayoung'!AA142,1,0))</f>
        <v/>
      </c>
      <c r="Z142" s="20" t="str">
        <f>IF('1. Yixian'!AB142="","",IF('1. Yixian'!AB142='2. Nayoung'!AB142,1,0))</f>
        <v/>
      </c>
      <c r="AA142" s="20" t="str">
        <f>IF('1. Yixian'!AC142="","",IF('1. Yixian'!AC142='2. Nayoung'!AC142,1,0))</f>
        <v/>
      </c>
      <c r="AB142" s="20">
        <f>IF(OR('2. Nayoung'!AD141="", '1. Yixian'!AD142 = ""),0,1)</f>
        <v>1</v>
      </c>
      <c r="AC142" s="20">
        <f>IF('1. Yixian'!AE142="","",IF('1. Yixian'!AE142='2. Nayoung'!AE142,1,0))</f>
        <v>1</v>
      </c>
      <c r="AD142" s="20">
        <f>IF(OR('2. Nayoung'!AF142="", '1. Yixian'!AF142 = ""),0,1)</f>
        <v>1</v>
      </c>
      <c r="AF142" s="20">
        <f>IF('1. Yixian'!AH142="","",IF('1. Yixian'!AH142='2. Nayoung'!AH142,1,0))</f>
        <v>1</v>
      </c>
      <c r="AG142" s="20">
        <f>IF('1. Yixian'!AI142="","",IF('1. Yixian'!AI142='2. Nayoung'!AI142,1,0))</f>
        <v>1</v>
      </c>
      <c r="AH142" s="20">
        <f>IF('1. Yixian'!AJ142="","",IF('1. Yixian'!AJ142='2. Nayoung'!AJ142,1,0))</f>
        <v>1</v>
      </c>
      <c r="AI142" s="20">
        <f>IF('1. Yixian'!AK142="","",IF('1. Yixian'!AK142='2. Nayoung'!AK142,1,0))</f>
        <v>1</v>
      </c>
      <c r="AJ142" s="20">
        <f>IF('1. Yixian'!AL142="","",IF('1. Yixian'!AL142='2. Nayoung'!AL142,1,0))</f>
        <v>1</v>
      </c>
      <c r="AK142" s="20">
        <f>IF('1. Yixian'!AM142="","",IF('1. Yixian'!AM142='2. Nayoung'!AM142,1,0))</f>
        <v>1</v>
      </c>
      <c r="AL142" s="20" t="str">
        <f>IF('1. Yixian'!AT142="","",IF('1. Yixian'!AT142='2. Nayoung'!AT142,1,0))</f>
        <v/>
      </c>
      <c r="AM142" s="20" t="str">
        <f>IF('1. Yixian'!AU142="","",IF('1. Yixian'!AU142='2. Nayoung'!AU142,1,0))</f>
        <v/>
      </c>
      <c r="AN142" s="2"/>
    </row>
    <row r="143" spans="1:40" s="20" customFormat="1" ht="17" hidden="1" customHeight="1">
      <c r="A143" s="20">
        <f>IF('1. Yixian'!A143="","",IF('1. Yixian'!A143='2. Nayoung'!A143,1,0))</f>
        <v>0</v>
      </c>
      <c r="B143" s="20">
        <f>IF('1. Yixian'!B143="","",IF(RIGHT('1. Yixian'!B143,2)=RIGHT('2. Nayoung'!B143,2),1,0))</f>
        <v>0</v>
      </c>
      <c r="C143" s="20">
        <f>IF('1. Yixian'!C143="","",IF('1. Yixian'!C143='2. Nayoung'!C143,1,0))</f>
        <v>1</v>
      </c>
      <c r="E143" s="20">
        <f>IF('1. Yixian'!E143="","",IF('1. Yixian'!E143='2. Nayoung'!E143,1,0))</f>
        <v>1</v>
      </c>
      <c r="F143" s="20">
        <f>IF('1. Yixian'!F143="","",IF('1. Yixian'!F143='2. Nayoung'!F143,1,0))</f>
        <v>1</v>
      </c>
      <c r="G143" s="20">
        <f>IF('1. Yixian'!G143="","",IF('1. Yixian'!G143='2. Nayoung'!G143,1,0))</f>
        <v>1</v>
      </c>
      <c r="H143" s="20">
        <f>IF('1. Yixian'!J143="","",IF(RIGHT('1. Yixian'!J143,3)=RIGHT('2. Nayoung'!J143,3),1,0))</f>
        <v>0</v>
      </c>
      <c r="I143" s="20">
        <f>IF(H143="","",IF(OR('2. Nayoung'!K143="", '1. Yixian'!K143 = ""),0,1))</f>
        <v>1</v>
      </c>
      <c r="J143" s="20">
        <f>IF('1. Yixian'!L143="","",IF('1. Yixian'!L143='2. Nayoung'!L143,1,0))</f>
        <v>1</v>
      </c>
      <c r="K143" s="20">
        <f>IF('1. Yixian'!M143="","",IF('1. Yixian'!M143='2. Nayoung'!M143,1,0))</f>
        <v>1</v>
      </c>
      <c r="L143" s="20">
        <f>IF('1. Yixian'!N143="","",IF('1. Yixian'!N143='2. Nayoung'!N143,1,0))</f>
        <v>1</v>
      </c>
      <c r="M143" s="20">
        <f>IF('1. Yixian'!O143="","",IF('1. Yixian'!O143='2. Nayoung'!O143,1,0))</f>
        <v>1</v>
      </c>
      <c r="N143" s="20">
        <f>IF('1. Yixian'!P143="","",IF('1. Yixian'!P143='2. Nayoung'!P143,1,0))</f>
        <v>1</v>
      </c>
      <c r="O143" s="20">
        <f>IF('1. Yixian'!Q143="","",IF('1. Yixian'!Q143='2. Nayoung'!Q143,1,0))</f>
        <v>1</v>
      </c>
      <c r="P143" s="20">
        <f>IF('1. Yixian'!R143="","",IF('1. Yixian'!R143='2. Nayoung'!R143,1,0))</f>
        <v>1</v>
      </c>
      <c r="Q143" s="20">
        <f>IF('1. Yixian'!S143="","",IF('1. Yixian'!S143='2. Nayoung'!S143,1,0))</f>
        <v>1</v>
      </c>
      <c r="R143" s="20">
        <f>IF('1. Yixian'!T143="","",IF('1. Yixian'!T143='2. Nayoung'!T143,1,0))</f>
        <v>1</v>
      </c>
      <c r="S143" s="20">
        <f>IF(R143="","",IF(OR('2. Nayoung'!U143="", '1. Yixian'!U143 = ""),0,1))</f>
        <v>1</v>
      </c>
      <c r="T143" s="20">
        <f>IF('1. Yixian'!V143="","",IF('1. Yixian'!V143='2. Nayoung'!V143,1,0))</f>
        <v>1</v>
      </c>
      <c r="U143" s="20">
        <f>IF('1. Yixian'!W143="","",IF('1. Yixian'!W143='2. Nayoung'!W143,1,0))</f>
        <v>1</v>
      </c>
      <c r="V143" s="20">
        <f>IF('1. Yixian'!X143="","",IF('1. Yixian'!X143='2. Nayoung'!X143,1,0))</f>
        <v>1</v>
      </c>
      <c r="W143" s="20">
        <f>IF('1. Yixian'!Y143="","",IF('1. Yixian'!Y143='2. Nayoung'!Y143,1,0))</f>
        <v>1</v>
      </c>
      <c r="X143" s="20">
        <f>IF('1. Yixian'!Z143="","",IF('1. Yixian'!Z143='2. Nayoung'!Z143,1,0))</f>
        <v>1</v>
      </c>
      <c r="Y143" s="20">
        <f>IF('1. Yixian'!AA143="","",IF('1. Yixian'!AA143='2. Nayoung'!AA143,1,0))</f>
        <v>1</v>
      </c>
      <c r="Z143" s="20">
        <f>IF('1. Yixian'!AB143="","",IF('1. Yixian'!AB143='2. Nayoung'!AB143,1,0))</f>
        <v>1</v>
      </c>
      <c r="AA143" s="20">
        <f>IF('1. Yixian'!AC143="","",IF('1. Yixian'!AC143='2. Nayoung'!AC143,1,0))</f>
        <v>1</v>
      </c>
      <c r="AB143" s="20">
        <f>IF(OR('2. Nayoung'!AD142="", '1. Yixian'!AD143 = ""),0,1)</f>
        <v>1</v>
      </c>
      <c r="AC143" s="20">
        <f>IF('1. Yixian'!AE143="","",IF('1. Yixian'!AE143='2. Nayoung'!AE143,1,0))</f>
        <v>1</v>
      </c>
      <c r="AD143" s="20">
        <f>IF(OR('2. Nayoung'!AF143="", '1. Yixian'!AF143 = ""),0,1)</f>
        <v>1</v>
      </c>
      <c r="AF143" s="20">
        <f>IF('1. Yixian'!AH143="","",IF('1. Yixian'!AH143='2. Nayoung'!AH143,1,0))</f>
        <v>1</v>
      </c>
      <c r="AG143" s="20">
        <f>IF('1. Yixian'!AI143="","",IF('1. Yixian'!AI143='2. Nayoung'!AI143,1,0))</f>
        <v>1</v>
      </c>
      <c r="AH143" s="20">
        <f>IF('1. Yixian'!AJ143="","",IF('1. Yixian'!AJ143='2. Nayoung'!AJ143,1,0))</f>
        <v>1</v>
      </c>
      <c r="AI143" s="20">
        <f>IF('1. Yixian'!AK143="","",IF('1. Yixian'!AK143='2. Nayoung'!AK143,1,0))</f>
        <v>1</v>
      </c>
      <c r="AJ143" s="20">
        <f>IF('1. Yixian'!AL143="","",IF('1. Yixian'!AL143='2. Nayoung'!AL143,1,0))</f>
        <v>1</v>
      </c>
      <c r="AK143" s="20">
        <f>IF('1. Yixian'!AM143="","",IF('1. Yixian'!AM143='2. Nayoung'!AM143,1,0))</f>
        <v>1</v>
      </c>
      <c r="AL143" s="20" t="str">
        <f>IF('1. Yixian'!AT143="","",IF('1. Yixian'!AT143='2. Nayoung'!AT143,1,0))</f>
        <v/>
      </c>
      <c r="AM143" s="20" t="str">
        <f>IF('1. Yixian'!AU143="","",IF('1. Yixian'!AU143='2. Nayoung'!AU143,1,0))</f>
        <v/>
      </c>
      <c r="AN143" s="2"/>
    </row>
    <row r="144" spans="1:40" s="20" customFormat="1" ht="17" hidden="1" customHeight="1">
      <c r="A144" s="20" t="str">
        <f>IF('1. Yixian'!A144="","",IF('1. Yixian'!A144='2. Nayoung'!A144,1,0))</f>
        <v/>
      </c>
      <c r="B144" s="20" t="str">
        <f>IF('1. Yixian'!B144="","",IF(RIGHT('1. Yixian'!B144,2)=RIGHT('2. Nayoung'!B144,2),1,0))</f>
        <v/>
      </c>
      <c r="C144" s="20" t="str">
        <f>IF('1. Yixian'!C144="","",IF('1. Yixian'!C144='2. Nayoung'!C144,1,0))</f>
        <v/>
      </c>
      <c r="E144" s="20" t="str">
        <f>IF('1. Yixian'!E144="","",IF('1. Yixian'!E144='2. Nayoung'!E144,1,0))</f>
        <v/>
      </c>
      <c r="F144" s="20" t="str">
        <f>IF('1. Yixian'!F144="","",IF('1. Yixian'!F144='2. Nayoung'!F144,1,0))</f>
        <v/>
      </c>
      <c r="G144" s="20" t="str">
        <f>IF('1. Yixian'!G144="","",IF('1. Yixian'!G144='2. Nayoung'!G144,1,0))</f>
        <v/>
      </c>
      <c r="H144" s="20">
        <f>IF('1. Yixian'!J144="","",IF(RIGHT('1. Yixian'!J144,3)=RIGHT('2. Nayoung'!J144,3),1,0))</f>
        <v>0</v>
      </c>
      <c r="I144" s="20">
        <f>IF(H144="","",IF(OR('2. Nayoung'!K144="", '1. Yixian'!K144 = ""),0,1))</f>
        <v>1</v>
      </c>
      <c r="J144" s="20">
        <f>IF('1. Yixian'!L144="","",IF('1. Yixian'!L144='2. Nayoung'!L144,1,0))</f>
        <v>1</v>
      </c>
      <c r="K144" s="20">
        <f>IF('1. Yixian'!M144="","",IF('1. Yixian'!M144='2. Nayoung'!M144,1,0))</f>
        <v>1</v>
      </c>
      <c r="L144" s="20">
        <f>IF('1. Yixian'!N144="","",IF('1. Yixian'!N144='2. Nayoung'!N144,1,0))</f>
        <v>1</v>
      </c>
      <c r="M144" s="20">
        <f>IF('1. Yixian'!O144="","",IF('1. Yixian'!O144='2. Nayoung'!O144,1,0))</f>
        <v>1</v>
      </c>
      <c r="N144" s="20">
        <f>IF('1. Yixian'!P144="","",IF('1. Yixian'!P144='2. Nayoung'!P144,1,0))</f>
        <v>1</v>
      </c>
      <c r="O144" s="20">
        <f>IF('1. Yixian'!Q144="","",IF('1. Yixian'!Q144='2. Nayoung'!Q144,1,0))</f>
        <v>1</v>
      </c>
      <c r="P144" s="20">
        <f>IF('1. Yixian'!R144="","",IF('1. Yixian'!R144='2. Nayoung'!R144,1,0))</f>
        <v>1</v>
      </c>
      <c r="Q144" s="20">
        <f>IF('1. Yixian'!S144="","",IF('1. Yixian'!S144='2. Nayoung'!S144,1,0))</f>
        <v>1</v>
      </c>
      <c r="R144" s="20">
        <f>IF('1. Yixian'!T144="","",IF('1. Yixian'!T144='2. Nayoung'!T144,1,0))</f>
        <v>1</v>
      </c>
      <c r="S144" s="20">
        <f>IF(R144="","",IF(OR('2. Nayoung'!U144="", '1. Yixian'!U144 = ""),0,1))</f>
        <v>1</v>
      </c>
      <c r="T144" s="20">
        <f>IF('1. Yixian'!V144="","",IF('1. Yixian'!V144='2. Nayoung'!V144,1,0))</f>
        <v>1</v>
      </c>
      <c r="U144" s="20">
        <f>IF('1. Yixian'!W144="","",IF('1. Yixian'!W144='2. Nayoung'!W144,1,0))</f>
        <v>1</v>
      </c>
      <c r="V144" s="20">
        <f>IF('1. Yixian'!X144="","",IF('1. Yixian'!X144='2. Nayoung'!X144,1,0))</f>
        <v>1</v>
      </c>
      <c r="W144" s="20">
        <f>IF('1. Yixian'!Y144="","",IF('1. Yixian'!Y144='2. Nayoung'!Y144,1,0))</f>
        <v>1</v>
      </c>
      <c r="X144" s="20">
        <f>IF('1. Yixian'!Z144="","",IF('1. Yixian'!Z144='2. Nayoung'!Z144,1,0))</f>
        <v>1</v>
      </c>
      <c r="Y144" s="20">
        <f>IF('1. Yixian'!AA144="","",IF('1. Yixian'!AA144='2. Nayoung'!AA144,1,0))</f>
        <v>1</v>
      </c>
      <c r="Z144" s="20">
        <f>IF('1. Yixian'!AB144="","",IF('1. Yixian'!AB144='2. Nayoung'!AB144,1,0))</f>
        <v>1</v>
      </c>
      <c r="AA144" s="20">
        <f>IF('1. Yixian'!AC144="","",IF('1. Yixian'!AC144='2. Nayoung'!AC144,1,0))</f>
        <v>1</v>
      </c>
      <c r="AB144" s="20">
        <f>IF(OR('2. Nayoung'!AD143="", '1. Yixian'!AD144 = ""),0,1)</f>
        <v>1</v>
      </c>
      <c r="AC144" s="20">
        <f>IF('1. Yixian'!AE144="","",IF('1. Yixian'!AE144='2. Nayoung'!AE144,1,0))</f>
        <v>1</v>
      </c>
      <c r="AD144" s="20">
        <f>IF(OR('2. Nayoung'!AF144="", '1. Yixian'!AF144 = ""),0,1)</f>
        <v>1</v>
      </c>
      <c r="AF144" s="20">
        <f>IF('1. Yixian'!AH144="","",IF('1. Yixian'!AH144='2. Nayoung'!AH144,1,0))</f>
        <v>1</v>
      </c>
      <c r="AG144" s="20">
        <f>IF('1. Yixian'!AI144="","",IF('1. Yixian'!AI144='2. Nayoung'!AI144,1,0))</f>
        <v>1</v>
      </c>
      <c r="AH144" s="20">
        <f>IF('1. Yixian'!AJ144="","",IF('1. Yixian'!AJ144='2. Nayoung'!AJ144,1,0))</f>
        <v>1</v>
      </c>
      <c r="AI144" s="20">
        <f>IF('1. Yixian'!AK144="","",IF('1. Yixian'!AK144='2. Nayoung'!AK144,1,0))</f>
        <v>1</v>
      </c>
      <c r="AJ144" s="20">
        <f>IF('1. Yixian'!AL144="","",IF('1. Yixian'!AL144='2. Nayoung'!AL144,1,0))</f>
        <v>1</v>
      </c>
      <c r="AK144" s="20">
        <f>IF('1. Yixian'!AM144="","",IF('1. Yixian'!AM144='2. Nayoung'!AM144,1,0))</f>
        <v>1</v>
      </c>
      <c r="AL144" s="20" t="str">
        <f>IF('1. Yixian'!AT144="","",IF('1. Yixian'!AT144='2. Nayoung'!AT144,1,0))</f>
        <v/>
      </c>
      <c r="AM144" s="20" t="str">
        <f>IF('1. Yixian'!AU144="","",IF('1. Yixian'!AU144='2. Nayoung'!AU144,1,0))</f>
        <v/>
      </c>
      <c r="AN144" s="2"/>
    </row>
    <row r="145" spans="1:40" s="20" customFormat="1" ht="17" hidden="1" customHeight="1">
      <c r="A145" s="20">
        <f>IF('1. Yixian'!A145="","",IF('1. Yixian'!A145='2. Nayoung'!A145,1,0))</f>
        <v>0</v>
      </c>
      <c r="B145" s="20">
        <f>IF('1. Yixian'!B145="","",IF(RIGHT('1. Yixian'!B145,2)=RIGHT('2. Nayoung'!B145,2),1,0))</f>
        <v>0</v>
      </c>
      <c r="C145" s="20">
        <f>IF('1. Yixian'!C145="","",IF('1. Yixian'!C145='2. Nayoung'!C145,1,0))</f>
        <v>0</v>
      </c>
      <c r="E145" s="20">
        <f>IF('1. Yixian'!E145="","",IF('1. Yixian'!E145='2. Nayoung'!E145,1,0))</f>
        <v>0</v>
      </c>
      <c r="F145" s="20">
        <f>IF('1. Yixian'!F145="","",IF('1. Yixian'!F145='2. Nayoung'!F145,1,0))</f>
        <v>0</v>
      </c>
      <c r="G145" s="20">
        <f>IF('1. Yixian'!G145="","",IF('1. Yixian'!G145='2. Nayoung'!G145,1,0))</f>
        <v>0</v>
      </c>
      <c r="H145" s="20">
        <f>IF('1. Yixian'!J145="","",IF(RIGHT('1. Yixian'!J145,3)=RIGHT('2. Nayoung'!J145,3),1,0))</f>
        <v>0</v>
      </c>
      <c r="I145" s="20">
        <f>IF(H145="","",IF(OR('2. Nayoung'!K145="", '1. Yixian'!K145 = ""),0,1))</f>
        <v>1</v>
      </c>
      <c r="J145" s="20">
        <f>IF('1. Yixian'!L145="","",IF('1. Yixian'!L145='2. Nayoung'!L145,1,0))</f>
        <v>1</v>
      </c>
      <c r="K145" s="20">
        <f>IF('1. Yixian'!M145="","",IF('1. Yixian'!M145='2. Nayoung'!M145,1,0))</f>
        <v>1</v>
      </c>
      <c r="L145" s="20">
        <f>IF('1. Yixian'!N145="","",IF('1. Yixian'!N145='2. Nayoung'!N145,1,0))</f>
        <v>1</v>
      </c>
      <c r="M145" s="20">
        <f>IF('1. Yixian'!O145="","",IF('1. Yixian'!O145='2. Nayoung'!O145,1,0))</f>
        <v>1</v>
      </c>
      <c r="N145" s="20">
        <f>IF('1. Yixian'!P145="","",IF('1. Yixian'!P145='2. Nayoung'!P145,1,0))</f>
        <v>1</v>
      </c>
      <c r="O145" s="20">
        <f>IF('1. Yixian'!Q145="","",IF('1. Yixian'!Q145='2. Nayoung'!Q145,1,0))</f>
        <v>1</v>
      </c>
      <c r="P145" s="20">
        <f>IF('1. Yixian'!R145="","",IF('1. Yixian'!R145='2. Nayoung'!R145,1,0))</f>
        <v>1</v>
      </c>
      <c r="Q145" s="20">
        <f>IF('1. Yixian'!S145="","",IF('1. Yixian'!S145='2. Nayoung'!S145,1,0))</f>
        <v>1</v>
      </c>
      <c r="R145" s="20">
        <f>IF('1. Yixian'!T145="","",IF('1. Yixian'!T145='2. Nayoung'!T145,1,0))</f>
        <v>1</v>
      </c>
      <c r="S145" s="20">
        <f>IF(R145="","",IF(OR('2. Nayoung'!U145="", '1. Yixian'!U145 = ""),0,1))</f>
        <v>1</v>
      </c>
      <c r="T145" s="20">
        <f>IF('1. Yixian'!V145="","",IF('1. Yixian'!V145='2. Nayoung'!V145,1,0))</f>
        <v>1</v>
      </c>
      <c r="U145" s="20">
        <f>IF('1. Yixian'!W145="","",IF('1. Yixian'!W145='2. Nayoung'!W145,1,0))</f>
        <v>1</v>
      </c>
      <c r="V145" s="20">
        <f>IF('1. Yixian'!X145="","",IF('1. Yixian'!X145='2. Nayoung'!X145,1,0))</f>
        <v>1</v>
      </c>
      <c r="W145" s="20">
        <f>IF('1. Yixian'!Y145="","",IF('1. Yixian'!Y145='2. Nayoung'!Y145,1,0))</f>
        <v>1</v>
      </c>
      <c r="X145" s="20">
        <f>IF('1. Yixian'!Z145="","",IF('1. Yixian'!Z145='2. Nayoung'!Z145,1,0))</f>
        <v>1</v>
      </c>
      <c r="Y145" s="20">
        <f>IF('1. Yixian'!AA145="","",IF('1. Yixian'!AA145='2. Nayoung'!AA145,1,0))</f>
        <v>1</v>
      </c>
      <c r="Z145" s="20">
        <f>IF('1. Yixian'!AB145="","",IF('1. Yixian'!AB145='2. Nayoung'!AB145,1,0))</f>
        <v>1</v>
      </c>
      <c r="AA145" s="20">
        <f>IF('1. Yixian'!AC145="","",IF('1. Yixian'!AC145='2. Nayoung'!AC145,1,0))</f>
        <v>1</v>
      </c>
      <c r="AB145" s="20">
        <f>IF(OR('2. Nayoung'!AD144="", '1. Yixian'!AD145 = ""),0,1)</f>
        <v>1</v>
      </c>
      <c r="AC145" s="20">
        <f>IF('1. Yixian'!AE145="","",IF('1. Yixian'!AE145='2. Nayoung'!AE145,1,0))</f>
        <v>1</v>
      </c>
      <c r="AD145" s="20">
        <f>IF(OR('2. Nayoung'!AF145="", '1. Yixian'!AF145 = ""),0,1)</f>
        <v>1</v>
      </c>
      <c r="AF145" s="20">
        <f>IF('1. Yixian'!AH145="","",IF('1. Yixian'!AH145='2. Nayoung'!AH145,1,0))</f>
        <v>1</v>
      </c>
      <c r="AG145" s="20">
        <f>IF('1. Yixian'!AI145="","",IF('1. Yixian'!AI145='2. Nayoung'!AI145,1,0))</f>
        <v>1</v>
      </c>
      <c r="AH145" s="20">
        <f>IF('1. Yixian'!AJ145="","",IF('1. Yixian'!AJ145='2. Nayoung'!AJ145,1,0))</f>
        <v>1</v>
      </c>
      <c r="AI145" s="20">
        <f>IF('1. Yixian'!AK145="","",IF('1. Yixian'!AK145='2. Nayoung'!AK145,1,0))</f>
        <v>1</v>
      </c>
      <c r="AJ145" s="20">
        <f>IF('1. Yixian'!AL145="","",IF('1. Yixian'!AL145='2. Nayoung'!AL145,1,0))</f>
        <v>1</v>
      </c>
      <c r="AK145" s="20">
        <f>IF('1. Yixian'!AM145="","",IF('1. Yixian'!AM145='2. Nayoung'!AM145,1,0))</f>
        <v>1</v>
      </c>
      <c r="AL145" s="20" t="str">
        <f>IF('1. Yixian'!AT145="","",IF('1. Yixian'!AT145='2. Nayoung'!AT145,1,0))</f>
        <v/>
      </c>
      <c r="AM145" s="20" t="str">
        <f>IF('1. Yixian'!AU145="","",IF('1. Yixian'!AU145='2. Nayoung'!AU145,1,0))</f>
        <v/>
      </c>
      <c r="AN145" s="2"/>
    </row>
    <row r="146" spans="1:40" s="20" customFormat="1" ht="17" hidden="1" customHeight="1">
      <c r="A146" s="20" t="str">
        <f>IF('1. Yixian'!A146="","",IF('1. Yixian'!A146='2. Nayoung'!A146,1,0))</f>
        <v/>
      </c>
      <c r="B146" s="20" t="str">
        <f>IF('1. Yixian'!B146="","",IF(RIGHT('1. Yixian'!B146,2)=RIGHT('2. Nayoung'!B146,2),1,0))</f>
        <v/>
      </c>
      <c r="C146" s="20" t="str">
        <f>IF('1. Yixian'!C146="","",IF('1. Yixian'!C146='2. Nayoung'!C146,1,0))</f>
        <v/>
      </c>
      <c r="E146" s="20" t="str">
        <f>IF('1. Yixian'!E146="","",IF('1. Yixian'!E146='2. Nayoung'!E146,1,0))</f>
        <v/>
      </c>
      <c r="F146" s="20" t="str">
        <f>IF('1. Yixian'!F146="","",IF('1. Yixian'!F146='2. Nayoung'!F146,1,0))</f>
        <v/>
      </c>
      <c r="G146" s="20" t="str">
        <f>IF('1. Yixian'!G146="","",IF('1. Yixian'!G146='2. Nayoung'!G146,1,0))</f>
        <v/>
      </c>
      <c r="H146" s="20">
        <f>IF('1. Yixian'!J146="","",IF(RIGHT('1. Yixian'!J146,3)=RIGHT('2. Nayoung'!J146,3),1,0))</f>
        <v>0</v>
      </c>
      <c r="I146" s="20">
        <f>IF(H146="","",IF(OR('2. Nayoung'!K146="", '1. Yixian'!K146 = ""),0,1))</f>
        <v>1</v>
      </c>
      <c r="J146" s="20">
        <f>IF('1. Yixian'!L146="","",IF('1. Yixian'!L146='2. Nayoung'!L146,1,0))</f>
        <v>1</v>
      </c>
      <c r="K146" s="20">
        <f>IF('1. Yixian'!M146="","",IF('1. Yixian'!M146='2. Nayoung'!M146,1,0))</f>
        <v>1</v>
      </c>
      <c r="L146" s="20">
        <f>IF('1. Yixian'!N146="","",IF('1. Yixian'!N146='2. Nayoung'!N146,1,0))</f>
        <v>1</v>
      </c>
      <c r="M146" s="20">
        <f>IF('1. Yixian'!O146="","",IF('1. Yixian'!O146='2. Nayoung'!O146,1,0))</f>
        <v>1</v>
      </c>
      <c r="N146" s="20">
        <f>IF('1. Yixian'!P146="","",IF('1. Yixian'!P146='2. Nayoung'!P146,1,0))</f>
        <v>1</v>
      </c>
      <c r="O146" s="20">
        <f>IF('1. Yixian'!Q146="","",IF('1. Yixian'!Q146='2. Nayoung'!Q146,1,0))</f>
        <v>1</v>
      </c>
      <c r="P146" s="20">
        <f>IF('1. Yixian'!R146="","",IF('1. Yixian'!R146='2. Nayoung'!R146,1,0))</f>
        <v>1</v>
      </c>
      <c r="Q146" s="20">
        <f>IF('1. Yixian'!S146="","",IF('1. Yixian'!S146='2. Nayoung'!S146,1,0))</f>
        <v>1</v>
      </c>
      <c r="R146" s="20">
        <f>IF('1. Yixian'!T146="","",IF('1. Yixian'!T146='2. Nayoung'!T146,1,0))</f>
        <v>1</v>
      </c>
      <c r="S146" s="20">
        <f>IF(R146="","",IF(OR('2. Nayoung'!U146="", '1. Yixian'!U146 = ""),0,1))</f>
        <v>1</v>
      </c>
      <c r="T146" s="20">
        <f>IF('1. Yixian'!V146="","",IF('1. Yixian'!V146='2. Nayoung'!V146,1,0))</f>
        <v>1</v>
      </c>
      <c r="U146" s="20">
        <f>IF('1. Yixian'!W146="","",IF('1. Yixian'!W146='2. Nayoung'!W146,1,0))</f>
        <v>1</v>
      </c>
      <c r="V146" s="20">
        <f>IF('1. Yixian'!X146="","",IF('1. Yixian'!X146='2. Nayoung'!X146,1,0))</f>
        <v>1</v>
      </c>
      <c r="W146" s="20">
        <f>IF('1. Yixian'!Y146="","",IF('1. Yixian'!Y146='2. Nayoung'!Y146,1,0))</f>
        <v>1</v>
      </c>
      <c r="X146" s="20">
        <f>IF('1. Yixian'!Z146="","",IF('1. Yixian'!Z146='2. Nayoung'!Z146,1,0))</f>
        <v>1</v>
      </c>
      <c r="Y146" s="20">
        <f>IF('1. Yixian'!AA146="","",IF('1. Yixian'!AA146='2. Nayoung'!AA146,1,0))</f>
        <v>1</v>
      </c>
      <c r="Z146" s="20">
        <f>IF('1. Yixian'!AB146="","",IF('1. Yixian'!AB146='2. Nayoung'!AB146,1,0))</f>
        <v>1</v>
      </c>
      <c r="AA146" s="20">
        <f>IF('1. Yixian'!AC146="","",IF('1. Yixian'!AC146='2. Nayoung'!AC146,1,0))</f>
        <v>1</v>
      </c>
      <c r="AB146" s="20">
        <f>IF(OR('2. Nayoung'!AD145="", '1. Yixian'!AD146 = ""),0,1)</f>
        <v>1</v>
      </c>
      <c r="AC146" s="20">
        <f>IF('1. Yixian'!AE146="","",IF('1. Yixian'!AE146='2. Nayoung'!AE146,1,0))</f>
        <v>1</v>
      </c>
      <c r="AD146" s="20">
        <f>IF(OR('2. Nayoung'!AF146="", '1. Yixian'!AF146 = ""),0,1)</f>
        <v>1</v>
      </c>
      <c r="AF146" s="20">
        <f>IF('1. Yixian'!AH146="","",IF('1. Yixian'!AH146='2. Nayoung'!AH146,1,0))</f>
        <v>1</v>
      </c>
      <c r="AG146" s="20">
        <f>IF('1. Yixian'!AI146="","",IF('1. Yixian'!AI146='2. Nayoung'!AI146,1,0))</f>
        <v>1</v>
      </c>
      <c r="AH146" s="20">
        <f>IF('1. Yixian'!AJ146="","",IF('1. Yixian'!AJ146='2. Nayoung'!AJ146,1,0))</f>
        <v>1</v>
      </c>
      <c r="AI146" s="20">
        <f>IF('1. Yixian'!AK146="","",IF('1. Yixian'!AK146='2. Nayoung'!AK146,1,0))</f>
        <v>1</v>
      </c>
      <c r="AJ146" s="20">
        <f>IF('1. Yixian'!AL146="","",IF('1. Yixian'!AL146='2. Nayoung'!AL146,1,0))</f>
        <v>1</v>
      </c>
      <c r="AK146" s="20">
        <f>IF('1. Yixian'!AM146="","",IF('1. Yixian'!AM146='2. Nayoung'!AM146,1,0))</f>
        <v>1</v>
      </c>
      <c r="AL146" s="20" t="str">
        <f>IF('1. Yixian'!AT146="","",IF('1. Yixian'!AT146='2. Nayoung'!AT146,1,0))</f>
        <v/>
      </c>
      <c r="AM146" s="20" t="str">
        <f>IF('1. Yixian'!AU146="","",IF('1. Yixian'!AU146='2. Nayoung'!AU146,1,0))</f>
        <v/>
      </c>
      <c r="AN146" s="2"/>
    </row>
    <row r="147" spans="1:40" s="20" customFormat="1" ht="17" hidden="1" customHeight="1">
      <c r="A147" s="20">
        <f>IF('1. Yixian'!A147="","",IF('1. Yixian'!A147='2. Nayoung'!A147,1,0))</f>
        <v>0</v>
      </c>
      <c r="B147" s="20">
        <f>IF('1. Yixian'!B147="","",IF(RIGHT('1. Yixian'!B147,2)=RIGHT('2. Nayoung'!B147,2),1,0))</f>
        <v>0</v>
      </c>
      <c r="C147" s="20">
        <f>IF('1. Yixian'!C147="","",IF('1. Yixian'!C147='2. Nayoung'!C147,1,0))</f>
        <v>0</v>
      </c>
      <c r="E147" s="20">
        <f>IF('1. Yixian'!E147="","",IF('1. Yixian'!E147='2. Nayoung'!E147,1,0))</f>
        <v>0</v>
      </c>
      <c r="F147" s="20">
        <f>IF('1. Yixian'!F147="","",IF('1. Yixian'!F147='2. Nayoung'!F147,1,0))</f>
        <v>0</v>
      </c>
      <c r="G147" s="20">
        <f>IF('1. Yixian'!G147="","",IF('1. Yixian'!G147='2. Nayoung'!G147,1,0))</f>
        <v>0</v>
      </c>
      <c r="H147" s="20">
        <f>IF('1. Yixian'!J147="","",IF(RIGHT('1. Yixian'!J147,3)=RIGHT('2. Nayoung'!J147,3),1,0))</f>
        <v>0</v>
      </c>
      <c r="I147" s="20">
        <f>IF(H147="","",IF(OR('2. Nayoung'!K147="", '1. Yixian'!K147 = ""),0,1))</f>
        <v>1</v>
      </c>
      <c r="J147" s="20">
        <f>IF('1. Yixian'!L147="","",IF('1. Yixian'!L147='2. Nayoung'!L147,1,0))</f>
        <v>1</v>
      </c>
      <c r="K147" s="20">
        <f>IF('1. Yixian'!M147="","",IF('1. Yixian'!M147='2. Nayoung'!M147,1,0))</f>
        <v>1</v>
      </c>
      <c r="L147" s="20">
        <f>IF('1. Yixian'!N147="","",IF('1. Yixian'!N147='2. Nayoung'!N147,1,0))</f>
        <v>1</v>
      </c>
      <c r="M147" s="20">
        <f>IF('1. Yixian'!O147="","",IF('1. Yixian'!O147='2. Nayoung'!O147,1,0))</f>
        <v>1</v>
      </c>
      <c r="N147" s="20">
        <f>IF('1. Yixian'!P147="","",IF('1. Yixian'!P147='2. Nayoung'!P147,1,0))</f>
        <v>1</v>
      </c>
      <c r="O147" s="20">
        <f>IF('1. Yixian'!Q147="","",IF('1. Yixian'!Q147='2. Nayoung'!Q147,1,0))</f>
        <v>1</v>
      </c>
      <c r="P147" s="20">
        <f>IF('1. Yixian'!R147="","",IF('1. Yixian'!R147='2. Nayoung'!R147,1,0))</f>
        <v>1</v>
      </c>
      <c r="Q147" s="20">
        <f>IF('1. Yixian'!S147="","",IF('1. Yixian'!S147='2. Nayoung'!S147,1,0))</f>
        <v>1</v>
      </c>
      <c r="R147" s="20">
        <f>IF('1. Yixian'!T147="","",IF('1. Yixian'!T147='2. Nayoung'!T147,1,0))</f>
        <v>1</v>
      </c>
      <c r="S147" s="20">
        <f>IF(R147="","",IF(OR('2. Nayoung'!U147="", '1. Yixian'!U147 = ""),0,1))</f>
        <v>1</v>
      </c>
      <c r="T147" s="20">
        <f>IF('1. Yixian'!V147="","",IF('1. Yixian'!V147='2. Nayoung'!V147,1,0))</f>
        <v>1</v>
      </c>
      <c r="U147" s="20">
        <f>IF('1. Yixian'!W147="","",IF('1. Yixian'!W147='2. Nayoung'!W147,1,0))</f>
        <v>1</v>
      </c>
      <c r="V147" s="20">
        <f>IF('1. Yixian'!X147="","",IF('1. Yixian'!X147='2. Nayoung'!X147,1,0))</f>
        <v>1</v>
      </c>
      <c r="W147" s="20">
        <f>IF('1. Yixian'!Y147="","",IF('1. Yixian'!Y147='2. Nayoung'!Y147,1,0))</f>
        <v>1</v>
      </c>
      <c r="X147" s="20">
        <f>IF('1. Yixian'!Z147="","",IF('1. Yixian'!Z147='2. Nayoung'!Z147,1,0))</f>
        <v>1</v>
      </c>
      <c r="Y147" s="20">
        <f>IF('1. Yixian'!AA147="","",IF('1. Yixian'!AA147='2. Nayoung'!AA147,1,0))</f>
        <v>1</v>
      </c>
      <c r="Z147" s="20">
        <f>IF('1. Yixian'!AB147="","",IF('1. Yixian'!AB147='2. Nayoung'!AB147,1,0))</f>
        <v>1</v>
      </c>
      <c r="AA147" s="20">
        <f>IF('1. Yixian'!AC147="","",IF('1. Yixian'!AC147='2. Nayoung'!AC147,1,0))</f>
        <v>1</v>
      </c>
      <c r="AB147" s="20">
        <f>IF(OR('2. Nayoung'!AD146="", '1. Yixian'!AD147 = ""),0,1)</f>
        <v>1</v>
      </c>
      <c r="AC147" s="20">
        <f>IF('1. Yixian'!AE147="","",IF('1. Yixian'!AE147='2. Nayoung'!AE147,1,0))</f>
        <v>1</v>
      </c>
      <c r="AD147" s="20">
        <f>IF(OR('2. Nayoung'!AF147="", '1. Yixian'!AF147 = ""),0,1)</f>
        <v>1</v>
      </c>
      <c r="AF147" s="20">
        <f>IF('1. Yixian'!AH147="","",IF('1. Yixian'!AH147='2. Nayoung'!AH147,1,0))</f>
        <v>1</v>
      </c>
      <c r="AG147" s="20">
        <f>IF('1. Yixian'!AI147="","",IF('1. Yixian'!AI147='2. Nayoung'!AI147,1,0))</f>
        <v>1</v>
      </c>
      <c r="AH147" s="20">
        <f>IF('1. Yixian'!AJ147="","",IF('1. Yixian'!AJ147='2. Nayoung'!AJ147,1,0))</f>
        <v>1</v>
      </c>
      <c r="AI147" s="20">
        <f>IF('1. Yixian'!AK147="","",IF('1. Yixian'!AK147='2. Nayoung'!AK147,1,0))</f>
        <v>1</v>
      </c>
      <c r="AJ147" s="20">
        <f>IF('1. Yixian'!AL147="","",IF('1. Yixian'!AL147='2. Nayoung'!AL147,1,0))</f>
        <v>1</v>
      </c>
      <c r="AK147" s="20">
        <f>IF('1. Yixian'!AM147="","",IF('1. Yixian'!AM147='2. Nayoung'!AM147,1,0))</f>
        <v>1</v>
      </c>
      <c r="AL147" s="20" t="str">
        <f>IF('1. Yixian'!AT147="","",IF('1. Yixian'!AT147='2. Nayoung'!AT147,1,0))</f>
        <v/>
      </c>
      <c r="AM147" s="20" t="str">
        <f>IF('1. Yixian'!AU147="","",IF('1. Yixian'!AU147='2. Nayoung'!AU147,1,0))</f>
        <v/>
      </c>
      <c r="AN147" s="2"/>
    </row>
    <row r="148" spans="1:40" s="20" customFormat="1" ht="17" hidden="1" customHeight="1">
      <c r="A148" s="20" t="str">
        <f>IF('1. Yixian'!A148="","",IF('1. Yixian'!A148='2. Nayoung'!A148,1,0))</f>
        <v/>
      </c>
      <c r="B148" s="20" t="str">
        <f>IF('1. Yixian'!B148="","",IF(RIGHT('1. Yixian'!B148,2)=RIGHT('2. Nayoung'!B148,2),1,0))</f>
        <v/>
      </c>
      <c r="C148" s="20" t="str">
        <f>IF('1. Yixian'!C148="","",IF('1. Yixian'!C148='2. Nayoung'!C148,1,0))</f>
        <v/>
      </c>
      <c r="E148" s="20" t="str">
        <f>IF('1. Yixian'!E148="","",IF('1. Yixian'!E148='2. Nayoung'!E148,1,0))</f>
        <v/>
      </c>
      <c r="F148" s="20" t="str">
        <f>IF('1. Yixian'!F148="","",IF('1. Yixian'!F148='2. Nayoung'!F148,1,0))</f>
        <v/>
      </c>
      <c r="G148" s="20" t="str">
        <f>IF('1. Yixian'!G148="","",IF('1. Yixian'!G148='2. Nayoung'!G148,1,0))</f>
        <v/>
      </c>
      <c r="H148" s="20">
        <f>IF('1. Yixian'!J148="","",IF(RIGHT('1. Yixian'!J148,3)=RIGHT('2. Nayoung'!J148,3),1,0))</f>
        <v>0</v>
      </c>
      <c r="I148" s="20">
        <f>IF(H148="","",IF(OR('2. Nayoung'!K148="", '1. Yixian'!K148 = ""),0,1))</f>
        <v>1</v>
      </c>
      <c r="J148" s="20">
        <f>IF('1. Yixian'!L148="","",IF('1. Yixian'!L148='2. Nayoung'!L148,1,0))</f>
        <v>1</v>
      </c>
      <c r="K148" s="20">
        <f>IF('1. Yixian'!M148="","",IF('1. Yixian'!M148='2. Nayoung'!M148,1,0))</f>
        <v>1</v>
      </c>
      <c r="L148" s="20">
        <f>IF('1. Yixian'!N148="","",IF('1. Yixian'!N148='2. Nayoung'!N148,1,0))</f>
        <v>1</v>
      </c>
      <c r="M148" s="20">
        <f>IF('1. Yixian'!O148="","",IF('1. Yixian'!O148='2. Nayoung'!O148,1,0))</f>
        <v>1</v>
      </c>
      <c r="N148" s="20">
        <f>IF('1. Yixian'!P148="","",IF('1. Yixian'!P148='2. Nayoung'!P148,1,0))</f>
        <v>1</v>
      </c>
      <c r="O148" s="20">
        <f>IF('1. Yixian'!Q148="","",IF('1. Yixian'!Q148='2. Nayoung'!Q148,1,0))</f>
        <v>1</v>
      </c>
      <c r="P148" s="20">
        <f>IF('1. Yixian'!R148="","",IF('1. Yixian'!R148='2. Nayoung'!R148,1,0))</f>
        <v>1</v>
      </c>
      <c r="Q148" s="20">
        <f>IF('1. Yixian'!S148="","",IF('1. Yixian'!S148='2. Nayoung'!S148,1,0))</f>
        <v>1</v>
      </c>
      <c r="R148" s="20">
        <f>IF('1. Yixian'!T148="","",IF('1. Yixian'!T148='2. Nayoung'!T148,1,0))</f>
        <v>1</v>
      </c>
      <c r="S148" s="20">
        <f>IF(R148="","",IF(OR('2. Nayoung'!U148="", '1. Yixian'!U148 = ""),0,1))</f>
        <v>1</v>
      </c>
      <c r="T148" s="20">
        <f>IF('1. Yixian'!V148="","",IF('1. Yixian'!V148='2. Nayoung'!V148,1,0))</f>
        <v>1</v>
      </c>
      <c r="U148" s="20">
        <f>IF('1. Yixian'!W148="","",IF('1. Yixian'!W148='2. Nayoung'!W148,1,0))</f>
        <v>1</v>
      </c>
      <c r="V148" s="20">
        <f>IF('1. Yixian'!X148="","",IF('1. Yixian'!X148='2. Nayoung'!X148,1,0))</f>
        <v>1</v>
      </c>
      <c r="W148" s="20">
        <f>IF('1. Yixian'!Y148="","",IF('1. Yixian'!Y148='2. Nayoung'!Y148,1,0))</f>
        <v>1</v>
      </c>
      <c r="X148" s="20">
        <f>IF('1. Yixian'!Z148="","",IF('1. Yixian'!Z148='2. Nayoung'!Z148,1,0))</f>
        <v>1</v>
      </c>
      <c r="Y148" s="20">
        <f>IF('1. Yixian'!AA148="","",IF('1. Yixian'!AA148='2. Nayoung'!AA148,1,0))</f>
        <v>1</v>
      </c>
      <c r="Z148" s="20">
        <f>IF('1. Yixian'!AB148="","",IF('1. Yixian'!AB148='2. Nayoung'!AB148,1,0))</f>
        <v>1</v>
      </c>
      <c r="AA148" s="20">
        <f>IF('1. Yixian'!AC148="","",IF('1. Yixian'!AC148='2. Nayoung'!AC148,1,0))</f>
        <v>1</v>
      </c>
      <c r="AB148" s="20">
        <f>IF(OR('2. Nayoung'!AD147="", '1. Yixian'!AD148 = ""),0,1)</f>
        <v>1</v>
      </c>
      <c r="AC148" s="20">
        <f>IF('1. Yixian'!AE148="","",IF('1. Yixian'!AE148='2. Nayoung'!AE148,1,0))</f>
        <v>1</v>
      </c>
      <c r="AD148" s="20">
        <f>IF(OR('2. Nayoung'!AF148="", '1. Yixian'!AF148 = ""),0,1)</f>
        <v>1</v>
      </c>
      <c r="AF148" s="20">
        <f>IF('1. Yixian'!AH148="","",IF('1. Yixian'!AH148='2. Nayoung'!AH148,1,0))</f>
        <v>1</v>
      </c>
      <c r="AG148" s="20">
        <f>IF('1. Yixian'!AI148="","",IF('1. Yixian'!AI148='2. Nayoung'!AI148,1,0))</f>
        <v>1</v>
      </c>
      <c r="AH148" s="20">
        <f>IF('1. Yixian'!AJ148="","",IF('1. Yixian'!AJ148='2. Nayoung'!AJ148,1,0))</f>
        <v>1</v>
      </c>
      <c r="AI148" s="20">
        <f>IF('1. Yixian'!AK148="","",IF('1. Yixian'!AK148='2. Nayoung'!AK148,1,0))</f>
        <v>1</v>
      </c>
      <c r="AJ148" s="20">
        <f>IF('1. Yixian'!AL148="","",IF('1. Yixian'!AL148='2. Nayoung'!AL148,1,0))</f>
        <v>1</v>
      </c>
      <c r="AK148" s="20">
        <f>IF('1. Yixian'!AM148="","",IF('1. Yixian'!AM148='2. Nayoung'!AM148,1,0))</f>
        <v>1</v>
      </c>
      <c r="AL148" s="20" t="str">
        <f>IF('1. Yixian'!AT148="","",IF('1. Yixian'!AT148='2. Nayoung'!AT148,1,0))</f>
        <v/>
      </c>
      <c r="AM148" s="20" t="str">
        <f>IF('1. Yixian'!AU148="","",IF('1. Yixian'!AU148='2. Nayoung'!AU148,1,0))</f>
        <v/>
      </c>
      <c r="AN148" s="2"/>
    </row>
    <row r="149" spans="1:40" s="20" customFormat="1" ht="17" hidden="1" customHeight="1">
      <c r="A149" s="20">
        <f>IF('1. Yixian'!A149="","",IF('1. Yixian'!A149='2. Nayoung'!A149,1,0))</f>
        <v>0</v>
      </c>
      <c r="B149" s="20">
        <f>IF('1. Yixian'!B149="","",IF(RIGHT('1. Yixian'!B149,2)=RIGHT('2. Nayoung'!B149,2),1,0))</f>
        <v>0</v>
      </c>
      <c r="C149" s="20">
        <f>IF('1. Yixian'!C149="","",IF('1. Yixian'!C149='2. Nayoung'!C149,1,0))</f>
        <v>0</v>
      </c>
      <c r="E149" s="20">
        <f>IF('1. Yixian'!E149="","",IF('1. Yixian'!E149='2. Nayoung'!E149,1,0))</f>
        <v>0</v>
      </c>
      <c r="F149" s="20">
        <f>IF('1. Yixian'!F149="","",IF('1. Yixian'!F149='2. Nayoung'!F149,1,0))</f>
        <v>0</v>
      </c>
      <c r="G149" s="20">
        <f>IF('1. Yixian'!G149="","",IF('1. Yixian'!G149='2. Nayoung'!G149,1,0))</f>
        <v>0</v>
      </c>
      <c r="H149" s="20">
        <f>IF('1. Yixian'!J149="","",IF(RIGHT('1. Yixian'!J149,3)=RIGHT('2. Nayoung'!J149,3),1,0))</f>
        <v>0</v>
      </c>
      <c r="I149" s="20">
        <f>IF(H149="","",IF(OR('2. Nayoung'!K149="", '1. Yixian'!K149 = ""),0,1))</f>
        <v>1</v>
      </c>
      <c r="J149" s="20">
        <f>IF('1. Yixian'!L149="","",IF('1. Yixian'!L149='2. Nayoung'!L149,1,0))</f>
        <v>1</v>
      </c>
      <c r="K149" s="20">
        <f>IF('1. Yixian'!M149="","",IF('1. Yixian'!M149='2. Nayoung'!M149,1,0))</f>
        <v>1</v>
      </c>
      <c r="L149" s="20">
        <f>IF('1. Yixian'!N149="","",IF('1. Yixian'!N149='2. Nayoung'!N149,1,0))</f>
        <v>1</v>
      </c>
      <c r="M149" s="20">
        <f>IF('1. Yixian'!O149="","",IF('1. Yixian'!O149='2. Nayoung'!O149,1,0))</f>
        <v>1</v>
      </c>
      <c r="N149" s="20">
        <f>IF('1. Yixian'!P149="","",IF('1. Yixian'!P149='2. Nayoung'!P149,1,0))</f>
        <v>1</v>
      </c>
      <c r="O149" s="20">
        <f>IF('1. Yixian'!Q149="","",IF('1. Yixian'!Q149='2. Nayoung'!Q149,1,0))</f>
        <v>1</v>
      </c>
      <c r="P149" s="20">
        <f>IF('1. Yixian'!R149="","",IF('1. Yixian'!R149='2. Nayoung'!R149,1,0))</f>
        <v>1</v>
      </c>
      <c r="Q149" s="20">
        <f>IF('1. Yixian'!S149="","",IF('1. Yixian'!S149='2. Nayoung'!S149,1,0))</f>
        <v>1</v>
      </c>
      <c r="R149" s="20">
        <f>IF('1. Yixian'!T149="","",IF('1. Yixian'!T149='2. Nayoung'!T149,1,0))</f>
        <v>1</v>
      </c>
      <c r="S149" s="20">
        <f>IF(R149="","",IF(OR('2. Nayoung'!U149="", '1. Yixian'!U149 = ""),0,1))</f>
        <v>1</v>
      </c>
      <c r="T149" s="20">
        <f>IF('1. Yixian'!V149="","",IF('1. Yixian'!V149='2. Nayoung'!V149,1,0))</f>
        <v>1</v>
      </c>
      <c r="U149" s="20">
        <f>IF('1. Yixian'!W149="","",IF('1. Yixian'!W149='2. Nayoung'!W149,1,0))</f>
        <v>1</v>
      </c>
      <c r="V149" s="20">
        <f>IF('1. Yixian'!X149="","",IF('1. Yixian'!X149='2. Nayoung'!X149,1,0))</f>
        <v>1</v>
      </c>
      <c r="W149" s="20">
        <f>IF('1. Yixian'!Y149="","",IF('1. Yixian'!Y149='2. Nayoung'!Y149,1,0))</f>
        <v>1</v>
      </c>
      <c r="X149" s="20">
        <f>IF('1. Yixian'!Z149="","",IF('1. Yixian'!Z149='2. Nayoung'!Z149,1,0))</f>
        <v>1</v>
      </c>
      <c r="Y149" s="20">
        <f>IF('1. Yixian'!AA149="","",IF('1. Yixian'!AA149='2. Nayoung'!AA149,1,0))</f>
        <v>1</v>
      </c>
      <c r="Z149" s="20">
        <f>IF('1. Yixian'!AB149="","",IF('1. Yixian'!AB149='2. Nayoung'!AB149,1,0))</f>
        <v>1</v>
      </c>
      <c r="AA149" s="20">
        <f>IF('1. Yixian'!AC149="","",IF('1. Yixian'!AC149='2. Nayoung'!AC149,1,0))</f>
        <v>1</v>
      </c>
      <c r="AB149" s="20">
        <f>IF(OR('2. Nayoung'!AD148="", '1. Yixian'!AD149 = ""),0,1)</f>
        <v>1</v>
      </c>
      <c r="AC149" s="20">
        <f>IF('1. Yixian'!AE149="","",IF('1. Yixian'!AE149='2. Nayoung'!AE149,1,0))</f>
        <v>1</v>
      </c>
      <c r="AD149" s="20">
        <f>IF(OR('2. Nayoung'!AF149="", '1. Yixian'!AF149 = ""),0,1)</f>
        <v>1</v>
      </c>
      <c r="AF149" s="20">
        <f>IF('1. Yixian'!AH149="","",IF('1. Yixian'!AH149='2. Nayoung'!AH149,1,0))</f>
        <v>1</v>
      </c>
      <c r="AG149" s="20">
        <f>IF('1. Yixian'!AI149="","",IF('1. Yixian'!AI149='2. Nayoung'!AI149,1,0))</f>
        <v>1</v>
      </c>
      <c r="AH149" s="20">
        <f>IF('1. Yixian'!AJ149="","",IF('1. Yixian'!AJ149='2. Nayoung'!AJ149,1,0))</f>
        <v>1</v>
      </c>
      <c r="AI149" s="20">
        <f>IF('1. Yixian'!AK149="","",IF('1. Yixian'!AK149='2. Nayoung'!AK149,1,0))</f>
        <v>1</v>
      </c>
      <c r="AJ149" s="20">
        <f>IF('1. Yixian'!AL149="","",IF('1. Yixian'!AL149='2. Nayoung'!AL149,1,0))</f>
        <v>1</v>
      </c>
      <c r="AK149" s="20">
        <f>IF('1. Yixian'!AM149="","",IF('1. Yixian'!AM149='2. Nayoung'!AM149,1,0))</f>
        <v>1</v>
      </c>
      <c r="AL149" s="20" t="str">
        <f>IF('1. Yixian'!AT149="","",IF('1. Yixian'!AT149='2. Nayoung'!AT149,1,0))</f>
        <v/>
      </c>
      <c r="AM149" s="20" t="str">
        <f>IF('1. Yixian'!AU149="","",IF('1. Yixian'!AU149='2. Nayoung'!AU149,1,0))</f>
        <v/>
      </c>
      <c r="AN149" s="2"/>
    </row>
    <row r="150" spans="1:40" s="20" customFormat="1" ht="17" hidden="1" customHeight="1">
      <c r="A150" s="20" t="str">
        <f>IF('1. Yixian'!A150="","",IF('1. Yixian'!A150='2. Nayoung'!A150,1,0))</f>
        <v/>
      </c>
      <c r="B150" s="20" t="str">
        <f>IF('1. Yixian'!B150="","",IF(RIGHT('1. Yixian'!B150,2)=RIGHT('2. Nayoung'!B150,2),1,0))</f>
        <v/>
      </c>
      <c r="C150" s="20" t="str">
        <f>IF('1. Yixian'!C150="","",IF('1. Yixian'!C150='2. Nayoung'!C150,1,0))</f>
        <v/>
      </c>
      <c r="E150" s="20" t="str">
        <f>IF('1. Yixian'!E150="","",IF('1. Yixian'!E150='2. Nayoung'!E150,1,0))</f>
        <v/>
      </c>
      <c r="F150" s="20" t="str">
        <f>IF('1. Yixian'!F150="","",IF('1. Yixian'!F150='2. Nayoung'!F150,1,0))</f>
        <v/>
      </c>
      <c r="G150" s="20" t="str">
        <f>IF('1. Yixian'!G150="","",IF('1. Yixian'!G150='2. Nayoung'!G150,1,0))</f>
        <v/>
      </c>
      <c r="H150" s="20">
        <f>IF('1. Yixian'!J150="","",IF(RIGHT('1. Yixian'!J150,3)=RIGHT('2. Nayoung'!J150,3),1,0))</f>
        <v>0</v>
      </c>
      <c r="I150" s="20">
        <f>IF(H150="","",IF(OR('2. Nayoung'!K150="", '1. Yixian'!K150 = ""),0,1))</f>
        <v>1</v>
      </c>
      <c r="J150" s="20">
        <f>IF('1. Yixian'!L150="","",IF('1. Yixian'!L150='2. Nayoung'!L150,1,0))</f>
        <v>1</v>
      </c>
      <c r="K150" s="20">
        <f>IF('1. Yixian'!M150="","",IF('1. Yixian'!M150='2. Nayoung'!M150,1,0))</f>
        <v>1</v>
      </c>
      <c r="L150" s="20">
        <f>IF('1. Yixian'!N150="","",IF('1. Yixian'!N150='2. Nayoung'!N150,1,0))</f>
        <v>1</v>
      </c>
      <c r="M150" s="20">
        <f>IF('1. Yixian'!O150="","",IF('1. Yixian'!O150='2. Nayoung'!O150,1,0))</f>
        <v>1</v>
      </c>
      <c r="N150" s="20">
        <f>IF('1. Yixian'!P150="","",IF('1. Yixian'!P150='2. Nayoung'!P150,1,0))</f>
        <v>1</v>
      </c>
      <c r="O150" s="20">
        <f>IF('1. Yixian'!Q150="","",IF('1. Yixian'!Q150='2. Nayoung'!Q150,1,0))</f>
        <v>1</v>
      </c>
      <c r="P150" s="20">
        <f>IF('1. Yixian'!R150="","",IF('1. Yixian'!R150='2. Nayoung'!R150,1,0))</f>
        <v>1</v>
      </c>
      <c r="Q150" s="20">
        <f>IF('1. Yixian'!S150="","",IF('1. Yixian'!S150='2. Nayoung'!S150,1,0))</f>
        <v>1</v>
      </c>
      <c r="R150" s="20">
        <f>IF('1. Yixian'!T150="","",IF('1. Yixian'!T150='2. Nayoung'!T150,1,0))</f>
        <v>1</v>
      </c>
      <c r="S150" s="20">
        <f>IF(R150="","",IF(OR('2. Nayoung'!U150="", '1. Yixian'!U150 = ""),0,1))</f>
        <v>1</v>
      </c>
      <c r="T150" s="20">
        <f>IF('1. Yixian'!V150="","",IF('1. Yixian'!V150='2. Nayoung'!V150,1,0))</f>
        <v>1</v>
      </c>
      <c r="U150" s="20">
        <f>IF('1. Yixian'!W150="","",IF('1. Yixian'!W150='2. Nayoung'!W150,1,0))</f>
        <v>1</v>
      </c>
      <c r="V150" s="20">
        <f>IF('1. Yixian'!X150="","",IF('1. Yixian'!X150='2. Nayoung'!X150,1,0))</f>
        <v>1</v>
      </c>
      <c r="W150" s="20">
        <f>IF('1. Yixian'!Y150="","",IF('1. Yixian'!Y150='2. Nayoung'!Y150,1,0))</f>
        <v>1</v>
      </c>
      <c r="X150" s="20">
        <f>IF('1. Yixian'!Z150="","",IF('1. Yixian'!Z150='2. Nayoung'!Z150,1,0))</f>
        <v>1</v>
      </c>
      <c r="Y150" s="20">
        <f>IF('1. Yixian'!AA150="","",IF('1. Yixian'!AA150='2. Nayoung'!AA150,1,0))</f>
        <v>1</v>
      </c>
      <c r="Z150" s="20">
        <f>IF('1. Yixian'!AB150="","",IF('1. Yixian'!AB150='2. Nayoung'!AB150,1,0))</f>
        <v>1</v>
      </c>
      <c r="AA150" s="20">
        <f>IF('1. Yixian'!AC150="","",IF('1. Yixian'!AC150='2. Nayoung'!AC150,1,0))</f>
        <v>1</v>
      </c>
      <c r="AB150" s="20">
        <f>IF(OR('2. Nayoung'!AD149="", '1. Yixian'!AD150 = ""),0,1)</f>
        <v>1</v>
      </c>
      <c r="AC150" s="20">
        <f>IF('1. Yixian'!AE150="","",IF('1. Yixian'!AE150='2. Nayoung'!AE150,1,0))</f>
        <v>1</v>
      </c>
      <c r="AD150" s="20">
        <f>IF(OR('2. Nayoung'!AF150="", '1. Yixian'!AF150 = ""),0,1)</f>
        <v>1</v>
      </c>
      <c r="AF150" s="20">
        <f>IF('1. Yixian'!AH150="","",IF('1. Yixian'!AH150='2. Nayoung'!AH150,1,0))</f>
        <v>1</v>
      </c>
      <c r="AG150" s="20">
        <f>IF('1. Yixian'!AI150="","",IF('1. Yixian'!AI150='2. Nayoung'!AI150,1,0))</f>
        <v>1</v>
      </c>
      <c r="AH150" s="20">
        <f>IF('1. Yixian'!AJ150="","",IF('1. Yixian'!AJ150='2. Nayoung'!AJ150,1,0))</f>
        <v>1</v>
      </c>
      <c r="AI150" s="20">
        <f>IF('1. Yixian'!AK150="","",IF('1. Yixian'!AK150='2. Nayoung'!AK150,1,0))</f>
        <v>1</v>
      </c>
      <c r="AJ150" s="20">
        <f>IF('1. Yixian'!AL150="","",IF('1. Yixian'!AL150='2. Nayoung'!AL150,1,0))</f>
        <v>1</v>
      </c>
      <c r="AK150" s="20">
        <f>IF('1. Yixian'!AM150="","",IF('1. Yixian'!AM150='2. Nayoung'!AM150,1,0))</f>
        <v>1</v>
      </c>
      <c r="AL150" s="20" t="str">
        <f>IF('1. Yixian'!AT150="","",IF('1. Yixian'!AT150='2. Nayoung'!AT150,1,0))</f>
        <v/>
      </c>
      <c r="AM150" s="20" t="str">
        <f>IF('1. Yixian'!AU150="","",IF('1. Yixian'!AU150='2. Nayoung'!AU150,1,0))</f>
        <v/>
      </c>
      <c r="AN150" s="2"/>
    </row>
    <row r="151" spans="1:40" s="20" customFormat="1" ht="17" hidden="1" customHeight="1">
      <c r="A151" s="20">
        <f>IF('1. Yixian'!A151="","",IF('1. Yixian'!A151='2. Nayoung'!A151,1,0))</f>
        <v>0</v>
      </c>
      <c r="B151" s="20">
        <f>IF('1. Yixian'!B151="","",IF(RIGHT('1. Yixian'!B151,2)=RIGHT('2. Nayoung'!B151,2),1,0))</f>
        <v>0</v>
      </c>
      <c r="C151" s="20">
        <f>IF('1. Yixian'!C151="","",IF('1. Yixian'!C151='2. Nayoung'!C151,1,0))</f>
        <v>0</v>
      </c>
      <c r="E151" s="20">
        <f>IF('1. Yixian'!E151="","",IF('1. Yixian'!E151='2. Nayoung'!E151,1,0))</f>
        <v>0</v>
      </c>
      <c r="F151" s="20">
        <f>IF('1. Yixian'!F151="","",IF('1. Yixian'!F151='2. Nayoung'!F151,1,0))</f>
        <v>0</v>
      </c>
      <c r="G151" s="20">
        <f>IF('1. Yixian'!G151="","",IF('1. Yixian'!G151='2. Nayoung'!G151,1,0))</f>
        <v>0</v>
      </c>
      <c r="H151" s="20">
        <f>IF('1. Yixian'!J151="","",IF(RIGHT('1. Yixian'!J151,3)=RIGHT('2. Nayoung'!J151,3),1,0))</f>
        <v>0</v>
      </c>
      <c r="I151" s="20">
        <f>IF(H151="","",IF(OR('2. Nayoung'!K151="", '1. Yixian'!K151 = ""),0,1))</f>
        <v>1</v>
      </c>
      <c r="J151" s="20">
        <f>IF('1. Yixian'!L151="","",IF('1. Yixian'!L151='2. Nayoung'!L151,1,0))</f>
        <v>1</v>
      </c>
      <c r="K151" s="20">
        <f>IF('1. Yixian'!M151="","",IF('1. Yixian'!M151='2. Nayoung'!M151,1,0))</f>
        <v>1</v>
      </c>
      <c r="L151" s="20">
        <f>IF('1. Yixian'!N151="","",IF('1. Yixian'!N151='2. Nayoung'!N151,1,0))</f>
        <v>1</v>
      </c>
      <c r="M151" s="20">
        <f>IF('1. Yixian'!O151="","",IF('1. Yixian'!O151='2. Nayoung'!O151,1,0))</f>
        <v>1</v>
      </c>
      <c r="N151" s="20">
        <f>IF('1. Yixian'!P151="","",IF('1. Yixian'!P151='2. Nayoung'!P151,1,0))</f>
        <v>1</v>
      </c>
      <c r="O151" s="20">
        <f>IF('1. Yixian'!Q151="","",IF('1. Yixian'!Q151='2. Nayoung'!Q151,1,0))</f>
        <v>1</v>
      </c>
      <c r="P151" s="20">
        <f>IF('1. Yixian'!R151="","",IF('1. Yixian'!R151='2. Nayoung'!R151,1,0))</f>
        <v>1</v>
      </c>
      <c r="Q151" s="20">
        <f>IF('1. Yixian'!S151="","",IF('1. Yixian'!S151='2. Nayoung'!S151,1,0))</f>
        <v>1</v>
      </c>
      <c r="R151" s="20">
        <f>IF('1. Yixian'!T151="","",IF('1. Yixian'!T151='2. Nayoung'!T151,1,0))</f>
        <v>1</v>
      </c>
      <c r="S151" s="20">
        <f>IF(R151="","",IF(OR('2. Nayoung'!U151="", '1. Yixian'!U151 = ""),0,1))</f>
        <v>1</v>
      </c>
      <c r="T151" s="20">
        <f>IF('1. Yixian'!V151="","",IF('1. Yixian'!V151='2. Nayoung'!V151,1,0))</f>
        <v>1</v>
      </c>
      <c r="U151" s="20">
        <f>IF('1. Yixian'!W151="","",IF('1. Yixian'!W151='2. Nayoung'!W151,1,0))</f>
        <v>1</v>
      </c>
      <c r="V151" s="20">
        <f>IF('1. Yixian'!X151="","",IF('1. Yixian'!X151='2. Nayoung'!X151,1,0))</f>
        <v>1</v>
      </c>
      <c r="W151" s="20">
        <f>IF('1. Yixian'!Y151="","",IF('1. Yixian'!Y151='2. Nayoung'!Y151,1,0))</f>
        <v>1</v>
      </c>
      <c r="X151" s="20">
        <f>IF('1. Yixian'!Z151="","",IF('1. Yixian'!Z151='2. Nayoung'!Z151,1,0))</f>
        <v>1</v>
      </c>
      <c r="Y151" s="20">
        <f>IF('1. Yixian'!AA151="","",IF('1. Yixian'!AA151='2. Nayoung'!AA151,1,0))</f>
        <v>1</v>
      </c>
      <c r="Z151" s="20">
        <f>IF('1. Yixian'!AB151="","",IF('1. Yixian'!AB151='2. Nayoung'!AB151,1,0))</f>
        <v>1</v>
      </c>
      <c r="AA151" s="20">
        <f>IF('1. Yixian'!AC151="","",IF('1. Yixian'!AC151='2. Nayoung'!AC151,1,0))</f>
        <v>1</v>
      </c>
      <c r="AB151" s="20">
        <f>IF(OR('2. Nayoung'!AD150="", '1. Yixian'!AD151 = ""),0,1)</f>
        <v>1</v>
      </c>
      <c r="AC151" s="20">
        <f>IF('1. Yixian'!AE151="","",IF('1. Yixian'!AE151='2. Nayoung'!AE151,1,0))</f>
        <v>1</v>
      </c>
      <c r="AD151" s="20">
        <f>IF(OR('2. Nayoung'!AF151="", '1. Yixian'!AF151 = ""),0,1)</f>
        <v>1</v>
      </c>
      <c r="AF151" s="20">
        <f>IF('1. Yixian'!AH151="","",IF('1. Yixian'!AH151='2. Nayoung'!AH151,1,0))</f>
        <v>1</v>
      </c>
      <c r="AG151" s="20">
        <f>IF('1. Yixian'!AI151="","",IF('1. Yixian'!AI151='2. Nayoung'!AI151,1,0))</f>
        <v>1</v>
      </c>
      <c r="AH151" s="20">
        <f>IF('1. Yixian'!AJ151="","",IF('1. Yixian'!AJ151='2. Nayoung'!AJ151,1,0))</f>
        <v>1</v>
      </c>
      <c r="AI151" s="20">
        <f>IF('1. Yixian'!AK151="","",IF('1. Yixian'!AK151='2. Nayoung'!AK151,1,0))</f>
        <v>1</v>
      </c>
      <c r="AJ151" s="20">
        <f>IF('1. Yixian'!AL151="","",IF('1. Yixian'!AL151='2. Nayoung'!AL151,1,0))</f>
        <v>1</v>
      </c>
      <c r="AK151" s="20">
        <f>IF('1. Yixian'!AM151="","",IF('1. Yixian'!AM151='2. Nayoung'!AM151,1,0))</f>
        <v>1</v>
      </c>
      <c r="AL151" s="20" t="str">
        <f>IF('1. Yixian'!AT151="","",IF('1. Yixian'!AT151='2. Nayoung'!AT151,1,0))</f>
        <v/>
      </c>
      <c r="AM151" s="20" t="str">
        <f>IF('1. Yixian'!AU151="","",IF('1. Yixian'!AU151='2. Nayoung'!AU151,1,0))</f>
        <v/>
      </c>
      <c r="AN151" s="2"/>
    </row>
    <row r="152" spans="1:40" s="20" customFormat="1" ht="17" hidden="1" customHeight="1">
      <c r="A152" s="20" t="str">
        <f>IF('1. Yixian'!A152="","",IF('1. Yixian'!A152='2. Nayoung'!A152,1,0))</f>
        <v/>
      </c>
      <c r="B152" s="20" t="str">
        <f>IF('1. Yixian'!B152="","",IF(RIGHT('1. Yixian'!B152,2)=RIGHT('2. Nayoung'!B152,2),1,0))</f>
        <v/>
      </c>
      <c r="C152" s="20" t="str">
        <f>IF('1. Yixian'!C152="","",IF('1. Yixian'!C152='2. Nayoung'!C152,1,0))</f>
        <v/>
      </c>
      <c r="E152" s="20" t="str">
        <f>IF('1. Yixian'!E152="","",IF('1. Yixian'!E152='2. Nayoung'!E152,1,0))</f>
        <v/>
      </c>
      <c r="F152" s="20" t="str">
        <f>IF('1. Yixian'!F152="","",IF('1. Yixian'!F152='2. Nayoung'!F152,1,0))</f>
        <v/>
      </c>
      <c r="G152" s="20" t="str">
        <f>IF('1. Yixian'!G152="","",IF('1. Yixian'!G152='2. Nayoung'!G152,1,0))</f>
        <v/>
      </c>
      <c r="H152" s="20">
        <f>IF('1. Yixian'!J152="","",IF(RIGHT('1. Yixian'!J152,3)=RIGHT('2. Nayoung'!J152,3),1,0))</f>
        <v>0</v>
      </c>
      <c r="I152" s="20">
        <f>IF(H152="","",IF(OR('2. Nayoung'!K152="", '1. Yixian'!K152 = ""),0,1))</f>
        <v>1</v>
      </c>
      <c r="J152" s="20">
        <f>IF('1. Yixian'!L152="","",IF('1. Yixian'!L152='2. Nayoung'!L152,1,0))</f>
        <v>1</v>
      </c>
      <c r="K152" s="20">
        <f>IF('1. Yixian'!M152="","",IF('1. Yixian'!M152='2. Nayoung'!M152,1,0))</f>
        <v>1</v>
      </c>
      <c r="L152" s="20">
        <f>IF('1. Yixian'!N152="","",IF('1. Yixian'!N152='2. Nayoung'!N152,1,0))</f>
        <v>1</v>
      </c>
      <c r="M152" s="20">
        <f>IF('1. Yixian'!O152="","",IF('1. Yixian'!O152='2. Nayoung'!O152,1,0))</f>
        <v>1</v>
      </c>
      <c r="N152" s="20">
        <f>IF('1. Yixian'!P152="","",IF('1. Yixian'!P152='2. Nayoung'!P152,1,0))</f>
        <v>1</v>
      </c>
      <c r="O152" s="20">
        <f>IF('1. Yixian'!Q152="","",IF('1. Yixian'!Q152='2. Nayoung'!Q152,1,0))</f>
        <v>1</v>
      </c>
      <c r="P152" s="20">
        <f>IF('1. Yixian'!R152="","",IF('1. Yixian'!R152='2. Nayoung'!R152,1,0))</f>
        <v>1</v>
      </c>
      <c r="Q152" s="20">
        <f>IF('1. Yixian'!S152="","",IF('1. Yixian'!S152='2. Nayoung'!S152,1,0))</f>
        <v>1</v>
      </c>
      <c r="R152" s="20">
        <f>IF('1. Yixian'!T152="","",IF('1. Yixian'!T152='2. Nayoung'!T152,1,0))</f>
        <v>1</v>
      </c>
      <c r="S152" s="20">
        <f>IF(R152="","",IF(OR('2. Nayoung'!U152="", '1. Yixian'!U152 = ""),0,1))</f>
        <v>1</v>
      </c>
      <c r="T152" s="20">
        <f>IF('1. Yixian'!V152="","",IF('1. Yixian'!V152='2. Nayoung'!V152,1,0))</f>
        <v>1</v>
      </c>
      <c r="U152" s="20">
        <f>IF('1. Yixian'!W152="","",IF('1. Yixian'!W152='2. Nayoung'!W152,1,0))</f>
        <v>1</v>
      </c>
      <c r="V152" s="20">
        <f>IF('1. Yixian'!X152="","",IF('1. Yixian'!X152='2. Nayoung'!X152,1,0))</f>
        <v>1</v>
      </c>
      <c r="W152" s="20">
        <f>IF('1. Yixian'!Y152="","",IF('1. Yixian'!Y152='2. Nayoung'!Y152,1,0))</f>
        <v>1</v>
      </c>
      <c r="X152" s="20">
        <f>IF('1. Yixian'!Z152="","",IF('1. Yixian'!Z152='2. Nayoung'!Z152,1,0))</f>
        <v>1</v>
      </c>
      <c r="Y152" s="20">
        <f>IF('1. Yixian'!AA152="","",IF('1. Yixian'!AA152='2. Nayoung'!AA152,1,0))</f>
        <v>1</v>
      </c>
      <c r="Z152" s="20">
        <f>IF('1. Yixian'!AB152="","",IF('1. Yixian'!AB152='2. Nayoung'!AB152,1,0))</f>
        <v>1</v>
      </c>
      <c r="AA152" s="20">
        <f>IF('1. Yixian'!AC152="","",IF('1. Yixian'!AC152='2. Nayoung'!AC152,1,0))</f>
        <v>1</v>
      </c>
      <c r="AB152" s="20">
        <f>IF(OR('2. Nayoung'!AD151="", '1. Yixian'!AD152 = ""),0,1)</f>
        <v>1</v>
      </c>
      <c r="AC152" s="20">
        <f>IF('1. Yixian'!AE152="","",IF('1. Yixian'!AE152='2. Nayoung'!AE152,1,0))</f>
        <v>1</v>
      </c>
      <c r="AD152" s="20">
        <f>IF(OR('2. Nayoung'!AF152="", '1. Yixian'!AF152 = ""),0,1)</f>
        <v>1</v>
      </c>
      <c r="AF152" s="20">
        <f>IF('1. Yixian'!AH152="","",IF('1. Yixian'!AH152='2. Nayoung'!AH152,1,0))</f>
        <v>1</v>
      </c>
      <c r="AG152" s="20">
        <f>IF('1. Yixian'!AI152="","",IF('1. Yixian'!AI152='2. Nayoung'!AI152,1,0))</f>
        <v>1</v>
      </c>
      <c r="AH152" s="20">
        <f>IF('1. Yixian'!AJ152="","",IF('1. Yixian'!AJ152='2. Nayoung'!AJ152,1,0))</f>
        <v>1</v>
      </c>
      <c r="AI152" s="20">
        <f>IF('1. Yixian'!AK152="","",IF('1. Yixian'!AK152='2. Nayoung'!AK152,1,0))</f>
        <v>1</v>
      </c>
      <c r="AJ152" s="20">
        <f>IF('1. Yixian'!AL152="","",IF('1. Yixian'!AL152='2. Nayoung'!AL152,1,0))</f>
        <v>1</v>
      </c>
      <c r="AK152" s="20">
        <f>IF('1. Yixian'!AM152="","",IF('1. Yixian'!AM152='2. Nayoung'!AM152,1,0))</f>
        <v>1</v>
      </c>
      <c r="AL152" s="20" t="str">
        <f>IF('1. Yixian'!AT152="","",IF('1. Yixian'!AT152='2. Nayoung'!AT152,1,0))</f>
        <v/>
      </c>
      <c r="AM152" s="20" t="str">
        <f>IF('1. Yixian'!AU152="","",IF('1. Yixian'!AU152='2. Nayoung'!AU152,1,0))</f>
        <v/>
      </c>
      <c r="AN152" s="2"/>
    </row>
    <row r="153" spans="1:40" s="20" customFormat="1" ht="17" hidden="1" customHeight="1">
      <c r="A153" s="20">
        <f>IF('1. Yixian'!A153="","",IF('1. Yixian'!A153='2. Nayoung'!A153,1,0))</f>
        <v>0</v>
      </c>
      <c r="B153" s="20">
        <f>IF('1. Yixian'!B153="","",IF(RIGHT('1. Yixian'!B153,2)=RIGHT('2. Nayoung'!B153,2),1,0))</f>
        <v>0</v>
      </c>
      <c r="C153" s="20">
        <f>IF('1. Yixian'!C153="","",IF('1. Yixian'!C153='2. Nayoung'!C153,1,0))</f>
        <v>0</v>
      </c>
      <c r="E153" s="20">
        <f>IF('1. Yixian'!E153="","",IF('1. Yixian'!E153='2. Nayoung'!E153,1,0))</f>
        <v>0</v>
      </c>
      <c r="F153" s="20">
        <f>IF('1. Yixian'!F153="","",IF('1. Yixian'!F153='2. Nayoung'!F153,1,0))</f>
        <v>0</v>
      </c>
      <c r="G153" s="20">
        <f>IF('1. Yixian'!G153="","",IF('1. Yixian'!G153='2. Nayoung'!G153,1,0))</f>
        <v>0</v>
      </c>
      <c r="H153" s="20">
        <f>IF('1. Yixian'!J153="","",IF(RIGHT('1. Yixian'!J153,3)=RIGHT('2. Nayoung'!J153,3),1,0))</f>
        <v>0</v>
      </c>
      <c r="I153" s="20">
        <f>IF(H153="","",IF(OR('2. Nayoung'!K153="", '1. Yixian'!K153 = ""),0,1))</f>
        <v>1</v>
      </c>
      <c r="J153" s="20">
        <f>IF('1. Yixian'!L153="","",IF('1. Yixian'!L153='2. Nayoung'!L153,1,0))</f>
        <v>1</v>
      </c>
      <c r="K153" s="20">
        <f>IF('1. Yixian'!M153="","",IF('1. Yixian'!M153='2. Nayoung'!M153,1,0))</f>
        <v>1</v>
      </c>
      <c r="L153" s="20">
        <f>IF('1. Yixian'!N153="","",IF('1. Yixian'!N153='2. Nayoung'!N153,1,0))</f>
        <v>1</v>
      </c>
      <c r="M153" s="20">
        <f>IF('1. Yixian'!O153="","",IF('1. Yixian'!O153='2. Nayoung'!O153,1,0))</f>
        <v>1</v>
      </c>
      <c r="N153" s="20">
        <f>IF('1. Yixian'!P153="","",IF('1. Yixian'!P153='2. Nayoung'!P153,1,0))</f>
        <v>1</v>
      </c>
      <c r="O153" s="20">
        <f>IF('1. Yixian'!Q153="","",IF('1. Yixian'!Q153='2. Nayoung'!Q153,1,0))</f>
        <v>1</v>
      </c>
      <c r="P153" s="20">
        <f>IF('1. Yixian'!R153="","",IF('1. Yixian'!R153='2. Nayoung'!R153,1,0))</f>
        <v>1</v>
      </c>
      <c r="Q153" s="20">
        <f>IF('1. Yixian'!S153="","",IF('1. Yixian'!S153='2. Nayoung'!S153,1,0))</f>
        <v>1</v>
      </c>
      <c r="R153" s="20">
        <f>IF('1. Yixian'!T153="","",IF('1. Yixian'!T153='2. Nayoung'!T153,1,0))</f>
        <v>1</v>
      </c>
      <c r="S153" s="20">
        <f>IF(R153="","",IF(OR('2. Nayoung'!U153="", '1. Yixian'!U153 = ""),0,1))</f>
        <v>1</v>
      </c>
      <c r="T153" s="20">
        <f>IF('1. Yixian'!V153="","",IF('1. Yixian'!V153='2. Nayoung'!V153,1,0))</f>
        <v>1</v>
      </c>
      <c r="U153" s="20">
        <f>IF('1. Yixian'!W153="","",IF('1. Yixian'!W153='2. Nayoung'!W153,1,0))</f>
        <v>1</v>
      </c>
      <c r="V153" s="20">
        <f>IF('1. Yixian'!X153="","",IF('1. Yixian'!X153='2. Nayoung'!X153,1,0))</f>
        <v>1</v>
      </c>
      <c r="W153" s="20">
        <f>IF('1. Yixian'!Y153="","",IF('1. Yixian'!Y153='2. Nayoung'!Y153,1,0))</f>
        <v>1</v>
      </c>
      <c r="X153" s="20">
        <f>IF('1. Yixian'!Z153="","",IF('1. Yixian'!Z153='2. Nayoung'!Z153,1,0))</f>
        <v>1</v>
      </c>
      <c r="Y153" s="20">
        <f>IF('1. Yixian'!AA153="","",IF('1. Yixian'!AA153='2. Nayoung'!AA153,1,0))</f>
        <v>1</v>
      </c>
      <c r="Z153" s="20">
        <f>IF('1. Yixian'!AB153="","",IF('1. Yixian'!AB153='2. Nayoung'!AB153,1,0))</f>
        <v>1</v>
      </c>
      <c r="AA153" s="20">
        <f>IF('1. Yixian'!AC153="","",IF('1. Yixian'!AC153='2. Nayoung'!AC153,1,0))</f>
        <v>1</v>
      </c>
      <c r="AB153" s="20">
        <f>IF(OR('2. Nayoung'!AD152="", '1. Yixian'!AD153 = ""),0,1)</f>
        <v>1</v>
      </c>
      <c r="AC153" s="20">
        <f>IF('1. Yixian'!AE153="","",IF('1. Yixian'!AE153='2. Nayoung'!AE153,1,0))</f>
        <v>1</v>
      </c>
      <c r="AD153" s="20">
        <f>IF(OR('2. Nayoung'!AF153="", '1. Yixian'!AF153 = ""),0,1)</f>
        <v>1</v>
      </c>
      <c r="AF153" s="20">
        <f>IF('1. Yixian'!AH153="","",IF('1. Yixian'!AH153='2. Nayoung'!AH153,1,0))</f>
        <v>1</v>
      </c>
      <c r="AG153" s="20">
        <f>IF('1. Yixian'!AI153="","",IF('1. Yixian'!AI153='2. Nayoung'!AI153,1,0))</f>
        <v>1</v>
      </c>
      <c r="AH153" s="20">
        <f>IF('1. Yixian'!AJ153="","",IF('1. Yixian'!AJ153='2. Nayoung'!AJ153,1,0))</f>
        <v>1</v>
      </c>
      <c r="AI153" s="20">
        <f>IF('1. Yixian'!AK153="","",IF('1. Yixian'!AK153='2. Nayoung'!AK153,1,0))</f>
        <v>1</v>
      </c>
      <c r="AJ153" s="20">
        <f>IF('1. Yixian'!AL153="","",IF('1. Yixian'!AL153='2. Nayoung'!AL153,1,0))</f>
        <v>1</v>
      </c>
      <c r="AK153" s="20">
        <f>IF('1. Yixian'!AM153="","",IF('1. Yixian'!AM153='2. Nayoung'!AM153,1,0))</f>
        <v>1</v>
      </c>
      <c r="AL153" s="20" t="str">
        <f>IF('1. Yixian'!AT153="","",IF('1. Yixian'!AT153='2. Nayoung'!AT153,1,0))</f>
        <v/>
      </c>
      <c r="AM153" s="20" t="str">
        <f>IF('1. Yixian'!AU153="","",IF('1. Yixian'!AU153='2. Nayoung'!AU153,1,0))</f>
        <v/>
      </c>
      <c r="AN153" s="2"/>
    </row>
    <row r="154" spans="1:40" s="20" customFormat="1" ht="17" hidden="1" customHeight="1">
      <c r="A154" s="20" t="str">
        <f>IF('1. Yixian'!A154="","",IF('1. Yixian'!A154='2. Nayoung'!A154,1,0))</f>
        <v/>
      </c>
      <c r="B154" s="20" t="str">
        <f>IF('1. Yixian'!B154="","",IF(RIGHT('1. Yixian'!B154,2)=RIGHT('2. Nayoung'!B154,2),1,0))</f>
        <v/>
      </c>
      <c r="C154" s="20" t="str">
        <f>IF('1. Yixian'!C154="","",IF('1. Yixian'!C154='2. Nayoung'!C154,1,0))</f>
        <v/>
      </c>
      <c r="E154" s="20" t="str">
        <f>IF('1. Yixian'!E154="","",IF('1. Yixian'!E154='2. Nayoung'!E154,1,0))</f>
        <v/>
      </c>
      <c r="F154" s="20" t="str">
        <f>IF('1. Yixian'!F154="","",IF('1. Yixian'!F154='2. Nayoung'!F154,1,0))</f>
        <v/>
      </c>
      <c r="G154" s="20" t="str">
        <f>IF('1. Yixian'!G154="","",IF('1. Yixian'!G154='2. Nayoung'!G154,1,0))</f>
        <v/>
      </c>
      <c r="H154" s="20">
        <f>IF('1. Yixian'!J154="","",IF(RIGHT('1. Yixian'!J154,3)=RIGHT('2. Nayoung'!J154,3),1,0))</f>
        <v>0</v>
      </c>
      <c r="I154" s="20">
        <f>IF(H154="","",IF(OR('2. Nayoung'!K154="", '1. Yixian'!K154 = ""),0,1))</f>
        <v>1</v>
      </c>
      <c r="J154" s="20">
        <f>IF('1. Yixian'!L154="","",IF('1. Yixian'!L154='2. Nayoung'!L154,1,0))</f>
        <v>1</v>
      </c>
      <c r="K154" s="20">
        <f>IF('1. Yixian'!M154="","",IF('1. Yixian'!M154='2. Nayoung'!M154,1,0))</f>
        <v>1</v>
      </c>
      <c r="L154" s="20">
        <f>IF('1. Yixian'!N154="","",IF('1. Yixian'!N154='2. Nayoung'!N154,1,0))</f>
        <v>1</v>
      </c>
      <c r="M154" s="20">
        <f>IF('1. Yixian'!O154="","",IF('1. Yixian'!O154='2. Nayoung'!O154,1,0))</f>
        <v>1</v>
      </c>
      <c r="N154" s="20">
        <f>IF('1. Yixian'!P154="","",IF('1. Yixian'!P154='2. Nayoung'!P154,1,0))</f>
        <v>1</v>
      </c>
      <c r="O154" s="20">
        <f>IF('1. Yixian'!Q154="","",IF('1. Yixian'!Q154='2. Nayoung'!Q154,1,0))</f>
        <v>1</v>
      </c>
      <c r="P154" s="20">
        <f>IF('1. Yixian'!R154="","",IF('1. Yixian'!R154='2. Nayoung'!R154,1,0))</f>
        <v>1</v>
      </c>
      <c r="Q154" s="20">
        <f>IF('1. Yixian'!S154="","",IF('1. Yixian'!S154='2. Nayoung'!S154,1,0))</f>
        <v>1</v>
      </c>
      <c r="R154" s="20">
        <f>IF('1. Yixian'!T154="","",IF('1. Yixian'!T154='2. Nayoung'!T154,1,0))</f>
        <v>1</v>
      </c>
      <c r="S154" s="20">
        <f>IF(R154="","",IF(OR('2. Nayoung'!U154="", '1. Yixian'!U154 = ""),0,1))</f>
        <v>1</v>
      </c>
      <c r="T154" s="20">
        <f>IF('1. Yixian'!V154="","",IF('1. Yixian'!V154='2. Nayoung'!V154,1,0))</f>
        <v>1</v>
      </c>
      <c r="U154" s="20">
        <f>IF('1. Yixian'!W154="","",IF('1. Yixian'!W154='2. Nayoung'!W154,1,0))</f>
        <v>1</v>
      </c>
      <c r="V154" s="20">
        <f>IF('1. Yixian'!X154="","",IF('1. Yixian'!X154='2. Nayoung'!X154,1,0))</f>
        <v>1</v>
      </c>
      <c r="W154" s="20">
        <f>IF('1. Yixian'!Y154="","",IF('1. Yixian'!Y154='2. Nayoung'!Y154,1,0))</f>
        <v>1</v>
      </c>
      <c r="X154" s="20">
        <f>IF('1. Yixian'!Z154="","",IF('1. Yixian'!Z154='2. Nayoung'!Z154,1,0))</f>
        <v>1</v>
      </c>
      <c r="Y154" s="20">
        <f>IF('1. Yixian'!AA154="","",IF('1. Yixian'!AA154='2. Nayoung'!AA154,1,0))</f>
        <v>1</v>
      </c>
      <c r="Z154" s="20">
        <f>IF('1. Yixian'!AB154="","",IF('1. Yixian'!AB154='2. Nayoung'!AB154,1,0))</f>
        <v>1</v>
      </c>
      <c r="AA154" s="20">
        <f>IF('1. Yixian'!AC154="","",IF('1. Yixian'!AC154='2. Nayoung'!AC154,1,0))</f>
        <v>1</v>
      </c>
      <c r="AB154" s="20">
        <f>IF(OR('2. Nayoung'!AD153="", '1. Yixian'!AD154 = ""),0,1)</f>
        <v>1</v>
      </c>
      <c r="AC154" s="20">
        <f>IF('1. Yixian'!AE154="","",IF('1. Yixian'!AE154='2. Nayoung'!AE154,1,0))</f>
        <v>1</v>
      </c>
      <c r="AD154" s="20">
        <f>IF(OR('2. Nayoung'!AF154="", '1. Yixian'!AF154 = ""),0,1)</f>
        <v>1</v>
      </c>
      <c r="AF154" s="20">
        <f>IF('1. Yixian'!AH154="","",IF('1. Yixian'!AH154='2. Nayoung'!AH154,1,0))</f>
        <v>1</v>
      </c>
      <c r="AG154" s="20">
        <f>IF('1. Yixian'!AI154="","",IF('1. Yixian'!AI154='2. Nayoung'!AI154,1,0))</f>
        <v>1</v>
      </c>
      <c r="AH154" s="20">
        <f>IF('1. Yixian'!AJ154="","",IF('1. Yixian'!AJ154='2. Nayoung'!AJ154,1,0))</f>
        <v>1</v>
      </c>
      <c r="AI154" s="20">
        <f>IF('1. Yixian'!AK154="","",IF('1. Yixian'!AK154='2. Nayoung'!AK154,1,0))</f>
        <v>1</v>
      </c>
      <c r="AJ154" s="20">
        <f>IF('1. Yixian'!AL154="","",IF('1. Yixian'!AL154='2. Nayoung'!AL154,1,0))</f>
        <v>1</v>
      </c>
      <c r="AK154" s="20">
        <f>IF('1. Yixian'!AM154="","",IF('1. Yixian'!AM154='2. Nayoung'!AM154,1,0))</f>
        <v>1</v>
      </c>
      <c r="AL154" s="20" t="str">
        <f>IF('1. Yixian'!AT154="","",IF('1. Yixian'!AT154='2. Nayoung'!AT154,1,0))</f>
        <v/>
      </c>
      <c r="AM154" s="20" t="str">
        <f>IF('1. Yixian'!AU154="","",IF('1. Yixian'!AU154='2. Nayoung'!AU154,1,0))</f>
        <v/>
      </c>
      <c r="AN154" s="2"/>
    </row>
    <row r="155" spans="1:40" s="20" customFormat="1" ht="17" hidden="1" customHeight="1">
      <c r="A155" s="20">
        <f>IF('1. Yixian'!A155="","",IF('1. Yixian'!A155='2. Nayoung'!A155,1,0))</f>
        <v>0</v>
      </c>
      <c r="B155" s="20">
        <f>IF('1. Yixian'!B155="","",IF(RIGHT('1. Yixian'!B155,2)=RIGHT('2. Nayoung'!B155,2),1,0))</f>
        <v>0</v>
      </c>
      <c r="C155" s="20">
        <f>IF('1. Yixian'!C155="","",IF('1. Yixian'!C155='2. Nayoung'!C155,1,0))</f>
        <v>0</v>
      </c>
      <c r="E155" s="20">
        <f>IF('1. Yixian'!E155="","",IF('1. Yixian'!E155='2. Nayoung'!E155,1,0))</f>
        <v>0</v>
      </c>
      <c r="F155" s="20">
        <f>IF('1. Yixian'!F155="","",IF('1. Yixian'!F155='2. Nayoung'!F155,1,0))</f>
        <v>0</v>
      </c>
      <c r="G155" s="20">
        <f>IF('1. Yixian'!G155="","",IF('1. Yixian'!G155='2. Nayoung'!G155,1,0))</f>
        <v>0</v>
      </c>
      <c r="H155" s="20">
        <f>IF('1. Yixian'!J155="","",IF(RIGHT('1. Yixian'!J155,3)=RIGHT('2. Nayoung'!J155,3),1,0))</f>
        <v>0</v>
      </c>
      <c r="I155" s="20">
        <f>IF(H155="","",IF(OR('2. Nayoung'!K155="", '1. Yixian'!K155 = ""),0,1))</f>
        <v>1</v>
      </c>
      <c r="J155" s="20">
        <f>IF('1. Yixian'!L155="","",IF('1. Yixian'!L155='2. Nayoung'!L155,1,0))</f>
        <v>1</v>
      </c>
      <c r="K155" s="20">
        <f>IF('1. Yixian'!M155="","",IF('1. Yixian'!M155='2. Nayoung'!M155,1,0))</f>
        <v>1</v>
      </c>
      <c r="L155" s="20">
        <f>IF('1. Yixian'!N155="","",IF('1. Yixian'!N155='2. Nayoung'!N155,1,0))</f>
        <v>1</v>
      </c>
      <c r="M155" s="20">
        <f>IF('1. Yixian'!O155="","",IF('1. Yixian'!O155='2. Nayoung'!O155,1,0))</f>
        <v>1</v>
      </c>
      <c r="N155" s="20">
        <f>IF('1. Yixian'!P155="","",IF('1. Yixian'!P155='2. Nayoung'!P155,1,0))</f>
        <v>1</v>
      </c>
      <c r="O155" s="20">
        <f>IF('1. Yixian'!Q155="","",IF('1. Yixian'!Q155='2. Nayoung'!Q155,1,0))</f>
        <v>1</v>
      </c>
      <c r="P155" s="20">
        <f>IF('1. Yixian'!R155="","",IF('1. Yixian'!R155='2. Nayoung'!R155,1,0))</f>
        <v>1</v>
      </c>
      <c r="Q155" s="20">
        <f>IF('1. Yixian'!S155="","",IF('1. Yixian'!S155='2. Nayoung'!S155,1,0))</f>
        <v>1</v>
      </c>
      <c r="R155" s="20">
        <f>IF('1. Yixian'!T155="","",IF('1. Yixian'!T155='2. Nayoung'!T155,1,0))</f>
        <v>1</v>
      </c>
      <c r="S155" s="20">
        <f>IF(R155="","",IF(OR('2. Nayoung'!U155="", '1. Yixian'!U155 = ""),0,1))</f>
        <v>1</v>
      </c>
      <c r="T155" s="20">
        <f>IF('1. Yixian'!V155="","",IF('1. Yixian'!V155='2. Nayoung'!V155,1,0))</f>
        <v>1</v>
      </c>
      <c r="U155" s="20">
        <f>IF('1. Yixian'!W155="","",IF('1. Yixian'!W155='2. Nayoung'!W155,1,0))</f>
        <v>1</v>
      </c>
      <c r="V155" s="20">
        <f>IF('1. Yixian'!X155="","",IF('1. Yixian'!X155='2. Nayoung'!X155,1,0))</f>
        <v>1</v>
      </c>
      <c r="W155" s="20">
        <f>IF('1. Yixian'!Y155="","",IF('1. Yixian'!Y155='2. Nayoung'!Y155,1,0))</f>
        <v>1</v>
      </c>
      <c r="X155" s="20">
        <f>IF('1. Yixian'!Z155="","",IF('1. Yixian'!Z155='2. Nayoung'!Z155,1,0))</f>
        <v>1</v>
      </c>
      <c r="Y155" s="20">
        <f>IF('1. Yixian'!AA155="","",IF('1. Yixian'!AA155='2. Nayoung'!AA155,1,0))</f>
        <v>1</v>
      </c>
      <c r="Z155" s="20">
        <f>IF('1. Yixian'!AB155="","",IF('1. Yixian'!AB155='2. Nayoung'!AB155,1,0))</f>
        <v>1</v>
      </c>
      <c r="AA155" s="20">
        <f>IF('1. Yixian'!AC155="","",IF('1. Yixian'!AC155='2. Nayoung'!AC155,1,0))</f>
        <v>1</v>
      </c>
      <c r="AB155" s="20">
        <f>IF(OR('2. Nayoung'!AD154="", '1. Yixian'!AD155 = ""),0,1)</f>
        <v>1</v>
      </c>
      <c r="AC155" s="20">
        <f>IF('1. Yixian'!AE155="","",IF('1. Yixian'!AE155='2. Nayoung'!AE155,1,0))</f>
        <v>1</v>
      </c>
      <c r="AD155" s="20">
        <f>IF(OR('2. Nayoung'!AF155="", '1. Yixian'!AF155 = ""),0,1)</f>
        <v>1</v>
      </c>
      <c r="AF155" s="20">
        <f>IF('1. Yixian'!AH155="","",IF('1. Yixian'!AH155='2. Nayoung'!AH155,1,0))</f>
        <v>1</v>
      </c>
      <c r="AG155" s="20">
        <f>IF('1. Yixian'!AI155="","",IF('1. Yixian'!AI155='2. Nayoung'!AI155,1,0))</f>
        <v>1</v>
      </c>
      <c r="AH155" s="20">
        <f>IF('1. Yixian'!AJ155="","",IF('1. Yixian'!AJ155='2. Nayoung'!AJ155,1,0))</f>
        <v>1</v>
      </c>
      <c r="AI155" s="20">
        <f>IF('1. Yixian'!AK155="","",IF('1. Yixian'!AK155='2. Nayoung'!AK155,1,0))</f>
        <v>1</v>
      </c>
      <c r="AJ155" s="20">
        <f>IF('1. Yixian'!AL155="","",IF('1. Yixian'!AL155='2. Nayoung'!AL155,1,0))</f>
        <v>1</v>
      </c>
      <c r="AK155" s="20">
        <f>IF('1. Yixian'!AM155="","",IF('1. Yixian'!AM155='2. Nayoung'!AM155,1,0))</f>
        <v>1</v>
      </c>
      <c r="AL155" s="20" t="str">
        <f>IF('1. Yixian'!AT155="","",IF('1. Yixian'!AT155='2. Nayoung'!AT155,1,0))</f>
        <v/>
      </c>
      <c r="AM155" s="20" t="str">
        <f>IF('1. Yixian'!AU155="","",IF('1. Yixian'!AU155='2. Nayoung'!AU155,1,0))</f>
        <v/>
      </c>
      <c r="AN155" s="2"/>
    </row>
    <row r="156" spans="1:40" s="20" customFormat="1" ht="17" hidden="1" customHeight="1">
      <c r="A156" s="20" t="str">
        <f>IF('1. Yixian'!A156="","",IF('1. Yixian'!A156='2. Nayoung'!A156,1,0))</f>
        <v/>
      </c>
      <c r="B156" s="20" t="str">
        <f>IF('1. Yixian'!B156="","",IF(RIGHT('1. Yixian'!B156,2)=RIGHT('2. Nayoung'!B156,2),1,0))</f>
        <v/>
      </c>
      <c r="C156" s="20" t="str">
        <f>IF('1. Yixian'!C156="","",IF('1. Yixian'!C156='2. Nayoung'!C156,1,0))</f>
        <v/>
      </c>
      <c r="E156" s="20" t="str">
        <f>IF('1. Yixian'!E156="","",IF('1. Yixian'!E156='2. Nayoung'!E156,1,0))</f>
        <v/>
      </c>
      <c r="F156" s="20" t="str">
        <f>IF('1. Yixian'!F156="","",IF('1. Yixian'!F156='2. Nayoung'!F156,1,0))</f>
        <v/>
      </c>
      <c r="G156" s="20" t="str">
        <f>IF('1. Yixian'!G156="","",IF('1. Yixian'!G156='2. Nayoung'!G156,1,0))</f>
        <v/>
      </c>
      <c r="H156" s="20">
        <f>IF('1. Yixian'!J156="","",IF(RIGHT('1. Yixian'!J156,3)=RIGHT('2. Nayoung'!J156,3),1,0))</f>
        <v>0</v>
      </c>
      <c r="I156" s="20">
        <f>IF(H156="","",IF(OR('2. Nayoung'!K156="", '1. Yixian'!K156 = ""),0,1))</f>
        <v>1</v>
      </c>
      <c r="J156" s="20">
        <f>IF('1. Yixian'!L156="","",IF('1. Yixian'!L156='2. Nayoung'!L156,1,0))</f>
        <v>1</v>
      </c>
      <c r="K156" s="20">
        <f>IF('1. Yixian'!M156="","",IF('1. Yixian'!M156='2. Nayoung'!M156,1,0))</f>
        <v>1</v>
      </c>
      <c r="L156" s="20">
        <f>IF('1. Yixian'!N156="","",IF('1. Yixian'!N156='2. Nayoung'!N156,1,0))</f>
        <v>1</v>
      </c>
      <c r="M156" s="20">
        <f>IF('1. Yixian'!O156="","",IF('1. Yixian'!O156='2. Nayoung'!O156,1,0))</f>
        <v>1</v>
      </c>
      <c r="N156" s="20">
        <f>IF('1. Yixian'!P156="","",IF('1. Yixian'!P156='2. Nayoung'!P156,1,0))</f>
        <v>1</v>
      </c>
      <c r="O156" s="20">
        <f>IF('1. Yixian'!Q156="","",IF('1. Yixian'!Q156='2. Nayoung'!Q156,1,0))</f>
        <v>1</v>
      </c>
      <c r="P156" s="20">
        <f>IF('1. Yixian'!R156="","",IF('1. Yixian'!R156='2. Nayoung'!R156,1,0))</f>
        <v>1</v>
      </c>
      <c r="Q156" s="20">
        <f>IF('1. Yixian'!S156="","",IF('1. Yixian'!S156='2. Nayoung'!S156,1,0))</f>
        <v>1</v>
      </c>
      <c r="R156" s="20">
        <f>IF('1. Yixian'!T156="","",IF('1. Yixian'!T156='2. Nayoung'!T156,1,0))</f>
        <v>1</v>
      </c>
      <c r="S156" s="20">
        <f>IF(R156="","",IF(OR('2. Nayoung'!U156="", '1. Yixian'!U156 = ""),0,1))</f>
        <v>1</v>
      </c>
      <c r="T156" s="20">
        <f>IF('1. Yixian'!V156="","",IF('1. Yixian'!V156='2. Nayoung'!V156,1,0))</f>
        <v>1</v>
      </c>
      <c r="U156" s="20">
        <f>IF('1. Yixian'!W156="","",IF('1. Yixian'!W156='2. Nayoung'!W156,1,0))</f>
        <v>1</v>
      </c>
      <c r="V156" s="20">
        <f>IF('1. Yixian'!X156="","",IF('1. Yixian'!X156='2. Nayoung'!X156,1,0))</f>
        <v>1</v>
      </c>
      <c r="W156" s="20">
        <f>IF('1. Yixian'!Y156="","",IF('1. Yixian'!Y156='2. Nayoung'!Y156,1,0))</f>
        <v>1</v>
      </c>
      <c r="X156" s="20">
        <f>IF('1. Yixian'!Z156="","",IF('1. Yixian'!Z156='2. Nayoung'!Z156,1,0))</f>
        <v>1</v>
      </c>
      <c r="Y156" s="20">
        <f>IF('1. Yixian'!AA156="","",IF('1. Yixian'!AA156='2. Nayoung'!AA156,1,0))</f>
        <v>1</v>
      </c>
      <c r="Z156" s="20">
        <f>IF('1. Yixian'!AB156="","",IF('1. Yixian'!AB156='2. Nayoung'!AB156,1,0))</f>
        <v>1</v>
      </c>
      <c r="AA156" s="20">
        <f>IF('1. Yixian'!AC156="","",IF('1. Yixian'!AC156='2. Nayoung'!AC156,1,0))</f>
        <v>1</v>
      </c>
      <c r="AB156" s="20">
        <f>IF(OR('2. Nayoung'!AD155="", '1. Yixian'!AD156 = ""),0,1)</f>
        <v>1</v>
      </c>
      <c r="AC156" s="20">
        <f>IF('1. Yixian'!AE156="","",IF('1. Yixian'!AE156='2. Nayoung'!AE156,1,0))</f>
        <v>1</v>
      </c>
      <c r="AD156" s="20">
        <f>IF(OR('2. Nayoung'!AF156="", '1. Yixian'!AF156 = ""),0,1)</f>
        <v>1</v>
      </c>
      <c r="AF156" s="20">
        <f>IF('1. Yixian'!AH156="","",IF('1. Yixian'!AH156='2. Nayoung'!AH156,1,0))</f>
        <v>1</v>
      </c>
      <c r="AG156" s="20">
        <f>IF('1. Yixian'!AI156="","",IF('1. Yixian'!AI156='2. Nayoung'!AI156,1,0))</f>
        <v>1</v>
      </c>
      <c r="AH156" s="20">
        <f>IF('1. Yixian'!AJ156="","",IF('1. Yixian'!AJ156='2. Nayoung'!AJ156,1,0))</f>
        <v>1</v>
      </c>
      <c r="AI156" s="20">
        <f>IF('1. Yixian'!AK156="","",IF('1. Yixian'!AK156='2. Nayoung'!AK156,1,0))</f>
        <v>1</v>
      </c>
      <c r="AJ156" s="20">
        <f>IF('1. Yixian'!AL156="","",IF('1. Yixian'!AL156='2. Nayoung'!AL156,1,0))</f>
        <v>1</v>
      </c>
      <c r="AK156" s="20">
        <f>IF('1. Yixian'!AM156="","",IF('1. Yixian'!AM156='2. Nayoung'!AM156,1,0))</f>
        <v>1</v>
      </c>
      <c r="AL156" s="20" t="str">
        <f>IF('1. Yixian'!AT156="","",IF('1. Yixian'!AT156='2. Nayoung'!AT156,1,0))</f>
        <v/>
      </c>
      <c r="AM156" s="20" t="str">
        <f>IF('1. Yixian'!AU156="","",IF('1. Yixian'!AU156='2. Nayoung'!AU156,1,0))</f>
        <v/>
      </c>
      <c r="AN156" s="2"/>
    </row>
    <row r="157" spans="1:40" s="20" customFormat="1" ht="17" hidden="1" customHeight="1">
      <c r="A157" s="20">
        <f>IF('1. Yixian'!A157="","",IF('1. Yixian'!A157='2. Nayoung'!A157,1,0))</f>
        <v>0</v>
      </c>
      <c r="B157" s="20">
        <f>IF('1. Yixian'!B157="","",IF(RIGHT('1. Yixian'!B157,2)=RIGHT('2. Nayoung'!B157,2),1,0))</f>
        <v>0</v>
      </c>
      <c r="C157" s="20">
        <f>IF('1. Yixian'!C157="","",IF('1. Yixian'!C157='2. Nayoung'!C157,1,0))</f>
        <v>0</v>
      </c>
      <c r="E157" s="20">
        <f>IF('1. Yixian'!E157="","",IF('1. Yixian'!E157='2. Nayoung'!E157,1,0))</f>
        <v>0</v>
      </c>
      <c r="F157" s="20">
        <f>IF('1. Yixian'!F157="","",IF('1. Yixian'!F157='2. Nayoung'!F157,1,0))</f>
        <v>0</v>
      </c>
      <c r="G157" s="20">
        <f>IF('1. Yixian'!G157="","",IF('1. Yixian'!G157='2. Nayoung'!G157,1,0))</f>
        <v>0</v>
      </c>
      <c r="H157" s="20">
        <f>IF('1. Yixian'!J157="","",IF(RIGHT('1. Yixian'!J157,3)=RIGHT('2. Nayoung'!J157,3),1,0))</f>
        <v>0</v>
      </c>
      <c r="I157" s="20">
        <f>IF(H157="","",IF(OR('2. Nayoung'!K157="", '1. Yixian'!K157 = ""),0,1))</f>
        <v>1</v>
      </c>
      <c r="J157" s="20">
        <f>IF('1. Yixian'!L157="","",IF('1. Yixian'!L157='2. Nayoung'!L157,1,0))</f>
        <v>1</v>
      </c>
      <c r="K157" s="20">
        <f>IF('1. Yixian'!M157="","",IF('1. Yixian'!M157='2. Nayoung'!M157,1,0))</f>
        <v>1</v>
      </c>
      <c r="L157" s="20">
        <f>IF('1. Yixian'!N157="","",IF('1. Yixian'!N157='2. Nayoung'!N157,1,0))</f>
        <v>1</v>
      </c>
      <c r="M157" s="20">
        <f>IF('1. Yixian'!O157="","",IF('1. Yixian'!O157='2. Nayoung'!O157,1,0))</f>
        <v>1</v>
      </c>
      <c r="N157" s="20">
        <f>IF('1. Yixian'!P157="","",IF('1. Yixian'!P157='2. Nayoung'!P157,1,0))</f>
        <v>1</v>
      </c>
      <c r="O157" s="20">
        <f>IF('1. Yixian'!Q157="","",IF('1. Yixian'!Q157='2. Nayoung'!Q157,1,0))</f>
        <v>1</v>
      </c>
      <c r="P157" s="20">
        <f>IF('1. Yixian'!R157="","",IF('1. Yixian'!R157='2. Nayoung'!R157,1,0))</f>
        <v>1</v>
      </c>
      <c r="Q157" s="20">
        <f>IF('1. Yixian'!S157="","",IF('1. Yixian'!S157='2. Nayoung'!S157,1,0))</f>
        <v>1</v>
      </c>
      <c r="R157" s="20">
        <f>IF('1. Yixian'!T157="","",IF('1. Yixian'!T157='2. Nayoung'!T157,1,0))</f>
        <v>1</v>
      </c>
      <c r="S157" s="20">
        <f>IF(R157="","",IF(OR('2. Nayoung'!U157="", '1. Yixian'!U157 = ""),0,1))</f>
        <v>1</v>
      </c>
      <c r="T157" s="20">
        <f>IF('1. Yixian'!V157="","",IF('1. Yixian'!V157='2. Nayoung'!V157,1,0))</f>
        <v>1</v>
      </c>
      <c r="U157" s="20">
        <f>IF('1. Yixian'!W157="","",IF('1. Yixian'!W157='2. Nayoung'!W157,1,0))</f>
        <v>1</v>
      </c>
      <c r="V157" s="20">
        <f>IF('1. Yixian'!X157="","",IF('1. Yixian'!X157='2. Nayoung'!X157,1,0))</f>
        <v>1</v>
      </c>
      <c r="W157" s="20">
        <f>IF('1. Yixian'!Y157="","",IF('1. Yixian'!Y157='2. Nayoung'!Y157,1,0))</f>
        <v>1</v>
      </c>
      <c r="X157" s="20">
        <f>IF('1. Yixian'!Z157="","",IF('1. Yixian'!Z157='2. Nayoung'!Z157,1,0))</f>
        <v>1</v>
      </c>
      <c r="Y157" s="20">
        <f>IF('1. Yixian'!AA157="","",IF('1. Yixian'!AA157='2. Nayoung'!AA157,1,0))</f>
        <v>1</v>
      </c>
      <c r="Z157" s="20">
        <f>IF('1. Yixian'!AB157="","",IF('1. Yixian'!AB157='2. Nayoung'!AB157,1,0))</f>
        <v>1</v>
      </c>
      <c r="AA157" s="20">
        <f>IF('1. Yixian'!AC157="","",IF('1. Yixian'!AC157='2. Nayoung'!AC157,1,0))</f>
        <v>1</v>
      </c>
      <c r="AB157" s="20">
        <f>IF(OR('2. Nayoung'!AD156="", '1. Yixian'!AD157 = ""),0,1)</f>
        <v>1</v>
      </c>
      <c r="AC157" s="20">
        <f>IF('1. Yixian'!AE157="","",IF('1. Yixian'!AE157='2. Nayoung'!AE157,1,0))</f>
        <v>1</v>
      </c>
      <c r="AD157" s="20">
        <f>IF(OR('2. Nayoung'!AF157="", '1. Yixian'!AF157 = ""),0,1)</f>
        <v>1</v>
      </c>
      <c r="AF157" s="20">
        <f>IF('1. Yixian'!AH157="","",IF('1. Yixian'!AH157='2. Nayoung'!AH157,1,0))</f>
        <v>1</v>
      </c>
      <c r="AG157" s="20">
        <f>IF('1. Yixian'!AI157="","",IF('1. Yixian'!AI157='2. Nayoung'!AI157,1,0))</f>
        <v>1</v>
      </c>
      <c r="AH157" s="20">
        <f>IF('1. Yixian'!AJ157="","",IF('1. Yixian'!AJ157='2. Nayoung'!AJ157,1,0))</f>
        <v>1</v>
      </c>
      <c r="AI157" s="20">
        <f>IF('1. Yixian'!AK157="","",IF('1. Yixian'!AK157='2. Nayoung'!AK157,1,0))</f>
        <v>1</v>
      </c>
      <c r="AJ157" s="20">
        <f>IF('1. Yixian'!AL157="","",IF('1. Yixian'!AL157='2. Nayoung'!AL157,1,0))</f>
        <v>1</v>
      </c>
      <c r="AK157" s="20">
        <f>IF('1. Yixian'!AM157="","",IF('1. Yixian'!AM157='2. Nayoung'!AM157,1,0))</f>
        <v>1</v>
      </c>
      <c r="AL157" s="20" t="str">
        <f>IF('1. Yixian'!AT157="","",IF('1. Yixian'!AT157='2. Nayoung'!AT157,1,0))</f>
        <v/>
      </c>
      <c r="AM157" s="20" t="str">
        <f>IF('1. Yixian'!AU157="","",IF('1. Yixian'!AU157='2. Nayoung'!AU157,1,0))</f>
        <v/>
      </c>
      <c r="AN157" s="2"/>
    </row>
    <row r="158" spans="1:40" s="20" customFormat="1" ht="17" hidden="1" customHeight="1">
      <c r="A158" s="20" t="str">
        <f>IF('1. Yixian'!A158="","",IF('1. Yixian'!A158='2. Nayoung'!A158,1,0))</f>
        <v/>
      </c>
      <c r="B158" s="20" t="str">
        <f>IF('1. Yixian'!B158="","",IF(RIGHT('1. Yixian'!B158,2)=RIGHT('2. Nayoung'!B158,2),1,0))</f>
        <v/>
      </c>
      <c r="C158" s="20" t="str">
        <f>IF('1. Yixian'!C158="","",IF('1. Yixian'!C158='2. Nayoung'!C158,1,0))</f>
        <v/>
      </c>
      <c r="E158" s="20" t="str">
        <f>IF('1. Yixian'!E158="","",IF('1. Yixian'!E158='2. Nayoung'!E158,1,0))</f>
        <v/>
      </c>
      <c r="F158" s="20" t="str">
        <f>IF('1. Yixian'!F158="","",IF('1. Yixian'!F158='2. Nayoung'!F158,1,0))</f>
        <v/>
      </c>
      <c r="G158" s="20" t="str">
        <f>IF('1. Yixian'!G158="","",IF('1. Yixian'!G158='2. Nayoung'!G158,1,0))</f>
        <v/>
      </c>
      <c r="H158" s="20">
        <f>IF('1. Yixian'!J158="","",IF(RIGHT('1. Yixian'!J158,3)=RIGHT('2. Nayoung'!J158,3),1,0))</f>
        <v>0</v>
      </c>
      <c r="I158" s="20">
        <f>IF(H158="","",IF(OR('2. Nayoung'!K158="", '1. Yixian'!K158 = ""),0,1))</f>
        <v>1</v>
      </c>
      <c r="J158" s="20">
        <f>IF('1. Yixian'!L158="","",IF('1. Yixian'!L158='2. Nayoung'!L158,1,0))</f>
        <v>1</v>
      </c>
      <c r="K158" s="20">
        <f>IF('1. Yixian'!M158="","",IF('1. Yixian'!M158='2. Nayoung'!M158,1,0))</f>
        <v>1</v>
      </c>
      <c r="L158" s="20">
        <f>IF('1. Yixian'!N158="","",IF('1. Yixian'!N158='2. Nayoung'!N158,1,0))</f>
        <v>1</v>
      </c>
      <c r="M158" s="20">
        <f>IF('1. Yixian'!O158="","",IF('1. Yixian'!O158='2. Nayoung'!O158,1,0))</f>
        <v>1</v>
      </c>
      <c r="N158" s="20">
        <f>IF('1. Yixian'!P158="","",IF('1. Yixian'!P158='2. Nayoung'!P158,1,0))</f>
        <v>1</v>
      </c>
      <c r="O158" s="20">
        <f>IF('1. Yixian'!Q158="","",IF('1. Yixian'!Q158='2. Nayoung'!Q158,1,0))</f>
        <v>1</v>
      </c>
      <c r="P158" s="20">
        <f>IF('1. Yixian'!R158="","",IF('1. Yixian'!R158='2. Nayoung'!R158,1,0))</f>
        <v>1</v>
      </c>
      <c r="Q158" s="20">
        <f>IF('1. Yixian'!S158="","",IF('1. Yixian'!S158='2. Nayoung'!S158,1,0))</f>
        <v>1</v>
      </c>
      <c r="R158" s="20">
        <f>IF('1. Yixian'!T158="","",IF('1. Yixian'!T158='2. Nayoung'!T158,1,0))</f>
        <v>1</v>
      </c>
      <c r="S158" s="20">
        <f>IF(R158="","",IF(OR('2. Nayoung'!U158="", '1. Yixian'!U158 = ""),0,1))</f>
        <v>1</v>
      </c>
      <c r="T158" s="20">
        <f>IF('1. Yixian'!V158="","",IF('1. Yixian'!V158='2. Nayoung'!V158,1,0))</f>
        <v>1</v>
      </c>
      <c r="U158" s="20">
        <f>IF('1. Yixian'!W158="","",IF('1. Yixian'!W158='2. Nayoung'!W158,1,0))</f>
        <v>1</v>
      </c>
      <c r="V158" s="20">
        <f>IF('1. Yixian'!X158="","",IF('1. Yixian'!X158='2. Nayoung'!X158,1,0))</f>
        <v>1</v>
      </c>
      <c r="W158" s="20">
        <f>IF('1. Yixian'!Y158="","",IF('1. Yixian'!Y158='2. Nayoung'!Y158,1,0))</f>
        <v>1</v>
      </c>
      <c r="X158" s="20">
        <f>IF('1. Yixian'!Z158="","",IF('1. Yixian'!Z158='2. Nayoung'!Z158,1,0))</f>
        <v>1</v>
      </c>
      <c r="Y158" s="20">
        <f>IF('1. Yixian'!AA158="","",IF('1. Yixian'!AA158='2. Nayoung'!AA158,1,0))</f>
        <v>1</v>
      </c>
      <c r="Z158" s="20">
        <f>IF('1. Yixian'!AB158="","",IF('1. Yixian'!AB158='2. Nayoung'!AB158,1,0))</f>
        <v>1</v>
      </c>
      <c r="AA158" s="20">
        <f>IF('1. Yixian'!AC158="","",IF('1. Yixian'!AC158='2. Nayoung'!AC158,1,0))</f>
        <v>1</v>
      </c>
      <c r="AB158" s="20">
        <f>IF(OR('2. Nayoung'!AD157="", '1. Yixian'!AD158 = ""),0,1)</f>
        <v>1</v>
      </c>
      <c r="AC158" s="20">
        <f>IF('1. Yixian'!AE158="","",IF('1. Yixian'!AE158='2. Nayoung'!AE158,1,0))</f>
        <v>1</v>
      </c>
      <c r="AD158" s="20">
        <f>IF(OR('2. Nayoung'!AF158="", '1. Yixian'!AF158 = ""),0,1)</f>
        <v>1</v>
      </c>
      <c r="AF158" s="20">
        <f>IF('1. Yixian'!AH158="","",IF('1. Yixian'!AH158='2. Nayoung'!AH158,1,0))</f>
        <v>1</v>
      </c>
      <c r="AG158" s="20">
        <f>IF('1. Yixian'!AI158="","",IF('1. Yixian'!AI158='2. Nayoung'!AI158,1,0))</f>
        <v>1</v>
      </c>
      <c r="AH158" s="20">
        <f>IF('1. Yixian'!AJ158="","",IF('1. Yixian'!AJ158='2. Nayoung'!AJ158,1,0))</f>
        <v>1</v>
      </c>
      <c r="AI158" s="20">
        <f>IF('1. Yixian'!AK158="","",IF('1. Yixian'!AK158='2. Nayoung'!AK158,1,0))</f>
        <v>1</v>
      </c>
      <c r="AJ158" s="20">
        <f>IF('1. Yixian'!AL158="","",IF('1. Yixian'!AL158='2. Nayoung'!AL158,1,0))</f>
        <v>1</v>
      </c>
      <c r="AK158" s="20">
        <f>IF('1. Yixian'!AM158="","",IF('1. Yixian'!AM158='2. Nayoung'!AM158,1,0))</f>
        <v>1</v>
      </c>
      <c r="AL158" s="20" t="str">
        <f>IF('1. Yixian'!AT158="","",IF('1. Yixian'!AT158='2. Nayoung'!AT158,1,0))</f>
        <v/>
      </c>
      <c r="AM158" s="20" t="str">
        <f>IF('1. Yixian'!AU158="","",IF('1. Yixian'!AU158='2. Nayoung'!AU158,1,0))</f>
        <v/>
      </c>
      <c r="AN158" s="2"/>
    </row>
    <row r="159" spans="1:40" s="20" customFormat="1" ht="17" hidden="1" customHeight="1">
      <c r="A159" s="20">
        <f>IF('1. Yixian'!A159="","",IF('1. Yixian'!A159='2. Nayoung'!A159,1,0))</f>
        <v>0</v>
      </c>
      <c r="B159" s="20">
        <f>IF('1. Yixian'!B159="","",IF(RIGHT('1. Yixian'!B159,2)=RIGHT('2. Nayoung'!B159,2),1,0))</f>
        <v>0</v>
      </c>
      <c r="C159" s="20">
        <f>IF('1. Yixian'!C159="","",IF('1. Yixian'!C159='2. Nayoung'!C159,1,0))</f>
        <v>0</v>
      </c>
      <c r="E159" s="20">
        <f>IF('1. Yixian'!E159="","",IF('1. Yixian'!E159='2. Nayoung'!E159,1,0))</f>
        <v>0</v>
      </c>
      <c r="F159" s="20">
        <f>IF('1. Yixian'!F159="","",IF('1. Yixian'!F159='2. Nayoung'!F159,1,0))</f>
        <v>0</v>
      </c>
      <c r="G159" s="20">
        <f>IF('1. Yixian'!G159="","",IF('1. Yixian'!G159='2. Nayoung'!G159,1,0))</f>
        <v>0</v>
      </c>
      <c r="H159" s="20">
        <f>IF('1. Yixian'!J159="","",IF(RIGHT('1. Yixian'!J159,3)=RIGHT('2. Nayoung'!J159,3),1,0))</f>
        <v>0</v>
      </c>
      <c r="I159" s="20">
        <f>IF(H159="","",IF(OR('2. Nayoung'!K159="", '1. Yixian'!K159 = ""),0,1))</f>
        <v>1</v>
      </c>
      <c r="J159" s="20">
        <f>IF('1. Yixian'!L159="","",IF('1. Yixian'!L159='2. Nayoung'!L159,1,0))</f>
        <v>1</v>
      </c>
      <c r="K159" s="20">
        <f>IF('1. Yixian'!M159="","",IF('1. Yixian'!M159='2. Nayoung'!M159,1,0))</f>
        <v>1</v>
      </c>
      <c r="L159" s="20">
        <f>IF('1. Yixian'!N159="","",IF('1. Yixian'!N159='2. Nayoung'!N159,1,0))</f>
        <v>1</v>
      </c>
      <c r="M159" s="20">
        <f>IF('1. Yixian'!O159="","",IF('1. Yixian'!O159='2. Nayoung'!O159,1,0))</f>
        <v>1</v>
      </c>
      <c r="N159" s="20">
        <f>IF('1. Yixian'!P159="","",IF('1. Yixian'!P159='2. Nayoung'!P159,1,0))</f>
        <v>1</v>
      </c>
      <c r="O159" s="20">
        <f>IF('1. Yixian'!Q159="","",IF('1. Yixian'!Q159='2. Nayoung'!Q159,1,0))</f>
        <v>1</v>
      </c>
      <c r="P159" s="20">
        <f>IF('1. Yixian'!R159="","",IF('1. Yixian'!R159='2. Nayoung'!R159,1,0))</f>
        <v>1</v>
      </c>
      <c r="Q159" s="20">
        <f>IF('1. Yixian'!S159="","",IF('1. Yixian'!S159='2. Nayoung'!S159,1,0))</f>
        <v>1</v>
      </c>
      <c r="R159" s="20">
        <f>IF('1. Yixian'!T159="","",IF('1. Yixian'!T159='2. Nayoung'!T159,1,0))</f>
        <v>1</v>
      </c>
      <c r="S159" s="20">
        <f>IF(R159="","",IF(OR('2. Nayoung'!U159="", '1. Yixian'!U159 = ""),0,1))</f>
        <v>1</v>
      </c>
      <c r="T159" s="20">
        <f>IF('1. Yixian'!V159="","",IF('1. Yixian'!V159='2. Nayoung'!V159,1,0))</f>
        <v>1</v>
      </c>
      <c r="U159" s="20">
        <f>IF('1. Yixian'!W159="","",IF('1. Yixian'!W159='2. Nayoung'!W159,1,0))</f>
        <v>1</v>
      </c>
      <c r="V159" s="20">
        <f>IF('1. Yixian'!X159="","",IF('1. Yixian'!X159='2. Nayoung'!X159,1,0))</f>
        <v>1</v>
      </c>
      <c r="W159" s="20">
        <f>IF('1. Yixian'!Y159="","",IF('1. Yixian'!Y159='2. Nayoung'!Y159,1,0))</f>
        <v>1</v>
      </c>
      <c r="X159" s="20">
        <f>IF('1. Yixian'!Z159="","",IF('1. Yixian'!Z159='2. Nayoung'!Z159,1,0))</f>
        <v>1</v>
      </c>
      <c r="Y159" s="20">
        <f>IF('1. Yixian'!AA159="","",IF('1. Yixian'!AA159='2. Nayoung'!AA159,1,0))</f>
        <v>1</v>
      </c>
      <c r="Z159" s="20">
        <f>IF('1. Yixian'!AB159="","",IF('1. Yixian'!AB159='2. Nayoung'!AB159,1,0))</f>
        <v>1</v>
      </c>
      <c r="AA159" s="20">
        <f>IF('1. Yixian'!AC159="","",IF('1. Yixian'!AC159='2. Nayoung'!AC159,1,0))</f>
        <v>1</v>
      </c>
      <c r="AB159" s="20">
        <f>IF(OR('2. Nayoung'!AD158="", '1. Yixian'!AD159 = ""),0,1)</f>
        <v>1</v>
      </c>
      <c r="AC159" s="20">
        <f>IF('1. Yixian'!AE159="","",IF('1. Yixian'!AE159='2. Nayoung'!AE159,1,0))</f>
        <v>1</v>
      </c>
      <c r="AD159" s="20">
        <f>IF(OR('2. Nayoung'!AF159="", '1. Yixian'!AF159 = ""),0,1)</f>
        <v>1</v>
      </c>
      <c r="AF159" s="20">
        <f>IF('1. Yixian'!AH159="","",IF('1. Yixian'!AH159='2. Nayoung'!AH159,1,0))</f>
        <v>1</v>
      </c>
      <c r="AG159" s="20">
        <f>IF('1. Yixian'!AI159="","",IF('1. Yixian'!AI159='2. Nayoung'!AI159,1,0))</f>
        <v>1</v>
      </c>
      <c r="AH159" s="20">
        <f>IF('1. Yixian'!AJ159="","",IF('1. Yixian'!AJ159='2. Nayoung'!AJ159,1,0))</f>
        <v>1</v>
      </c>
      <c r="AI159" s="20">
        <f>IF('1. Yixian'!AK159="","",IF('1. Yixian'!AK159='2. Nayoung'!AK159,1,0))</f>
        <v>1</v>
      </c>
      <c r="AJ159" s="20">
        <f>IF('1. Yixian'!AL159="","",IF('1. Yixian'!AL159='2. Nayoung'!AL159,1,0))</f>
        <v>1</v>
      </c>
      <c r="AK159" s="20">
        <f>IF('1. Yixian'!AM159="","",IF('1. Yixian'!AM159='2. Nayoung'!AM159,1,0))</f>
        <v>1</v>
      </c>
      <c r="AL159" s="20" t="str">
        <f>IF('1. Yixian'!AT159="","",IF('1. Yixian'!AT159='2. Nayoung'!AT159,1,0))</f>
        <v/>
      </c>
      <c r="AM159" s="20" t="str">
        <f>IF('1. Yixian'!AU159="","",IF('1. Yixian'!AU159='2. Nayoung'!AU159,1,0))</f>
        <v/>
      </c>
      <c r="AN159" s="2"/>
    </row>
    <row r="160" spans="1:40" s="20" customFormat="1" ht="17" hidden="1" customHeight="1">
      <c r="A160" s="20" t="str">
        <f>IF('1. Yixian'!A160="","",IF('1. Yixian'!A160='2. Nayoung'!A160,1,0))</f>
        <v/>
      </c>
      <c r="B160" s="20" t="str">
        <f>IF('1. Yixian'!B160="","",IF(RIGHT('1. Yixian'!B160,2)=RIGHT('2. Nayoung'!B160,2),1,0))</f>
        <v/>
      </c>
      <c r="C160" s="20" t="str">
        <f>IF('1. Yixian'!C160="","",IF('1. Yixian'!C160='2. Nayoung'!C160,1,0))</f>
        <v/>
      </c>
      <c r="E160" s="20" t="str">
        <f>IF('1. Yixian'!E160="","",IF('1. Yixian'!E160='2. Nayoung'!E160,1,0))</f>
        <v/>
      </c>
      <c r="F160" s="20" t="str">
        <f>IF('1. Yixian'!F160="","",IF('1. Yixian'!F160='2. Nayoung'!F160,1,0))</f>
        <v/>
      </c>
      <c r="G160" s="20" t="str">
        <f>IF('1. Yixian'!G160="","",IF('1. Yixian'!G160='2. Nayoung'!G160,1,0))</f>
        <v/>
      </c>
      <c r="H160" s="20">
        <f>IF('1. Yixian'!J160="","",IF(RIGHT('1. Yixian'!J160,3)=RIGHT('2. Nayoung'!J160,3),1,0))</f>
        <v>0</v>
      </c>
      <c r="I160" s="20">
        <f>IF(H160="","",IF(OR('2. Nayoung'!K160="", '1. Yixian'!K160 = ""),0,1))</f>
        <v>1</v>
      </c>
      <c r="J160" s="20">
        <f>IF('1. Yixian'!L160="","",IF('1. Yixian'!L160='2. Nayoung'!L160,1,0))</f>
        <v>1</v>
      </c>
      <c r="K160" s="20">
        <f>IF('1. Yixian'!M160="","",IF('1. Yixian'!M160='2. Nayoung'!M160,1,0))</f>
        <v>1</v>
      </c>
      <c r="L160" s="20">
        <f>IF('1. Yixian'!N160="","",IF('1. Yixian'!N160='2. Nayoung'!N160,1,0))</f>
        <v>1</v>
      </c>
      <c r="M160" s="20">
        <f>IF('1. Yixian'!O160="","",IF('1. Yixian'!O160='2. Nayoung'!O160,1,0))</f>
        <v>1</v>
      </c>
      <c r="N160" s="20">
        <f>IF('1. Yixian'!P160="","",IF('1. Yixian'!P160='2. Nayoung'!P160,1,0))</f>
        <v>1</v>
      </c>
      <c r="O160" s="20">
        <f>IF('1. Yixian'!Q160="","",IF('1. Yixian'!Q160='2. Nayoung'!Q160,1,0))</f>
        <v>1</v>
      </c>
      <c r="P160" s="20">
        <f>IF('1. Yixian'!R160="","",IF('1. Yixian'!R160='2. Nayoung'!R160,1,0))</f>
        <v>1</v>
      </c>
      <c r="Q160" s="20">
        <f>IF('1. Yixian'!S160="","",IF('1. Yixian'!S160='2. Nayoung'!S160,1,0))</f>
        <v>1</v>
      </c>
      <c r="R160" s="20">
        <f>IF('1. Yixian'!T160="","",IF('1. Yixian'!T160='2. Nayoung'!T160,1,0))</f>
        <v>1</v>
      </c>
      <c r="S160" s="20">
        <f>IF(R160="","",IF(OR('2. Nayoung'!U160="", '1. Yixian'!U160 = ""),0,1))</f>
        <v>1</v>
      </c>
      <c r="T160" s="20">
        <f>IF('1. Yixian'!V160="","",IF('1. Yixian'!V160='2. Nayoung'!V160,1,0))</f>
        <v>1</v>
      </c>
      <c r="U160" s="20">
        <f>IF('1. Yixian'!W160="","",IF('1. Yixian'!W160='2. Nayoung'!W160,1,0))</f>
        <v>1</v>
      </c>
      <c r="V160" s="20">
        <f>IF('1. Yixian'!X160="","",IF('1. Yixian'!X160='2. Nayoung'!X160,1,0))</f>
        <v>1</v>
      </c>
      <c r="W160" s="20">
        <f>IF('1. Yixian'!Y160="","",IF('1. Yixian'!Y160='2. Nayoung'!Y160,1,0))</f>
        <v>1</v>
      </c>
      <c r="X160" s="20">
        <f>IF('1. Yixian'!Z160="","",IF('1. Yixian'!Z160='2. Nayoung'!Z160,1,0))</f>
        <v>1</v>
      </c>
      <c r="Y160" s="20">
        <f>IF('1. Yixian'!AA160="","",IF('1. Yixian'!AA160='2. Nayoung'!AA160,1,0))</f>
        <v>1</v>
      </c>
      <c r="Z160" s="20">
        <f>IF('1. Yixian'!AB160="","",IF('1. Yixian'!AB160='2. Nayoung'!AB160,1,0))</f>
        <v>1</v>
      </c>
      <c r="AA160" s="20">
        <f>IF('1. Yixian'!AC160="","",IF('1. Yixian'!AC160='2. Nayoung'!AC160,1,0))</f>
        <v>1</v>
      </c>
      <c r="AB160" s="20">
        <f>IF(OR('2. Nayoung'!AD159="", '1. Yixian'!AD160 = ""),0,1)</f>
        <v>1</v>
      </c>
      <c r="AC160" s="20">
        <f>IF('1. Yixian'!AE160="","",IF('1. Yixian'!AE160='2. Nayoung'!AE160,1,0))</f>
        <v>1</v>
      </c>
      <c r="AD160" s="20">
        <f>IF(OR('2. Nayoung'!AF160="", '1. Yixian'!AF160 = ""),0,1)</f>
        <v>1</v>
      </c>
      <c r="AF160" s="20">
        <f>IF('1. Yixian'!AH160="","",IF('1. Yixian'!AH160='2. Nayoung'!AH160,1,0))</f>
        <v>1</v>
      </c>
      <c r="AG160" s="20">
        <f>IF('1. Yixian'!AI160="","",IF('1. Yixian'!AI160='2. Nayoung'!AI160,1,0))</f>
        <v>1</v>
      </c>
      <c r="AH160" s="20">
        <f>IF('1. Yixian'!AJ160="","",IF('1. Yixian'!AJ160='2. Nayoung'!AJ160,1,0))</f>
        <v>1</v>
      </c>
      <c r="AI160" s="20">
        <f>IF('1. Yixian'!AK160="","",IF('1. Yixian'!AK160='2. Nayoung'!AK160,1,0))</f>
        <v>1</v>
      </c>
      <c r="AJ160" s="20">
        <f>IF('1. Yixian'!AL160="","",IF('1. Yixian'!AL160='2. Nayoung'!AL160,1,0))</f>
        <v>1</v>
      </c>
      <c r="AK160" s="20">
        <f>IF('1. Yixian'!AM160="","",IF('1. Yixian'!AM160='2. Nayoung'!AM160,1,0))</f>
        <v>1</v>
      </c>
      <c r="AL160" s="20" t="str">
        <f>IF('1. Yixian'!AT160="","",IF('1. Yixian'!AT160='2. Nayoung'!AT160,1,0))</f>
        <v/>
      </c>
      <c r="AM160" s="20" t="str">
        <f>IF('1. Yixian'!AU160="","",IF('1. Yixian'!AU160='2. Nayoung'!AU160,1,0))</f>
        <v/>
      </c>
      <c r="AN160" s="2"/>
    </row>
    <row r="161" spans="1:40" s="20" customFormat="1" ht="17" hidden="1" customHeight="1">
      <c r="A161" s="20">
        <f>IF('1. Yixian'!A161="","",IF('1. Yixian'!A161='2. Nayoung'!A161,1,0))</f>
        <v>0</v>
      </c>
      <c r="B161" s="20">
        <f>IF('1. Yixian'!B161="","",IF(RIGHT('1. Yixian'!B161,2)=RIGHT('2. Nayoung'!B161,2),1,0))</f>
        <v>0</v>
      </c>
      <c r="C161" s="20">
        <f>IF('1. Yixian'!C161="","",IF('1. Yixian'!C161='2. Nayoung'!C161,1,0))</f>
        <v>0</v>
      </c>
      <c r="E161" s="20">
        <f>IF('1. Yixian'!E161="","",IF('1. Yixian'!E161='2. Nayoung'!E161,1,0))</f>
        <v>0</v>
      </c>
      <c r="F161" s="20">
        <f>IF('1. Yixian'!F161="","",IF('1. Yixian'!F161='2. Nayoung'!F161,1,0))</f>
        <v>0</v>
      </c>
      <c r="G161" s="20">
        <f>IF('1. Yixian'!G161="","",IF('1. Yixian'!G161='2. Nayoung'!G161,1,0))</f>
        <v>0</v>
      </c>
      <c r="H161" s="20">
        <f>IF('1. Yixian'!J161="","",IF(RIGHT('1. Yixian'!J161,3)=RIGHT('2. Nayoung'!J161,3),1,0))</f>
        <v>0</v>
      </c>
      <c r="I161" s="20">
        <f>IF(H161="","",IF(OR('2. Nayoung'!K161="", '1. Yixian'!K161 = ""),0,1))</f>
        <v>1</v>
      </c>
      <c r="J161" s="20">
        <f>IF('1. Yixian'!L161="","",IF('1. Yixian'!L161='2. Nayoung'!L161,1,0))</f>
        <v>1</v>
      </c>
      <c r="K161" s="20">
        <f>IF('1. Yixian'!M161="","",IF('1. Yixian'!M161='2. Nayoung'!M161,1,0))</f>
        <v>1</v>
      </c>
      <c r="L161" s="20">
        <f>IF('1. Yixian'!N161="","",IF('1. Yixian'!N161='2. Nayoung'!N161,1,0))</f>
        <v>1</v>
      </c>
      <c r="M161" s="20">
        <f>IF('1. Yixian'!O161="","",IF('1. Yixian'!O161='2. Nayoung'!O161,1,0))</f>
        <v>1</v>
      </c>
      <c r="N161" s="20">
        <f>IF('1. Yixian'!P161="","",IF('1. Yixian'!P161='2. Nayoung'!P161,1,0))</f>
        <v>1</v>
      </c>
      <c r="O161" s="20">
        <f>IF('1. Yixian'!Q161="","",IF('1. Yixian'!Q161='2. Nayoung'!Q161,1,0))</f>
        <v>1</v>
      </c>
      <c r="P161" s="20">
        <f>IF('1. Yixian'!R161="","",IF('1. Yixian'!R161='2. Nayoung'!R161,1,0))</f>
        <v>1</v>
      </c>
      <c r="Q161" s="20">
        <f>IF('1. Yixian'!S161="","",IF('1. Yixian'!S161='2. Nayoung'!S161,1,0))</f>
        <v>1</v>
      </c>
      <c r="R161" s="20">
        <f>IF('1. Yixian'!T161="","",IF('1. Yixian'!T161='2. Nayoung'!T161,1,0))</f>
        <v>1</v>
      </c>
      <c r="S161" s="20">
        <f>IF(R161="","",IF(OR('2. Nayoung'!U161="", '1. Yixian'!U161 = ""),0,1))</f>
        <v>1</v>
      </c>
      <c r="T161" s="20">
        <f>IF('1. Yixian'!V161="","",IF('1. Yixian'!V161='2. Nayoung'!V161,1,0))</f>
        <v>1</v>
      </c>
      <c r="U161" s="20">
        <f>IF('1. Yixian'!W161="","",IF('1. Yixian'!W161='2. Nayoung'!W161,1,0))</f>
        <v>1</v>
      </c>
      <c r="V161" s="20">
        <f>IF('1. Yixian'!X161="","",IF('1. Yixian'!X161='2. Nayoung'!X161,1,0))</f>
        <v>1</v>
      </c>
      <c r="W161" s="20">
        <f>IF('1. Yixian'!Y161="","",IF('1. Yixian'!Y161='2. Nayoung'!Y161,1,0))</f>
        <v>1</v>
      </c>
      <c r="X161" s="20">
        <f>IF('1. Yixian'!Z161="","",IF('1. Yixian'!Z161='2. Nayoung'!Z161,1,0))</f>
        <v>1</v>
      </c>
      <c r="Y161" s="20">
        <f>IF('1. Yixian'!AA161="","",IF('1. Yixian'!AA161='2. Nayoung'!AA161,1,0))</f>
        <v>1</v>
      </c>
      <c r="Z161" s="20">
        <f>IF('1. Yixian'!AB161="","",IF('1. Yixian'!AB161='2. Nayoung'!AB161,1,0))</f>
        <v>1</v>
      </c>
      <c r="AA161" s="20">
        <f>IF('1. Yixian'!AC161="","",IF('1. Yixian'!AC161='2. Nayoung'!AC161,1,0))</f>
        <v>1</v>
      </c>
      <c r="AB161" s="20">
        <f>IF(OR('2. Nayoung'!AD160="", '1. Yixian'!AD161 = ""),0,1)</f>
        <v>1</v>
      </c>
      <c r="AC161" s="20">
        <f>IF('1. Yixian'!AE161="","",IF('1. Yixian'!AE161='2. Nayoung'!AE161,1,0))</f>
        <v>1</v>
      </c>
      <c r="AD161" s="20">
        <f>IF(OR('2. Nayoung'!AF161="", '1. Yixian'!AF161 = ""),0,1)</f>
        <v>1</v>
      </c>
      <c r="AF161" s="20">
        <f>IF('1. Yixian'!AH161="","",IF('1. Yixian'!AH161='2. Nayoung'!AH161,1,0))</f>
        <v>1</v>
      </c>
      <c r="AG161" s="20">
        <f>IF('1. Yixian'!AI161="","",IF('1. Yixian'!AI161='2. Nayoung'!AI161,1,0))</f>
        <v>1</v>
      </c>
      <c r="AH161" s="20">
        <f>IF('1. Yixian'!AJ161="","",IF('1. Yixian'!AJ161='2. Nayoung'!AJ161,1,0))</f>
        <v>1</v>
      </c>
      <c r="AI161" s="20">
        <f>IF('1. Yixian'!AK161="","",IF('1. Yixian'!AK161='2. Nayoung'!AK161,1,0))</f>
        <v>1</v>
      </c>
      <c r="AJ161" s="20">
        <f>IF('1. Yixian'!AL161="","",IF('1. Yixian'!AL161='2. Nayoung'!AL161,1,0))</f>
        <v>1</v>
      </c>
      <c r="AK161" s="20">
        <f>IF('1. Yixian'!AM161="","",IF('1. Yixian'!AM161='2. Nayoung'!AM161,1,0))</f>
        <v>1</v>
      </c>
      <c r="AL161" s="20" t="str">
        <f>IF('1. Yixian'!AT161="","",IF('1. Yixian'!AT161='2. Nayoung'!AT161,1,0))</f>
        <v/>
      </c>
      <c r="AM161" s="20" t="str">
        <f>IF('1. Yixian'!AU161="","",IF('1. Yixian'!AU161='2. Nayoung'!AU161,1,0))</f>
        <v/>
      </c>
      <c r="AN161" s="2"/>
    </row>
    <row r="162" spans="1:40" s="20" customFormat="1" ht="17" hidden="1" customHeight="1">
      <c r="A162" s="20" t="str">
        <f>IF('1. Yixian'!A162="","",IF('1. Yixian'!A162='2. Nayoung'!A162,1,0))</f>
        <v/>
      </c>
      <c r="B162" s="20" t="str">
        <f>IF('1. Yixian'!B162="","",IF(RIGHT('1. Yixian'!B162,2)=RIGHT('2. Nayoung'!B162,2),1,0))</f>
        <v/>
      </c>
      <c r="C162" s="20" t="str">
        <f>IF('1. Yixian'!C162="","",IF('1. Yixian'!C162='2. Nayoung'!C162,1,0))</f>
        <v/>
      </c>
      <c r="E162" s="20" t="str">
        <f>IF('1. Yixian'!E162="","",IF('1. Yixian'!E162='2. Nayoung'!E162,1,0))</f>
        <v/>
      </c>
      <c r="F162" s="20" t="str">
        <f>IF('1. Yixian'!F162="","",IF('1. Yixian'!F162='2. Nayoung'!F162,1,0))</f>
        <v/>
      </c>
      <c r="G162" s="20" t="str">
        <f>IF('1. Yixian'!G162="","",IF('1. Yixian'!G162='2. Nayoung'!G162,1,0))</f>
        <v/>
      </c>
      <c r="H162" s="20">
        <f>IF('1. Yixian'!J162="","",IF(RIGHT('1. Yixian'!J162,3)=RIGHT('2. Nayoung'!J162,3),1,0))</f>
        <v>0</v>
      </c>
      <c r="I162" s="20">
        <f>IF(H162="","",IF(OR('2. Nayoung'!K162="", '1. Yixian'!K162 = ""),0,1))</f>
        <v>1</v>
      </c>
      <c r="J162" s="20">
        <f>IF('1. Yixian'!L162="","",IF('1. Yixian'!L162='2. Nayoung'!L162,1,0))</f>
        <v>1</v>
      </c>
      <c r="K162" s="20">
        <f>IF('1. Yixian'!M162="","",IF('1. Yixian'!M162='2. Nayoung'!M162,1,0))</f>
        <v>1</v>
      </c>
      <c r="L162" s="20">
        <f>IF('1. Yixian'!N162="","",IF('1. Yixian'!N162='2. Nayoung'!N162,1,0))</f>
        <v>1</v>
      </c>
      <c r="M162" s="20">
        <f>IF('1. Yixian'!O162="","",IF('1. Yixian'!O162='2. Nayoung'!O162,1,0))</f>
        <v>1</v>
      </c>
      <c r="N162" s="20">
        <f>IF('1. Yixian'!P162="","",IF('1. Yixian'!P162='2. Nayoung'!P162,1,0))</f>
        <v>1</v>
      </c>
      <c r="O162" s="20">
        <f>IF('1. Yixian'!Q162="","",IF('1. Yixian'!Q162='2. Nayoung'!Q162,1,0))</f>
        <v>1</v>
      </c>
      <c r="P162" s="20">
        <f>IF('1. Yixian'!R162="","",IF('1. Yixian'!R162='2. Nayoung'!R162,1,0))</f>
        <v>1</v>
      </c>
      <c r="Q162" s="20">
        <f>IF('1. Yixian'!S162="","",IF('1. Yixian'!S162='2. Nayoung'!S162,1,0))</f>
        <v>1</v>
      </c>
      <c r="R162" s="20">
        <f>IF('1. Yixian'!T162="","",IF('1. Yixian'!T162='2. Nayoung'!T162,1,0))</f>
        <v>1</v>
      </c>
      <c r="S162" s="20">
        <f>IF(R162="","",IF(OR('2. Nayoung'!U162="", '1. Yixian'!U162 = ""),0,1))</f>
        <v>1</v>
      </c>
      <c r="T162" s="20">
        <f>IF('1. Yixian'!V162="","",IF('1. Yixian'!V162='2. Nayoung'!V162,1,0))</f>
        <v>1</v>
      </c>
      <c r="U162" s="20">
        <f>IF('1. Yixian'!W162="","",IF('1. Yixian'!W162='2. Nayoung'!W162,1,0))</f>
        <v>1</v>
      </c>
      <c r="V162" s="20">
        <f>IF('1. Yixian'!X162="","",IF('1. Yixian'!X162='2. Nayoung'!X162,1,0))</f>
        <v>1</v>
      </c>
      <c r="W162" s="20">
        <f>IF('1. Yixian'!Y162="","",IF('1. Yixian'!Y162='2. Nayoung'!Y162,1,0))</f>
        <v>1</v>
      </c>
      <c r="X162" s="20">
        <f>IF('1. Yixian'!Z162="","",IF('1. Yixian'!Z162='2. Nayoung'!Z162,1,0))</f>
        <v>1</v>
      </c>
      <c r="Y162" s="20">
        <f>IF('1. Yixian'!AA162="","",IF('1. Yixian'!AA162='2. Nayoung'!AA162,1,0))</f>
        <v>1</v>
      </c>
      <c r="Z162" s="20">
        <f>IF('1. Yixian'!AB162="","",IF('1. Yixian'!AB162='2. Nayoung'!AB162,1,0))</f>
        <v>1</v>
      </c>
      <c r="AA162" s="20">
        <f>IF('1. Yixian'!AC162="","",IF('1. Yixian'!AC162='2. Nayoung'!AC162,1,0))</f>
        <v>1</v>
      </c>
      <c r="AB162" s="20">
        <f>IF(OR('2. Nayoung'!AD161="", '1. Yixian'!AD162 = ""),0,1)</f>
        <v>1</v>
      </c>
      <c r="AC162" s="20">
        <f>IF('1. Yixian'!AE162="","",IF('1. Yixian'!AE162='2. Nayoung'!AE162,1,0))</f>
        <v>1</v>
      </c>
      <c r="AD162" s="20">
        <f>IF(OR('2. Nayoung'!AF162="", '1. Yixian'!AF162 = ""),0,1)</f>
        <v>1</v>
      </c>
      <c r="AF162" s="20">
        <f>IF('1. Yixian'!AH162="","",IF('1. Yixian'!AH162='2. Nayoung'!AH162,1,0))</f>
        <v>1</v>
      </c>
      <c r="AG162" s="20">
        <f>IF('1. Yixian'!AI162="","",IF('1. Yixian'!AI162='2. Nayoung'!AI162,1,0))</f>
        <v>1</v>
      </c>
      <c r="AH162" s="20">
        <f>IF('1. Yixian'!AJ162="","",IF('1. Yixian'!AJ162='2. Nayoung'!AJ162,1,0))</f>
        <v>1</v>
      </c>
      <c r="AI162" s="20">
        <f>IF('1. Yixian'!AK162="","",IF('1. Yixian'!AK162='2. Nayoung'!AK162,1,0))</f>
        <v>1</v>
      </c>
      <c r="AJ162" s="20">
        <f>IF('1. Yixian'!AL162="","",IF('1. Yixian'!AL162='2. Nayoung'!AL162,1,0))</f>
        <v>1</v>
      </c>
      <c r="AK162" s="20">
        <f>IF('1. Yixian'!AM162="","",IF('1. Yixian'!AM162='2. Nayoung'!AM162,1,0))</f>
        <v>1</v>
      </c>
      <c r="AL162" s="20" t="str">
        <f>IF('1. Yixian'!AT162="","",IF('1. Yixian'!AT162='2. Nayoung'!AT162,1,0))</f>
        <v/>
      </c>
      <c r="AM162" s="20" t="str">
        <f>IF('1. Yixian'!AU162="","",IF('1. Yixian'!AU162='2. Nayoung'!AU162,1,0))</f>
        <v/>
      </c>
      <c r="AN162" s="2"/>
    </row>
    <row r="163" spans="1:40" s="20" customFormat="1" ht="17" hidden="1" customHeight="1">
      <c r="A163" s="20">
        <f>IF('1. Yixian'!A163="","",IF('1. Yixian'!A163='2. Nayoung'!A163,1,0))</f>
        <v>0</v>
      </c>
      <c r="B163" s="20">
        <f>IF('1. Yixian'!B163="","",IF(RIGHT('1. Yixian'!B163,2)=RIGHT('2. Nayoung'!B163,2),1,0))</f>
        <v>0</v>
      </c>
      <c r="C163" s="20">
        <f>IF('1. Yixian'!C163="","",IF('1. Yixian'!C163='2. Nayoung'!C163,1,0))</f>
        <v>0</v>
      </c>
      <c r="E163" s="20">
        <f>IF('1. Yixian'!E163="","",IF('1. Yixian'!E163='2. Nayoung'!E163,1,0))</f>
        <v>0</v>
      </c>
      <c r="F163" s="20">
        <f>IF('1. Yixian'!F163="","",IF('1. Yixian'!F163='2. Nayoung'!F163,1,0))</f>
        <v>0</v>
      </c>
      <c r="G163" s="20">
        <f>IF('1. Yixian'!G163="","",IF('1. Yixian'!G163='2. Nayoung'!G163,1,0))</f>
        <v>0</v>
      </c>
      <c r="H163" s="20">
        <f>IF('1. Yixian'!J163="","",IF(RIGHT('1. Yixian'!J163,3)=RIGHT('2. Nayoung'!J163,3),1,0))</f>
        <v>0</v>
      </c>
      <c r="I163" s="20">
        <f>IF(H163="","",IF(OR('2. Nayoung'!K163="", '1. Yixian'!K163 = ""),0,1))</f>
        <v>1</v>
      </c>
      <c r="J163" s="20">
        <f>IF('1. Yixian'!L163="","",IF('1. Yixian'!L163='2. Nayoung'!L163,1,0))</f>
        <v>1</v>
      </c>
      <c r="K163" s="20">
        <f>IF('1. Yixian'!M163="","",IF('1. Yixian'!M163='2. Nayoung'!M163,1,0))</f>
        <v>1</v>
      </c>
      <c r="L163" s="20">
        <f>IF('1. Yixian'!N163="","",IF('1. Yixian'!N163='2. Nayoung'!N163,1,0))</f>
        <v>1</v>
      </c>
      <c r="M163" s="20">
        <f>IF('1. Yixian'!O163="","",IF('1. Yixian'!O163='2. Nayoung'!O163,1,0))</f>
        <v>1</v>
      </c>
      <c r="N163" s="20">
        <f>IF('1. Yixian'!P163="","",IF('1. Yixian'!P163='2. Nayoung'!P163,1,0))</f>
        <v>1</v>
      </c>
      <c r="O163" s="20">
        <f>IF('1. Yixian'!Q163="","",IF('1. Yixian'!Q163='2. Nayoung'!Q163,1,0))</f>
        <v>1</v>
      </c>
      <c r="P163" s="20">
        <f>IF('1. Yixian'!R163="","",IF('1. Yixian'!R163='2. Nayoung'!R163,1,0))</f>
        <v>1</v>
      </c>
      <c r="Q163" s="20">
        <f>IF('1. Yixian'!S163="","",IF('1. Yixian'!S163='2. Nayoung'!S163,1,0))</f>
        <v>1</v>
      </c>
      <c r="R163" s="20">
        <f>IF('1. Yixian'!T163="","",IF('1. Yixian'!T163='2. Nayoung'!T163,1,0))</f>
        <v>1</v>
      </c>
      <c r="S163" s="20">
        <f>IF(R163="","",IF(OR('2. Nayoung'!U163="", '1. Yixian'!U163 = ""),0,1))</f>
        <v>1</v>
      </c>
      <c r="T163" s="20">
        <f>IF('1. Yixian'!V163="","",IF('1. Yixian'!V163='2. Nayoung'!V163,1,0))</f>
        <v>1</v>
      </c>
      <c r="U163" s="20">
        <f>IF('1. Yixian'!W163="","",IF('1. Yixian'!W163='2. Nayoung'!W163,1,0))</f>
        <v>1</v>
      </c>
      <c r="V163" s="20">
        <f>IF('1. Yixian'!X163="","",IF('1. Yixian'!X163='2. Nayoung'!X163,1,0))</f>
        <v>1</v>
      </c>
      <c r="W163" s="20">
        <f>IF('1. Yixian'!Y163="","",IF('1. Yixian'!Y163='2. Nayoung'!Y163,1,0))</f>
        <v>1</v>
      </c>
      <c r="X163" s="20">
        <f>IF('1. Yixian'!Z163="","",IF('1. Yixian'!Z163='2. Nayoung'!Z163,1,0))</f>
        <v>1</v>
      </c>
      <c r="Y163" s="20">
        <f>IF('1. Yixian'!AA163="","",IF('1. Yixian'!AA163='2. Nayoung'!AA163,1,0))</f>
        <v>1</v>
      </c>
      <c r="Z163" s="20">
        <f>IF('1. Yixian'!AB163="","",IF('1. Yixian'!AB163='2. Nayoung'!AB163,1,0))</f>
        <v>1</v>
      </c>
      <c r="AA163" s="20">
        <f>IF('1. Yixian'!AC163="","",IF('1. Yixian'!AC163='2. Nayoung'!AC163,1,0))</f>
        <v>1</v>
      </c>
      <c r="AB163" s="20">
        <f>IF(OR('2. Nayoung'!AD162="", '1. Yixian'!AD163 = ""),0,1)</f>
        <v>1</v>
      </c>
      <c r="AC163" s="20">
        <f>IF('1. Yixian'!AE163="","",IF('1. Yixian'!AE163='2. Nayoung'!AE163,1,0))</f>
        <v>1</v>
      </c>
      <c r="AD163" s="20">
        <f>IF(OR('2. Nayoung'!AF163="", '1. Yixian'!AF163 = ""),0,1)</f>
        <v>1</v>
      </c>
      <c r="AF163" s="20">
        <f>IF('1. Yixian'!AH163="","",IF('1. Yixian'!AH163='2. Nayoung'!AH163,1,0))</f>
        <v>1</v>
      </c>
      <c r="AG163" s="20">
        <f>IF('1. Yixian'!AI163="","",IF('1. Yixian'!AI163='2. Nayoung'!AI163,1,0))</f>
        <v>1</v>
      </c>
      <c r="AH163" s="20">
        <f>IF('1. Yixian'!AJ163="","",IF('1. Yixian'!AJ163='2. Nayoung'!AJ163,1,0))</f>
        <v>1</v>
      </c>
      <c r="AI163" s="20">
        <f>IF('1. Yixian'!AK163="","",IF('1. Yixian'!AK163='2. Nayoung'!AK163,1,0))</f>
        <v>1</v>
      </c>
      <c r="AJ163" s="20">
        <f>IF('1. Yixian'!AL163="","",IF('1. Yixian'!AL163='2. Nayoung'!AL163,1,0))</f>
        <v>1</v>
      </c>
      <c r="AK163" s="20">
        <f>IF('1. Yixian'!AM163="","",IF('1. Yixian'!AM163='2. Nayoung'!AM163,1,0))</f>
        <v>1</v>
      </c>
      <c r="AL163" s="20" t="str">
        <f>IF('1. Yixian'!AT163="","",IF('1. Yixian'!AT163='2. Nayoung'!AT163,1,0))</f>
        <v/>
      </c>
      <c r="AM163" s="20" t="str">
        <f>IF('1. Yixian'!AU163="","",IF('1. Yixian'!AU163='2. Nayoung'!AU163,1,0))</f>
        <v/>
      </c>
      <c r="AN163" s="2"/>
    </row>
    <row r="164" spans="1:40" s="20" customFormat="1" ht="17" hidden="1" customHeight="1">
      <c r="A164" s="20" t="str">
        <f>IF('1. Yixian'!A164="","",IF('1. Yixian'!A164='2. Nayoung'!A164,1,0))</f>
        <v/>
      </c>
      <c r="B164" s="20" t="str">
        <f>IF('1. Yixian'!B164="","",IF(RIGHT('1. Yixian'!B164,2)=RIGHT('2. Nayoung'!B164,2),1,0))</f>
        <v/>
      </c>
      <c r="C164" s="20" t="str">
        <f>IF('1. Yixian'!C164="","",IF('1. Yixian'!C164='2. Nayoung'!C164,1,0))</f>
        <v/>
      </c>
      <c r="E164" s="20" t="str">
        <f>IF('1. Yixian'!E164="","",IF('1. Yixian'!E164='2. Nayoung'!E164,1,0))</f>
        <v/>
      </c>
      <c r="F164" s="20" t="str">
        <f>IF('1. Yixian'!F164="","",IF('1. Yixian'!F164='2. Nayoung'!F164,1,0))</f>
        <v/>
      </c>
      <c r="G164" s="20" t="str">
        <f>IF('1. Yixian'!G164="","",IF('1. Yixian'!G164='2. Nayoung'!G164,1,0))</f>
        <v/>
      </c>
      <c r="H164" s="20">
        <f>IF('1. Yixian'!J164="","",IF(RIGHT('1. Yixian'!J164,3)=RIGHT('2. Nayoung'!J164,3),1,0))</f>
        <v>0</v>
      </c>
      <c r="I164" s="20">
        <f>IF(H164="","",IF(OR('2. Nayoung'!K164="", '1. Yixian'!K164 = ""),0,1))</f>
        <v>1</v>
      </c>
      <c r="J164" s="20">
        <f>IF('1. Yixian'!L164="","",IF('1. Yixian'!L164='2. Nayoung'!L164,1,0))</f>
        <v>1</v>
      </c>
      <c r="K164" s="20">
        <f>IF('1. Yixian'!M164="","",IF('1. Yixian'!M164='2. Nayoung'!M164,1,0))</f>
        <v>1</v>
      </c>
      <c r="L164" s="20">
        <f>IF('1. Yixian'!N164="","",IF('1. Yixian'!N164='2. Nayoung'!N164,1,0))</f>
        <v>1</v>
      </c>
      <c r="M164" s="20">
        <f>IF('1. Yixian'!O164="","",IF('1. Yixian'!O164='2. Nayoung'!O164,1,0))</f>
        <v>1</v>
      </c>
      <c r="N164" s="20">
        <f>IF('1. Yixian'!P164="","",IF('1. Yixian'!P164='2. Nayoung'!P164,1,0))</f>
        <v>1</v>
      </c>
      <c r="O164" s="20">
        <f>IF('1. Yixian'!Q164="","",IF('1. Yixian'!Q164='2. Nayoung'!Q164,1,0))</f>
        <v>1</v>
      </c>
      <c r="P164" s="20">
        <f>IF('1. Yixian'!R164="","",IF('1. Yixian'!R164='2. Nayoung'!R164,1,0))</f>
        <v>1</v>
      </c>
      <c r="Q164" s="20">
        <f>IF('1. Yixian'!S164="","",IF('1. Yixian'!S164='2. Nayoung'!S164,1,0))</f>
        <v>1</v>
      </c>
      <c r="R164" s="20">
        <f>IF('1. Yixian'!T164="","",IF('1. Yixian'!T164='2. Nayoung'!T164,1,0))</f>
        <v>1</v>
      </c>
      <c r="S164" s="20">
        <f>IF(R164="","",IF(OR('2. Nayoung'!U164="", '1. Yixian'!U164 = ""),0,1))</f>
        <v>1</v>
      </c>
      <c r="T164" s="20">
        <f>IF('1. Yixian'!V164="","",IF('1. Yixian'!V164='2. Nayoung'!V164,1,0))</f>
        <v>1</v>
      </c>
      <c r="U164" s="20">
        <f>IF('1. Yixian'!W164="","",IF('1. Yixian'!W164='2. Nayoung'!W164,1,0))</f>
        <v>1</v>
      </c>
      <c r="V164" s="20">
        <f>IF('1. Yixian'!X164="","",IF('1. Yixian'!X164='2. Nayoung'!X164,1,0))</f>
        <v>1</v>
      </c>
      <c r="W164" s="20">
        <f>IF('1. Yixian'!Y164="","",IF('1. Yixian'!Y164='2. Nayoung'!Y164,1,0))</f>
        <v>1</v>
      </c>
      <c r="X164" s="20">
        <f>IF('1. Yixian'!Z164="","",IF('1. Yixian'!Z164='2. Nayoung'!Z164,1,0))</f>
        <v>1</v>
      </c>
      <c r="Y164" s="20">
        <f>IF('1. Yixian'!AA164="","",IF('1. Yixian'!AA164='2. Nayoung'!AA164,1,0))</f>
        <v>1</v>
      </c>
      <c r="Z164" s="20">
        <f>IF('1. Yixian'!AB164="","",IF('1. Yixian'!AB164='2. Nayoung'!AB164,1,0))</f>
        <v>1</v>
      </c>
      <c r="AA164" s="20">
        <f>IF('1. Yixian'!AC164="","",IF('1. Yixian'!AC164='2. Nayoung'!AC164,1,0))</f>
        <v>1</v>
      </c>
      <c r="AB164" s="20">
        <f>IF(OR('2. Nayoung'!AD163="", '1. Yixian'!AD164 = ""),0,1)</f>
        <v>1</v>
      </c>
      <c r="AC164" s="20">
        <f>IF('1. Yixian'!AE164="","",IF('1. Yixian'!AE164='2. Nayoung'!AE164,1,0))</f>
        <v>1</v>
      </c>
      <c r="AD164" s="20">
        <f>IF(OR('2. Nayoung'!AF164="", '1. Yixian'!AF164 = ""),0,1)</f>
        <v>1</v>
      </c>
      <c r="AF164" s="20">
        <f>IF('1. Yixian'!AH164="","",IF('1. Yixian'!AH164='2. Nayoung'!AH164,1,0))</f>
        <v>1</v>
      </c>
      <c r="AG164" s="20">
        <f>IF('1. Yixian'!AI164="","",IF('1. Yixian'!AI164='2. Nayoung'!AI164,1,0))</f>
        <v>1</v>
      </c>
      <c r="AH164" s="20">
        <f>IF('1. Yixian'!AJ164="","",IF('1. Yixian'!AJ164='2. Nayoung'!AJ164,1,0))</f>
        <v>1</v>
      </c>
      <c r="AI164" s="20">
        <f>IF('1. Yixian'!AK164="","",IF('1. Yixian'!AK164='2. Nayoung'!AK164,1,0))</f>
        <v>1</v>
      </c>
      <c r="AJ164" s="20">
        <f>IF('1. Yixian'!AL164="","",IF('1. Yixian'!AL164='2. Nayoung'!AL164,1,0))</f>
        <v>1</v>
      </c>
      <c r="AK164" s="20">
        <f>IF('1. Yixian'!AM164="","",IF('1. Yixian'!AM164='2. Nayoung'!AM164,1,0))</f>
        <v>1</v>
      </c>
      <c r="AL164" s="20" t="str">
        <f>IF('1. Yixian'!AT164="","",IF('1. Yixian'!AT164='2. Nayoung'!AT164,1,0))</f>
        <v/>
      </c>
      <c r="AM164" s="20" t="str">
        <f>IF('1. Yixian'!AU164="","",IF('1. Yixian'!AU164='2. Nayoung'!AU164,1,0))</f>
        <v/>
      </c>
      <c r="AN164" s="2"/>
    </row>
    <row r="165" spans="1:40" s="20" customFormat="1" ht="17" hidden="1" customHeight="1">
      <c r="A165" s="20">
        <f>IF('1. Yixian'!A165="","",IF('1. Yixian'!A165='2. Nayoung'!A165,1,0))</f>
        <v>1</v>
      </c>
      <c r="B165" s="20">
        <f>IF('1. Yixian'!B165="","",IF(RIGHT('1. Yixian'!B165,2)=RIGHT('2. Nayoung'!B165,2),1,0))</f>
        <v>1</v>
      </c>
      <c r="C165" s="20">
        <f>IF('1. Yixian'!C165="","",IF('1. Yixian'!C165='2. Nayoung'!C165,1,0))</f>
        <v>1</v>
      </c>
      <c r="E165" s="20">
        <f>IF('1. Yixian'!E165="","",IF('1. Yixian'!E165='2. Nayoung'!E165,1,0))</f>
        <v>1</v>
      </c>
      <c r="F165" s="20">
        <f>IF('1. Yixian'!F165="","",IF('1. Yixian'!F165='2. Nayoung'!F165,1,0))</f>
        <v>1</v>
      </c>
      <c r="G165" s="20">
        <f>IF('1. Yixian'!G165="","",IF('1. Yixian'!G165='2. Nayoung'!G165,1,0))</f>
        <v>1</v>
      </c>
      <c r="H165" s="20">
        <f>IF('1. Yixian'!J165="","",IF(RIGHT('1. Yixian'!J165,3)=RIGHT('2. Nayoung'!J165,3),1,0))</f>
        <v>1</v>
      </c>
      <c r="I165" s="20">
        <f>IF(H165="","",IF(OR('2. Nayoung'!K165="", '1. Yixian'!K165 = ""),0,1))</f>
        <v>1</v>
      </c>
      <c r="J165" s="20">
        <f>IF('1. Yixian'!L165="","",IF('1. Yixian'!L165='2. Nayoung'!L165,1,0))</f>
        <v>1</v>
      </c>
      <c r="K165" s="20">
        <f>IF('1. Yixian'!M165="","",IF('1. Yixian'!M165='2. Nayoung'!M165,1,0))</f>
        <v>1</v>
      </c>
      <c r="L165" s="20">
        <f>IF('1. Yixian'!N165="","",IF('1. Yixian'!N165='2. Nayoung'!N165,1,0))</f>
        <v>1</v>
      </c>
      <c r="M165" s="20">
        <f>IF('1. Yixian'!O165="","",IF('1. Yixian'!O165='2. Nayoung'!O165,1,0))</f>
        <v>1</v>
      </c>
      <c r="N165" s="20">
        <f>IF('1. Yixian'!P165="","",IF('1. Yixian'!P165='2. Nayoung'!P165,1,0))</f>
        <v>1</v>
      </c>
      <c r="O165" s="20">
        <f>IF('1. Yixian'!Q165="","",IF('1. Yixian'!Q165='2. Nayoung'!Q165,1,0))</f>
        <v>1</v>
      </c>
      <c r="P165" s="20">
        <f>IF('1. Yixian'!R165="","",IF('1. Yixian'!R165='2. Nayoung'!R165,1,0))</f>
        <v>1</v>
      </c>
      <c r="Q165" s="20">
        <f>IF('1. Yixian'!S165="","",IF('1. Yixian'!S165='2. Nayoung'!S165,1,0))</f>
        <v>1</v>
      </c>
      <c r="R165" s="20">
        <f>IF('1. Yixian'!T165="","",IF('1. Yixian'!T165='2. Nayoung'!T165,1,0))</f>
        <v>1</v>
      </c>
      <c r="S165" s="20">
        <f>IF(R165="","",IF(OR('2. Nayoung'!U165="", '1. Yixian'!U165 = ""),0,1))</f>
        <v>1</v>
      </c>
      <c r="T165" s="20">
        <f>IF('1. Yixian'!V165="","",IF('1. Yixian'!V165='2. Nayoung'!V165,1,0))</f>
        <v>1</v>
      </c>
      <c r="U165" s="20">
        <f>IF('1. Yixian'!W165="","",IF('1. Yixian'!W165='2. Nayoung'!W165,1,0))</f>
        <v>1</v>
      </c>
      <c r="V165" s="20">
        <f>IF('1. Yixian'!X165="","",IF('1. Yixian'!X165='2. Nayoung'!X165,1,0))</f>
        <v>1</v>
      </c>
      <c r="W165" s="20">
        <f>IF('1. Yixian'!Y165="","",IF('1. Yixian'!Y165='2. Nayoung'!Y165,1,0))</f>
        <v>1</v>
      </c>
      <c r="X165" s="20">
        <f>IF('1. Yixian'!Z165="","",IF('1. Yixian'!Z165='2. Nayoung'!Z165,1,0))</f>
        <v>1</v>
      </c>
      <c r="Y165" s="20">
        <f>IF('1. Yixian'!AA165="","",IF('1. Yixian'!AA165='2. Nayoung'!AA165,1,0))</f>
        <v>1</v>
      </c>
      <c r="Z165" s="20">
        <f>IF('1. Yixian'!AB165="","",IF('1. Yixian'!AB165='2. Nayoung'!AB165,1,0))</f>
        <v>1</v>
      </c>
      <c r="AA165" s="20">
        <f>IF('1. Yixian'!AC165="","",IF('1. Yixian'!AC165='2. Nayoung'!AC165,1,0))</f>
        <v>1</v>
      </c>
      <c r="AB165" s="20">
        <f>IF(OR('2. Nayoung'!AD164="", '1. Yixian'!AD165 = ""),0,1)</f>
        <v>1</v>
      </c>
      <c r="AC165" s="20">
        <f>IF('1. Yixian'!AE165="","",IF('1. Yixian'!AE165='2. Nayoung'!AE165,1,0))</f>
        <v>1</v>
      </c>
      <c r="AD165" s="20">
        <f>IF(OR('2. Nayoung'!AF165="", '1. Yixian'!AF165 = ""),0,1)</f>
        <v>1</v>
      </c>
      <c r="AF165" s="20">
        <f>IF('1. Yixian'!AH165="","",IF('1. Yixian'!AH165='2. Nayoung'!AH165,1,0))</f>
        <v>1</v>
      </c>
      <c r="AG165" s="20">
        <f>IF('1. Yixian'!AI165="","",IF('1. Yixian'!AI165='2. Nayoung'!AI165,1,0))</f>
        <v>1</v>
      </c>
      <c r="AH165" s="20">
        <f>IF('1. Yixian'!AJ165="","",IF('1. Yixian'!AJ165='2. Nayoung'!AJ165,1,0))</f>
        <v>1</v>
      </c>
      <c r="AI165" s="20">
        <f>IF('1. Yixian'!AK165="","",IF('1. Yixian'!AK165='2. Nayoung'!AK165,1,0))</f>
        <v>1</v>
      </c>
      <c r="AJ165" s="20">
        <f>IF('1. Yixian'!AL165="","",IF('1. Yixian'!AL165='2. Nayoung'!AL165,1,0))</f>
        <v>1</v>
      </c>
      <c r="AK165" s="20">
        <f>IF('1. Yixian'!AM165="","",IF('1. Yixian'!AM165='2. Nayoung'!AM165,1,0))</f>
        <v>1</v>
      </c>
      <c r="AL165" s="20" t="str">
        <f>IF('1. Yixian'!AT165="","",IF('1. Yixian'!AT165='2. Nayoung'!AT165,1,0))</f>
        <v/>
      </c>
      <c r="AM165" s="20" t="str">
        <f>IF('1. Yixian'!AU165="","",IF('1. Yixian'!AU165='2. Nayoung'!AU165,1,0))</f>
        <v/>
      </c>
      <c r="AN165" s="2"/>
    </row>
    <row r="166" spans="1:40" s="20" customFormat="1" ht="17" hidden="1" customHeight="1">
      <c r="A166" s="20" t="str">
        <f>IF('1. Yixian'!A166="","",IF('1. Yixian'!A166='2. Nayoung'!A166,1,0))</f>
        <v/>
      </c>
      <c r="B166" s="20" t="str">
        <f>IF('1. Yixian'!B166="","",IF(RIGHT('1. Yixian'!B166,2)=RIGHT('2. Nayoung'!B166,2),1,0))</f>
        <v/>
      </c>
      <c r="C166" s="20" t="str">
        <f>IF('1. Yixian'!C166="","",IF('1. Yixian'!C166='2. Nayoung'!C166,1,0))</f>
        <v/>
      </c>
      <c r="E166" s="20" t="str">
        <f>IF('1. Yixian'!E166="","",IF('1. Yixian'!E166='2. Nayoung'!E166,1,0))</f>
        <v/>
      </c>
      <c r="F166" s="20" t="str">
        <f>IF('1. Yixian'!F166="","",IF('1. Yixian'!F166='2. Nayoung'!F166,1,0))</f>
        <v/>
      </c>
      <c r="G166" s="20" t="str">
        <f>IF('1. Yixian'!G166="","",IF('1. Yixian'!G166='2. Nayoung'!G166,1,0))</f>
        <v/>
      </c>
      <c r="H166" s="20">
        <f>IF('1. Yixian'!J166="","",IF(RIGHT('1. Yixian'!J166,3)=RIGHT('2. Nayoung'!J166,3),1,0))</f>
        <v>0</v>
      </c>
      <c r="I166" s="20">
        <f>IF(H166="","",IF(OR('2. Nayoung'!K166="", '1. Yixian'!K166 = ""),0,1))</f>
        <v>1</v>
      </c>
      <c r="J166" s="20">
        <f>IF('1. Yixian'!L166="","",IF('1. Yixian'!L166='2. Nayoung'!L166,1,0))</f>
        <v>1</v>
      </c>
      <c r="K166" s="20">
        <f>IF('1. Yixian'!M166="","",IF('1. Yixian'!M166='2. Nayoung'!M166,1,0))</f>
        <v>1</v>
      </c>
      <c r="L166" s="20">
        <f>IF('1. Yixian'!N166="","",IF('1. Yixian'!N166='2. Nayoung'!N166,1,0))</f>
        <v>1</v>
      </c>
      <c r="M166" s="20">
        <f>IF('1. Yixian'!O166="","",IF('1. Yixian'!O166='2. Nayoung'!O166,1,0))</f>
        <v>1</v>
      </c>
      <c r="N166" s="20">
        <f>IF('1. Yixian'!P166="","",IF('1. Yixian'!P166='2. Nayoung'!P166,1,0))</f>
        <v>1</v>
      </c>
      <c r="O166" s="20">
        <f>IF('1. Yixian'!Q166="","",IF('1. Yixian'!Q166='2. Nayoung'!Q166,1,0))</f>
        <v>1</v>
      </c>
      <c r="P166" s="20">
        <f>IF('1. Yixian'!R166="","",IF('1. Yixian'!R166='2. Nayoung'!R166,1,0))</f>
        <v>1</v>
      </c>
      <c r="Q166" s="20">
        <f>IF('1. Yixian'!S166="","",IF('1. Yixian'!S166='2. Nayoung'!S166,1,0))</f>
        <v>1</v>
      </c>
      <c r="R166" s="20">
        <f>IF('1. Yixian'!T166="","",IF('1. Yixian'!T166='2. Nayoung'!T166,1,0))</f>
        <v>1</v>
      </c>
      <c r="S166" s="20">
        <f>IF(R166="","",IF(OR('2. Nayoung'!U166="", '1. Yixian'!U166 = ""),0,1))</f>
        <v>1</v>
      </c>
      <c r="T166" s="20">
        <f>IF('1. Yixian'!V166="","",IF('1. Yixian'!V166='2. Nayoung'!V166,1,0))</f>
        <v>1</v>
      </c>
      <c r="U166" s="20">
        <f>IF('1. Yixian'!W166="","",IF('1. Yixian'!W166='2. Nayoung'!W166,1,0))</f>
        <v>1</v>
      </c>
      <c r="V166" s="20">
        <f>IF('1. Yixian'!X166="","",IF('1. Yixian'!X166='2. Nayoung'!X166,1,0))</f>
        <v>1</v>
      </c>
      <c r="W166" s="20">
        <f>IF('1. Yixian'!Y166="","",IF('1. Yixian'!Y166='2. Nayoung'!Y166,1,0))</f>
        <v>1</v>
      </c>
      <c r="X166" s="20">
        <f>IF('1. Yixian'!Z166="","",IF('1. Yixian'!Z166='2. Nayoung'!Z166,1,0))</f>
        <v>1</v>
      </c>
      <c r="Y166" s="20">
        <f>IF('1. Yixian'!AA166="","",IF('1. Yixian'!AA166='2. Nayoung'!AA166,1,0))</f>
        <v>1</v>
      </c>
      <c r="Z166" s="20">
        <f>IF('1. Yixian'!AB166="","",IF('1. Yixian'!AB166='2. Nayoung'!AB166,1,0))</f>
        <v>1</v>
      </c>
      <c r="AA166" s="20">
        <f>IF('1. Yixian'!AC166="","",IF('1. Yixian'!AC166='2. Nayoung'!AC166,1,0))</f>
        <v>1</v>
      </c>
      <c r="AB166" s="20">
        <f>IF(OR('2. Nayoung'!AD165="", '1. Yixian'!AD166 = ""),0,1)</f>
        <v>1</v>
      </c>
      <c r="AC166" s="20">
        <f>IF('1. Yixian'!AE166="","",IF('1. Yixian'!AE166='2. Nayoung'!AE166,1,0))</f>
        <v>1</v>
      </c>
      <c r="AD166" s="20">
        <f>IF(OR('2. Nayoung'!AF166="", '1. Yixian'!AF166 = ""),0,1)</f>
        <v>1</v>
      </c>
      <c r="AF166" s="20">
        <f>IF('1. Yixian'!AH166="","",IF('1. Yixian'!AH166='2. Nayoung'!AH166,1,0))</f>
        <v>1</v>
      </c>
      <c r="AG166" s="20">
        <f>IF('1. Yixian'!AI166="","",IF('1. Yixian'!AI166='2. Nayoung'!AI166,1,0))</f>
        <v>1</v>
      </c>
      <c r="AH166" s="20">
        <f>IF('1. Yixian'!AJ166="","",IF('1. Yixian'!AJ166='2. Nayoung'!AJ166,1,0))</f>
        <v>1</v>
      </c>
      <c r="AI166" s="20">
        <f>IF('1. Yixian'!AK166="","",IF('1. Yixian'!AK166='2. Nayoung'!AK166,1,0))</f>
        <v>1</v>
      </c>
      <c r="AJ166" s="20">
        <f>IF('1. Yixian'!AL166="","",IF('1. Yixian'!AL166='2. Nayoung'!AL166,1,0))</f>
        <v>1</v>
      </c>
      <c r="AK166" s="20">
        <f>IF('1. Yixian'!AM166="","",IF('1. Yixian'!AM166='2. Nayoung'!AM166,1,0))</f>
        <v>1</v>
      </c>
      <c r="AL166" s="20" t="str">
        <f>IF('1. Yixian'!AT166="","",IF('1. Yixian'!AT166='2. Nayoung'!AT166,1,0))</f>
        <v/>
      </c>
      <c r="AM166" s="20" t="str">
        <f>IF('1. Yixian'!AU166="","",IF('1. Yixian'!AU166='2. Nayoung'!AU166,1,0))</f>
        <v/>
      </c>
      <c r="AN166" s="2"/>
    </row>
    <row r="167" spans="1:40" s="20" customFormat="1" ht="17" hidden="1" customHeight="1">
      <c r="A167" s="20">
        <f>IF('1. Yixian'!A167="","",IF('1. Yixian'!A167='2. Nayoung'!A167,1,0))</f>
        <v>1</v>
      </c>
      <c r="B167" s="20">
        <f>IF('1. Yixian'!B167="","",IF(RIGHT('1. Yixian'!B167,2)=RIGHT('2. Nayoung'!B167,2),1,0))</f>
        <v>0</v>
      </c>
      <c r="C167" s="20">
        <f>IF('1. Yixian'!C167="","",IF('1. Yixian'!C167='2. Nayoung'!C167,1,0))</f>
        <v>1</v>
      </c>
      <c r="E167" s="20">
        <f>IF('1. Yixian'!E167="","",IF('1. Yixian'!E167='2. Nayoung'!E167,1,0))</f>
        <v>1</v>
      </c>
      <c r="F167" s="20">
        <f>IF('1. Yixian'!F167="","",IF('1. Yixian'!F167='2. Nayoung'!F167,1,0))</f>
        <v>1</v>
      </c>
      <c r="G167" s="20">
        <f>IF('1. Yixian'!G167="","",IF('1. Yixian'!G167='2. Nayoung'!G167,1,0))</f>
        <v>1</v>
      </c>
      <c r="H167" s="20">
        <f>IF('1. Yixian'!J167="","",IF(RIGHT('1. Yixian'!J167,3)=RIGHT('2. Nayoung'!J167,3),1,0))</f>
        <v>0</v>
      </c>
      <c r="I167" s="20">
        <f>IF(H167="","",IF(OR('2. Nayoung'!K167="", '1. Yixian'!K167 = ""),0,1))</f>
        <v>1</v>
      </c>
      <c r="J167" s="20">
        <f>IF('1. Yixian'!L167="","",IF('1. Yixian'!L167='2. Nayoung'!L167,1,0))</f>
        <v>1</v>
      </c>
      <c r="K167" s="20">
        <f>IF('1. Yixian'!M167="","",IF('1. Yixian'!M167='2. Nayoung'!M167,1,0))</f>
        <v>1</v>
      </c>
      <c r="L167" s="20">
        <f>IF('1. Yixian'!N167="","",IF('1. Yixian'!N167='2. Nayoung'!N167,1,0))</f>
        <v>1</v>
      </c>
      <c r="M167" s="20">
        <f>IF('1. Yixian'!O167="","",IF('1. Yixian'!O167='2. Nayoung'!O167,1,0))</f>
        <v>1</v>
      </c>
      <c r="N167" s="20">
        <f>IF('1. Yixian'!P167="","",IF('1. Yixian'!P167='2. Nayoung'!P167,1,0))</f>
        <v>1</v>
      </c>
      <c r="O167" s="20">
        <f>IF('1. Yixian'!Q167="","",IF('1. Yixian'!Q167='2. Nayoung'!Q167,1,0))</f>
        <v>1</v>
      </c>
      <c r="P167" s="20">
        <f>IF('1. Yixian'!R167="","",IF('1. Yixian'!R167='2. Nayoung'!R167,1,0))</f>
        <v>1</v>
      </c>
      <c r="Q167" s="20">
        <f>IF('1. Yixian'!S167="","",IF('1. Yixian'!S167='2. Nayoung'!S167,1,0))</f>
        <v>1</v>
      </c>
      <c r="R167" s="20">
        <f>IF('1. Yixian'!T167="","",IF('1. Yixian'!T167='2. Nayoung'!T167,1,0))</f>
        <v>1</v>
      </c>
      <c r="S167" s="20">
        <f>IF(R167="","",IF(OR('2. Nayoung'!U167="", '1. Yixian'!U167 = ""),0,1))</f>
        <v>1</v>
      </c>
      <c r="T167" s="20">
        <f>IF('1. Yixian'!V167="","",IF('1. Yixian'!V167='2. Nayoung'!V167,1,0))</f>
        <v>1</v>
      </c>
      <c r="U167" s="20">
        <f>IF('1. Yixian'!W167="","",IF('1. Yixian'!W167='2. Nayoung'!W167,1,0))</f>
        <v>1</v>
      </c>
      <c r="V167" s="20">
        <f>IF('1. Yixian'!X167="","",IF('1. Yixian'!X167='2. Nayoung'!X167,1,0))</f>
        <v>1</v>
      </c>
      <c r="W167" s="20">
        <f>IF('1. Yixian'!Y167="","",IF('1. Yixian'!Y167='2. Nayoung'!Y167,1,0))</f>
        <v>1</v>
      </c>
      <c r="X167" s="20">
        <f>IF('1. Yixian'!Z167="","",IF('1. Yixian'!Z167='2. Nayoung'!Z167,1,0))</f>
        <v>1</v>
      </c>
      <c r="Y167" s="20">
        <f>IF('1. Yixian'!AA167="","",IF('1. Yixian'!AA167='2. Nayoung'!AA167,1,0))</f>
        <v>1</v>
      </c>
      <c r="Z167" s="20">
        <f>IF('1. Yixian'!AB167="","",IF('1. Yixian'!AB167='2. Nayoung'!AB167,1,0))</f>
        <v>1</v>
      </c>
      <c r="AA167" s="20">
        <f>IF('1. Yixian'!AC167="","",IF('1. Yixian'!AC167='2. Nayoung'!AC167,1,0))</f>
        <v>1</v>
      </c>
      <c r="AB167" s="20">
        <f>IF(OR('2. Nayoung'!AD166="", '1. Yixian'!AD167 = ""),0,1)</f>
        <v>1</v>
      </c>
      <c r="AC167" s="20">
        <f>IF('1. Yixian'!AE167="","",IF('1. Yixian'!AE167='2. Nayoung'!AE167,1,0))</f>
        <v>1</v>
      </c>
      <c r="AD167" s="20">
        <f>IF(OR('2. Nayoung'!AF167="", '1. Yixian'!AF167 = ""),0,1)</f>
        <v>1</v>
      </c>
      <c r="AF167" s="20">
        <f>IF('1. Yixian'!AH167="","",IF('1. Yixian'!AH167='2. Nayoung'!AH167,1,0))</f>
        <v>1</v>
      </c>
      <c r="AG167" s="20">
        <f>IF('1. Yixian'!AI167="","",IF('1. Yixian'!AI167='2. Nayoung'!AI167,1,0))</f>
        <v>1</v>
      </c>
      <c r="AH167" s="20">
        <f>IF('1. Yixian'!AJ167="","",IF('1. Yixian'!AJ167='2. Nayoung'!AJ167,1,0))</f>
        <v>1</v>
      </c>
      <c r="AI167" s="20">
        <f>IF('1. Yixian'!AK167="","",IF('1. Yixian'!AK167='2. Nayoung'!AK167,1,0))</f>
        <v>1</v>
      </c>
      <c r="AJ167" s="20">
        <f>IF('1. Yixian'!AL167="","",IF('1. Yixian'!AL167='2. Nayoung'!AL167,1,0))</f>
        <v>1</v>
      </c>
      <c r="AK167" s="20">
        <f>IF('1. Yixian'!AM167="","",IF('1. Yixian'!AM167='2. Nayoung'!AM167,1,0))</f>
        <v>1</v>
      </c>
      <c r="AL167" s="20" t="str">
        <f>IF('1. Yixian'!AT167="","",IF('1. Yixian'!AT167='2. Nayoung'!AT167,1,0))</f>
        <v/>
      </c>
      <c r="AM167" s="20" t="str">
        <f>IF('1. Yixian'!AU167="","",IF('1. Yixian'!AU167='2. Nayoung'!AU167,1,0))</f>
        <v/>
      </c>
      <c r="AN167" s="2"/>
    </row>
    <row r="168" spans="1:40" s="20" customFormat="1" ht="17" hidden="1" customHeight="1">
      <c r="A168" s="20" t="str">
        <f>IF('1. Yixian'!A168="","",IF('1. Yixian'!A168='2. Nayoung'!A168,1,0))</f>
        <v/>
      </c>
      <c r="B168" s="20" t="str">
        <f>IF('1. Yixian'!B168="","",IF(RIGHT('1. Yixian'!B168,2)=RIGHT('2. Nayoung'!B168,2),1,0))</f>
        <v/>
      </c>
      <c r="C168" s="20" t="str">
        <f>IF('1. Yixian'!C168="","",IF('1. Yixian'!C168='2. Nayoung'!C168,1,0))</f>
        <v/>
      </c>
      <c r="E168" s="20" t="str">
        <f>IF('1. Yixian'!E168="","",IF('1. Yixian'!E168='2. Nayoung'!E168,1,0))</f>
        <v/>
      </c>
      <c r="F168" s="20" t="str">
        <f>IF('1. Yixian'!F168="","",IF('1. Yixian'!F168='2. Nayoung'!F168,1,0))</f>
        <v/>
      </c>
      <c r="G168" s="20" t="str">
        <f>IF('1. Yixian'!G168="","",IF('1. Yixian'!G168='2. Nayoung'!G168,1,0))</f>
        <v/>
      </c>
      <c r="H168" s="20" t="str">
        <f>IF('1. Yixian'!J168="","",IF(RIGHT('1. Yixian'!J168,3)=RIGHT('2. Nayoung'!J168,3),1,0))</f>
        <v/>
      </c>
      <c r="I168" s="20" t="str">
        <f>IF(H168="","",IF(OR('2. Nayoung'!K168="", '1. Yixian'!K168 = ""),0,1))</f>
        <v/>
      </c>
      <c r="J168" s="20" t="str">
        <f>IF('1. Yixian'!L168="","",IF('1. Yixian'!L168='2. Nayoung'!L168,1,0))</f>
        <v/>
      </c>
      <c r="K168" s="20" t="str">
        <f>IF('1. Yixian'!M168="","",IF('1. Yixian'!M168='2. Nayoung'!M168,1,0))</f>
        <v/>
      </c>
      <c r="L168" s="20" t="str">
        <f>IF('1. Yixian'!N168="","",IF('1. Yixian'!N168='2. Nayoung'!N168,1,0))</f>
        <v/>
      </c>
      <c r="M168" s="20" t="str">
        <f>IF('1. Yixian'!O168="","",IF('1. Yixian'!O168='2. Nayoung'!O168,1,0))</f>
        <v/>
      </c>
      <c r="N168" s="20" t="str">
        <f>IF('1. Yixian'!P168="","",IF('1. Yixian'!P168='2. Nayoung'!P168,1,0))</f>
        <v/>
      </c>
      <c r="O168" s="20" t="str">
        <f>IF('1. Yixian'!Q168="","",IF('1. Yixian'!Q168='2. Nayoung'!Q168,1,0))</f>
        <v/>
      </c>
      <c r="P168" s="20" t="str">
        <f>IF('1. Yixian'!R168="","",IF('1. Yixian'!R168='2. Nayoung'!R168,1,0))</f>
        <v/>
      </c>
      <c r="Q168" s="20" t="str">
        <f>IF('1. Yixian'!S168="","",IF('1. Yixian'!S168='2. Nayoung'!S168,1,0))</f>
        <v/>
      </c>
      <c r="R168" s="20" t="str">
        <f>IF('1. Yixian'!T168="","",IF('1. Yixian'!T168='2. Nayoung'!T168,1,0))</f>
        <v/>
      </c>
      <c r="S168" s="20" t="str">
        <f>IF(R168="","",IF(OR('2. Nayoung'!U168="", '1. Yixian'!U168 = ""),0,1))</f>
        <v/>
      </c>
      <c r="T168" s="20" t="str">
        <f>IF('1. Yixian'!V168="","",IF('1. Yixian'!V168='2. Nayoung'!V168,1,0))</f>
        <v/>
      </c>
      <c r="U168" s="20" t="str">
        <f>IF('1. Yixian'!W168="","",IF('1. Yixian'!W168='2. Nayoung'!W168,1,0))</f>
        <v/>
      </c>
      <c r="V168" s="20" t="str">
        <f>IF('1. Yixian'!X168="","",IF('1. Yixian'!X168='2. Nayoung'!X168,1,0))</f>
        <v/>
      </c>
      <c r="W168" s="20" t="str">
        <f>IF('1. Yixian'!Y168="","",IF('1. Yixian'!Y168='2. Nayoung'!Y168,1,0))</f>
        <v/>
      </c>
      <c r="X168" s="20" t="str">
        <f>IF('1. Yixian'!Z168="","",IF('1. Yixian'!Z168='2. Nayoung'!Z168,1,0))</f>
        <v/>
      </c>
      <c r="Y168" s="20" t="str">
        <f>IF('1. Yixian'!AA168="","",IF('1. Yixian'!AA168='2. Nayoung'!AA168,1,0))</f>
        <v/>
      </c>
      <c r="Z168" s="20" t="str">
        <f>IF('1. Yixian'!AB168="","",IF('1. Yixian'!AB168='2. Nayoung'!AB168,1,0))</f>
        <v/>
      </c>
      <c r="AA168" s="20" t="str">
        <f>IF('1. Yixian'!AC168="","",IF('1. Yixian'!AC168='2. Nayoung'!AC168,1,0))</f>
        <v/>
      </c>
      <c r="AB168" s="20">
        <f>IF(OR('2. Nayoung'!AD167="", '1. Yixian'!AD168 = ""),0,1)</f>
        <v>1</v>
      </c>
      <c r="AC168" s="20">
        <f>IF('1. Yixian'!AE168="","",IF('1. Yixian'!AE168='2. Nayoung'!AE168,1,0))</f>
        <v>1</v>
      </c>
      <c r="AD168" s="20">
        <f>IF(OR('2. Nayoung'!AF168="", '1. Yixian'!AF168 = ""),0,1)</f>
        <v>1</v>
      </c>
      <c r="AF168" s="20">
        <f>IF('1. Yixian'!AH168="","",IF('1. Yixian'!AH168='2. Nayoung'!AH168,1,0))</f>
        <v>1</v>
      </c>
      <c r="AG168" s="20">
        <f>IF('1. Yixian'!AI168="","",IF('1. Yixian'!AI168='2. Nayoung'!AI168,1,0))</f>
        <v>1</v>
      </c>
      <c r="AH168" s="20">
        <f>IF('1. Yixian'!AJ168="","",IF('1. Yixian'!AJ168='2. Nayoung'!AJ168,1,0))</f>
        <v>1</v>
      </c>
      <c r="AI168" s="20">
        <f>IF('1. Yixian'!AK168="","",IF('1. Yixian'!AK168='2. Nayoung'!AK168,1,0))</f>
        <v>1</v>
      </c>
      <c r="AJ168" s="20">
        <f>IF('1. Yixian'!AL168="","",IF('1. Yixian'!AL168='2. Nayoung'!AL168,1,0))</f>
        <v>1</v>
      </c>
      <c r="AK168" s="20">
        <f>IF('1. Yixian'!AM168="","",IF('1. Yixian'!AM168='2. Nayoung'!AM168,1,0))</f>
        <v>1</v>
      </c>
      <c r="AL168" s="20" t="str">
        <f>IF('1. Yixian'!AT168="","",IF('1. Yixian'!AT168='2. Nayoung'!AT168,1,0))</f>
        <v/>
      </c>
      <c r="AM168" s="20" t="str">
        <f>IF('1. Yixian'!AU168="","",IF('1. Yixian'!AU168='2. Nayoung'!AU168,1,0))</f>
        <v/>
      </c>
      <c r="AN168" s="2"/>
    </row>
    <row r="169" spans="1:40" s="20" customFormat="1" ht="17" hidden="1" customHeight="1">
      <c r="A169" s="20" t="str">
        <f>IF('1. Yixian'!A169="","",IF('1. Yixian'!A169='2. Nayoung'!A169,1,0))</f>
        <v/>
      </c>
      <c r="B169" s="20" t="str">
        <f>IF('1. Yixian'!B169="","",IF(RIGHT('1. Yixian'!B169,2)=RIGHT('2. Nayoung'!B169,2),1,0))</f>
        <v/>
      </c>
      <c r="C169" s="20" t="str">
        <f>IF('1. Yixian'!C169="","",IF('1. Yixian'!C169='2. Nayoung'!C169,1,0))</f>
        <v/>
      </c>
      <c r="E169" s="20" t="str">
        <f>IF('1. Yixian'!E169="","",IF('1. Yixian'!E169='2. Nayoung'!E169,1,0))</f>
        <v/>
      </c>
      <c r="F169" s="20" t="str">
        <f>IF('1. Yixian'!F169="","",IF('1. Yixian'!F169='2. Nayoung'!F169,1,0))</f>
        <v/>
      </c>
      <c r="G169" s="20" t="str">
        <f>IF('1. Yixian'!G169="","",IF('1. Yixian'!G169='2. Nayoung'!G169,1,0))</f>
        <v/>
      </c>
      <c r="H169" s="20" t="str">
        <f>IF('1. Yixian'!J169="","",IF(RIGHT('1. Yixian'!J169,3)=RIGHT('2. Nayoung'!J169,3),1,0))</f>
        <v/>
      </c>
      <c r="I169" s="20" t="str">
        <f>IF(H169="","",IF(OR('2. Nayoung'!K169="", '1. Yixian'!K169 = ""),0,1))</f>
        <v/>
      </c>
      <c r="J169" s="20" t="str">
        <f>IF('1. Yixian'!L169="","",IF('1. Yixian'!L169='2. Nayoung'!L169,1,0))</f>
        <v/>
      </c>
      <c r="K169" s="20" t="str">
        <f>IF('1. Yixian'!M169="","",IF('1. Yixian'!M169='2. Nayoung'!M169,1,0))</f>
        <v/>
      </c>
      <c r="L169" s="20" t="str">
        <f>IF('1. Yixian'!N169="","",IF('1. Yixian'!N169='2. Nayoung'!N169,1,0))</f>
        <v/>
      </c>
      <c r="M169" s="20" t="str">
        <f>IF('1. Yixian'!O169="","",IF('1. Yixian'!O169='2. Nayoung'!O169,1,0))</f>
        <v/>
      </c>
      <c r="N169" s="20" t="str">
        <f>IF('1. Yixian'!P169="","",IF('1. Yixian'!P169='2. Nayoung'!P169,1,0))</f>
        <v/>
      </c>
      <c r="O169" s="20" t="str">
        <f>IF('1. Yixian'!Q169="","",IF('1. Yixian'!Q169='2. Nayoung'!Q169,1,0))</f>
        <v/>
      </c>
      <c r="P169" s="20" t="str">
        <f>IF('1. Yixian'!R169="","",IF('1. Yixian'!R169='2. Nayoung'!R169,1,0))</f>
        <v/>
      </c>
      <c r="Q169" s="20" t="str">
        <f>IF('1. Yixian'!S169="","",IF('1. Yixian'!S169='2. Nayoung'!S169,1,0))</f>
        <v/>
      </c>
      <c r="R169" s="20" t="str">
        <f>IF('1. Yixian'!T169="","",IF('1. Yixian'!T169='2. Nayoung'!T169,1,0))</f>
        <v/>
      </c>
      <c r="S169" s="20" t="str">
        <f>IF(R169="","",IF(OR('2. Nayoung'!U169="", '1. Yixian'!U169 = ""),0,1))</f>
        <v/>
      </c>
      <c r="T169" s="20" t="str">
        <f>IF('1. Yixian'!V169="","",IF('1. Yixian'!V169='2. Nayoung'!V169,1,0))</f>
        <v/>
      </c>
      <c r="U169" s="20" t="str">
        <f>IF('1. Yixian'!W169="","",IF('1. Yixian'!W169='2. Nayoung'!W169,1,0))</f>
        <v/>
      </c>
      <c r="V169" s="20" t="str">
        <f>IF('1. Yixian'!X169="","",IF('1. Yixian'!X169='2. Nayoung'!X169,1,0))</f>
        <v/>
      </c>
      <c r="W169" s="20" t="str">
        <f>IF('1. Yixian'!Y169="","",IF('1. Yixian'!Y169='2. Nayoung'!Y169,1,0))</f>
        <v/>
      </c>
      <c r="X169" s="20" t="str">
        <f>IF('1. Yixian'!Z169="","",IF('1. Yixian'!Z169='2. Nayoung'!Z169,1,0))</f>
        <v/>
      </c>
      <c r="Y169" s="20" t="str">
        <f>IF('1. Yixian'!AA169="","",IF('1. Yixian'!AA169='2. Nayoung'!AA169,1,0))</f>
        <v/>
      </c>
      <c r="Z169" s="20" t="str">
        <f>IF('1. Yixian'!AB169="","",IF('1. Yixian'!AB169='2. Nayoung'!AB169,1,0))</f>
        <v/>
      </c>
      <c r="AA169" s="20" t="str">
        <f>IF('1. Yixian'!AC169="","",IF('1. Yixian'!AC169='2. Nayoung'!AC169,1,0))</f>
        <v/>
      </c>
      <c r="AB169" s="20">
        <f>IF(OR('2. Nayoung'!AD168="", '1. Yixian'!AD169 = ""),0,1)</f>
        <v>1</v>
      </c>
      <c r="AC169" s="20">
        <f>IF('1. Yixian'!AE169="","",IF('1. Yixian'!AE169='2. Nayoung'!AE169,1,0))</f>
        <v>1</v>
      </c>
      <c r="AD169" s="20">
        <f>IF(OR('2. Nayoung'!AF169="", '1. Yixian'!AF169 = ""),0,1)</f>
        <v>1</v>
      </c>
      <c r="AF169" s="20">
        <f>IF('1. Yixian'!AH169="","",IF('1. Yixian'!AH169='2. Nayoung'!AH169,1,0))</f>
        <v>1</v>
      </c>
      <c r="AG169" s="20">
        <f>IF('1. Yixian'!AI169="","",IF('1. Yixian'!AI169='2. Nayoung'!AI169,1,0))</f>
        <v>1</v>
      </c>
      <c r="AH169" s="20">
        <f>IF('1. Yixian'!AJ169="","",IF('1. Yixian'!AJ169='2. Nayoung'!AJ169,1,0))</f>
        <v>1</v>
      </c>
      <c r="AI169" s="20">
        <f>IF('1. Yixian'!AK169="","",IF('1. Yixian'!AK169='2. Nayoung'!AK169,1,0))</f>
        <v>1</v>
      </c>
      <c r="AJ169" s="20">
        <f>IF('1. Yixian'!AL169="","",IF('1. Yixian'!AL169='2. Nayoung'!AL169,1,0))</f>
        <v>1</v>
      </c>
      <c r="AK169" s="20">
        <f>IF('1. Yixian'!AM169="","",IF('1. Yixian'!AM169='2. Nayoung'!AM169,1,0))</f>
        <v>1</v>
      </c>
      <c r="AL169" s="20" t="str">
        <f>IF('1. Yixian'!AT169="","",IF('1. Yixian'!AT169='2. Nayoung'!AT169,1,0))</f>
        <v/>
      </c>
      <c r="AM169" s="20" t="str">
        <f>IF('1. Yixian'!AU169="","",IF('1. Yixian'!AU169='2. Nayoung'!AU169,1,0))</f>
        <v/>
      </c>
      <c r="AN169" s="2"/>
    </row>
    <row r="170" spans="1:40" s="20" customFormat="1" ht="17" hidden="1" customHeight="1">
      <c r="A170" s="20" t="str">
        <f>IF('1. Yixian'!A170="","",IF('1. Yixian'!A170='2. Nayoung'!A170,1,0))</f>
        <v/>
      </c>
      <c r="B170" s="20" t="str">
        <f>IF('1. Yixian'!B170="","",IF(RIGHT('1. Yixian'!B170,2)=RIGHT('2. Nayoung'!B170,2),1,0))</f>
        <v/>
      </c>
      <c r="C170" s="20" t="str">
        <f>IF('1. Yixian'!C170="","",IF('1. Yixian'!C170='2. Nayoung'!C170,1,0))</f>
        <v/>
      </c>
      <c r="E170" s="20" t="str">
        <f>IF('1. Yixian'!E170="","",IF('1. Yixian'!E170='2. Nayoung'!E170,1,0))</f>
        <v/>
      </c>
      <c r="F170" s="20" t="str">
        <f>IF('1. Yixian'!F170="","",IF('1. Yixian'!F170='2. Nayoung'!F170,1,0))</f>
        <v/>
      </c>
      <c r="G170" s="20" t="str">
        <f>IF('1. Yixian'!G170="","",IF('1. Yixian'!G170='2. Nayoung'!G170,1,0))</f>
        <v/>
      </c>
      <c r="H170" s="20" t="str">
        <f>IF('1. Yixian'!J170="","",IF(RIGHT('1. Yixian'!J170,3)=RIGHT('2. Nayoung'!J170,3),1,0))</f>
        <v/>
      </c>
      <c r="I170" s="20" t="str">
        <f>IF(H170="","",IF(OR('2. Nayoung'!K170="", '1. Yixian'!K170 = ""),0,1))</f>
        <v/>
      </c>
      <c r="J170" s="20" t="str">
        <f>IF('1. Yixian'!L170="","",IF('1. Yixian'!L170='2. Nayoung'!L170,1,0))</f>
        <v/>
      </c>
      <c r="K170" s="20" t="str">
        <f>IF('1. Yixian'!M170="","",IF('1. Yixian'!M170='2. Nayoung'!M170,1,0))</f>
        <v/>
      </c>
      <c r="L170" s="20" t="str">
        <f>IF('1. Yixian'!N170="","",IF('1. Yixian'!N170='2. Nayoung'!N170,1,0))</f>
        <v/>
      </c>
      <c r="M170" s="20" t="str">
        <f>IF('1. Yixian'!O170="","",IF('1. Yixian'!O170='2. Nayoung'!O170,1,0))</f>
        <v/>
      </c>
      <c r="N170" s="20" t="str">
        <f>IF('1. Yixian'!P170="","",IF('1. Yixian'!P170='2. Nayoung'!P170,1,0))</f>
        <v/>
      </c>
      <c r="O170" s="20" t="str">
        <f>IF('1. Yixian'!Q170="","",IF('1. Yixian'!Q170='2. Nayoung'!Q170,1,0))</f>
        <v/>
      </c>
      <c r="P170" s="20" t="str">
        <f>IF('1. Yixian'!R170="","",IF('1. Yixian'!R170='2. Nayoung'!R170,1,0))</f>
        <v/>
      </c>
      <c r="Q170" s="20" t="str">
        <f>IF('1. Yixian'!S170="","",IF('1. Yixian'!S170='2. Nayoung'!S170,1,0))</f>
        <v/>
      </c>
      <c r="R170" s="20" t="str">
        <f>IF('1. Yixian'!T170="","",IF('1. Yixian'!T170='2. Nayoung'!T170,1,0))</f>
        <v/>
      </c>
      <c r="S170" s="20" t="str">
        <f>IF(R170="","",IF(OR('2. Nayoung'!U170="", '1. Yixian'!U170 = ""),0,1))</f>
        <v/>
      </c>
      <c r="T170" s="20" t="str">
        <f>IF('1. Yixian'!V170="","",IF('1. Yixian'!V170='2. Nayoung'!V170,1,0))</f>
        <v/>
      </c>
      <c r="U170" s="20" t="str">
        <f>IF('1. Yixian'!W170="","",IF('1. Yixian'!W170='2. Nayoung'!W170,1,0))</f>
        <v/>
      </c>
      <c r="V170" s="20" t="str">
        <f>IF('1. Yixian'!X170="","",IF('1. Yixian'!X170='2. Nayoung'!X170,1,0))</f>
        <v/>
      </c>
      <c r="W170" s="20" t="str">
        <f>IF('1. Yixian'!Y170="","",IF('1. Yixian'!Y170='2. Nayoung'!Y170,1,0))</f>
        <v/>
      </c>
      <c r="X170" s="20" t="str">
        <f>IF('1. Yixian'!Z170="","",IF('1. Yixian'!Z170='2. Nayoung'!Z170,1,0))</f>
        <v/>
      </c>
      <c r="Y170" s="20" t="str">
        <f>IF('1. Yixian'!AA170="","",IF('1. Yixian'!AA170='2. Nayoung'!AA170,1,0))</f>
        <v/>
      </c>
      <c r="Z170" s="20" t="str">
        <f>IF('1. Yixian'!AB170="","",IF('1. Yixian'!AB170='2. Nayoung'!AB170,1,0))</f>
        <v/>
      </c>
      <c r="AA170" s="20" t="str">
        <f>IF('1. Yixian'!AC170="","",IF('1. Yixian'!AC170='2. Nayoung'!AC170,1,0))</f>
        <v/>
      </c>
      <c r="AB170" s="20">
        <f>IF(OR('2. Nayoung'!AD169="", '1. Yixian'!AD170 = ""),0,1)</f>
        <v>1</v>
      </c>
      <c r="AC170" s="20">
        <f>IF('1. Yixian'!AE170="","",IF('1. Yixian'!AE170='2. Nayoung'!AE170,1,0))</f>
        <v>1</v>
      </c>
      <c r="AD170" s="20">
        <f>IF(OR('2. Nayoung'!AF170="", '1. Yixian'!AF170 = ""),0,1)</f>
        <v>1</v>
      </c>
      <c r="AF170" s="20">
        <f>IF('1. Yixian'!AH170="","",IF('1. Yixian'!AH170='2. Nayoung'!AH170,1,0))</f>
        <v>1</v>
      </c>
      <c r="AG170" s="20">
        <f>IF('1. Yixian'!AI170="","",IF('1. Yixian'!AI170='2. Nayoung'!AI170,1,0))</f>
        <v>1</v>
      </c>
      <c r="AH170" s="20">
        <f>IF('1. Yixian'!AJ170="","",IF('1. Yixian'!AJ170='2. Nayoung'!AJ170,1,0))</f>
        <v>1</v>
      </c>
      <c r="AI170" s="20">
        <f>IF('1. Yixian'!AK170="","",IF('1. Yixian'!AK170='2. Nayoung'!AK170,1,0))</f>
        <v>1</v>
      </c>
      <c r="AJ170" s="20">
        <f>IF('1. Yixian'!AL170="","",IF('1. Yixian'!AL170='2. Nayoung'!AL170,1,0))</f>
        <v>1</v>
      </c>
      <c r="AK170" s="20">
        <f>IF('1. Yixian'!AM170="","",IF('1. Yixian'!AM170='2. Nayoung'!AM170,1,0))</f>
        <v>1</v>
      </c>
      <c r="AL170" s="20" t="str">
        <f>IF('1. Yixian'!AT170="","",IF('1. Yixian'!AT170='2. Nayoung'!AT170,1,0))</f>
        <v/>
      </c>
      <c r="AM170" s="20" t="str">
        <f>IF('1. Yixian'!AU170="","",IF('1. Yixian'!AU170='2. Nayoung'!AU170,1,0))</f>
        <v/>
      </c>
      <c r="AN170" s="2"/>
    </row>
    <row r="171" spans="1:40" s="20" customFormat="1" ht="17" hidden="1" customHeight="1">
      <c r="A171" s="20" t="str">
        <f>IF('1. Yixian'!A171="","",IF('1. Yixian'!A171='2. Nayoung'!A171,1,0))</f>
        <v/>
      </c>
      <c r="B171" s="20" t="str">
        <f>IF('1. Yixian'!B171="","",IF(RIGHT('1. Yixian'!B171,2)=RIGHT('2. Nayoung'!B171,2),1,0))</f>
        <v/>
      </c>
      <c r="C171" s="20" t="str">
        <f>IF('1. Yixian'!C171="","",IF('1. Yixian'!C171='2. Nayoung'!C171,1,0))</f>
        <v/>
      </c>
      <c r="E171" s="20" t="str">
        <f>IF('1. Yixian'!E171="","",IF('1. Yixian'!E171='2. Nayoung'!E171,1,0))</f>
        <v/>
      </c>
      <c r="F171" s="20" t="str">
        <f>IF('1. Yixian'!F171="","",IF('1. Yixian'!F171='2. Nayoung'!F171,1,0))</f>
        <v/>
      </c>
      <c r="G171" s="20" t="str">
        <f>IF('1. Yixian'!G171="","",IF('1. Yixian'!G171='2. Nayoung'!G171,1,0))</f>
        <v/>
      </c>
      <c r="H171" s="20" t="str">
        <f>IF('1. Yixian'!J171="","",IF(RIGHT('1. Yixian'!J171,3)=RIGHT('2. Nayoung'!J171,3),1,0))</f>
        <v/>
      </c>
      <c r="I171" s="20" t="str">
        <f>IF(H171="","",IF(OR('2. Nayoung'!K171="", '1. Yixian'!K171 = ""),0,1))</f>
        <v/>
      </c>
      <c r="J171" s="20" t="str">
        <f>IF('1. Yixian'!L171="","",IF('1. Yixian'!L171='2. Nayoung'!L171,1,0))</f>
        <v/>
      </c>
      <c r="K171" s="20" t="str">
        <f>IF('1. Yixian'!M171="","",IF('1. Yixian'!M171='2. Nayoung'!M171,1,0))</f>
        <v/>
      </c>
      <c r="L171" s="20" t="str">
        <f>IF('1. Yixian'!N171="","",IF('1. Yixian'!N171='2. Nayoung'!N171,1,0))</f>
        <v/>
      </c>
      <c r="M171" s="20" t="str">
        <f>IF('1. Yixian'!O171="","",IF('1. Yixian'!O171='2. Nayoung'!O171,1,0))</f>
        <v/>
      </c>
      <c r="N171" s="20" t="str">
        <f>IF('1. Yixian'!P171="","",IF('1. Yixian'!P171='2. Nayoung'!P171,1,0))</f>
        <v/>
      </c>
      <c r="O171" s="20" t="str">
        <f>IF('1. Yixian'!Q171="","",IF('1. Yixian'!Q171='2. Nayoung'!Q171,1,0))</f>
        <v/>
      </c>
      <c r="P171" s="20" t="str">
        <f>IF('1. Yixian'!R171="","",IF('1. Yixian'!R171='2. Nayoung'!R171,1,0))</f>
        <v/>
      </c>
      <c r="Q171" s="20" t="str">
        <f>IF('1. Yixian'!S171="","",IF('1. Yixian'!S171='2. Nayoung'!S171,1,0))</f>
        <v/>
      </c>
      <c r="R171" s="20" t="str">
        <f>IF('1. Yixian'!T171="","",IF('1. Yixian'!T171='2. Nayoung'!T171,1,0))</f>
        <v/>
      </c>
      <c r="S171" s="20" t="str">
        <f>IF(R171="","",IF(OR('2. Nayoung'!U171="", '1. Yixian'!U171 = ""),0,1))</f>
        <v/>
      </c>
      <c r="T171" s="20" t="str">
        <f>IF('1. Yixian'!V171="","",IF('1. Yixian'!V171='2. Nayoung'!V171,1,0))</f>
        <v/>
      </c>
      <c r="U171" s="20" t="str">
        <f>IF('1. Yixian'!W171="","",IF('1. Yixian'!W171='2. Nayoung'!W171,1,0))</f>
        <v/>
      </c>
      <c r="V171" s="20" t="str">
        <f>IF('1. Yixian'!X171="","",IF('1. Yixian'!X171='2. Nayoung'!X171,1,0))</f>
        <v/>
      </c>
      <c r="W171" s="20" t="str">
        <f>IF('1. Yixian'!Y171="","",IF('1. Yixian'!Y171='2. Nayoung'!Y171,1,0))</f>
        <v/>
      </c>
      <c r="X171" s="20" t="str">
        <f>IF('1. Yixian'!Z171="","",IF('1. Yixian'!Z171='2. Nayoung'!Z171,1,0))</f>
        <v/>
      </c>
      <c r="Y171" s="20" t="str">
        <f>IF('1. Yixian'!AA171="","",IF('1. Yixian'!AA171='2. Nayoung'!AA171,1,0))</f>
        <v/>
      </c>
      <c r="Z171" s="20" t="str">
        <f>IF('1. Yixian'!AB171="","",IF('1. Yixian'!AB171='2. Nayoung'!AB171,1,0))</f>
        <v/>
      </c>
      <c r="AA171" s="20" t="str">
        <f>IF('1. Yixian'!AC171="","",IF('1. Yixian'!AC171='2. Nayoung'!AC171,1,0))</f>
        <v/>
      </c>
      <c r="AB171" s="20">
        <f>IF(OR('2. Nayoung'!AD170="", '1. Yixian'!AD171 = ""),0,1)</f>
        <v>1</v>
      </c>
      <c r="AC171" s="20">
        <f>IF('1. Yixian'!AE171="","",IF('1. Yixian'!AE171='2. Nayoung'!AE171,1,0))</f>
        <v>1</v>
      </c>
      <c r="AD171" s="20">
        <f>IF(OR('2. Nayoung'!AF171="", '1. Yixian'!AF171 = ""),0,1)</f>
        <v>1</v>
      </c>
      <c r="AF171" s="20">
        <f>IF('1. Yixian'!AH171="","",IF('1. Yixian'!AH171='2. Nayoung'!AH171,1,0))</f>
        <v>1</v>
      </c>
      <c r="AG171" s="20">
        <f>IF('1. Yixian'!AI171="","",IF('1. Yixian'!AI171='2. Nayoung'!AI171,1,0))</f>
        <v>1</v>
      </c>
      <c r="AH171" s="20">
        <f>IF('1. Yixian'!AJ171="","",IF('1. Yixian'!AJ171='2. Nayoung'!AJ171,1,0))</f>
        <v>1</v>
      </c>
      <c r="AI171" s="20">
        <f>IF('1. Yixian'!AK171="","",IF('1. Yixian'!AK171='2. Nayoung'!AK171,1,0))</f>
        <v>1</v>
      </c>
      <c r="AJ171" s="20">
        <f>IF('1. Yixian'!AL171="","",IF('1. Yixian'!AL171='2. Nayoung'!AL171,1,0))</f>
        <v>1</v>
      </c>
      <c r="AK171" s="20">
        <f>IF('1. Yixian'!AM171="","",IF('1. Yixian'!AM171='2. Nayoung'!AM171,1,0))</f>
        <v>1</v>
      </c>
      <c r="AL171" s="20" t="str">
        <f>IF('1. Yixian'!AT171="","",IF('1. Yixian'!AT171='2. Nayoung'!AT171,1,0))</f>
        <v/>
      </c>
      <c r="AM171" s="20" t="str">
        <f>IF('1. Yixian'!AU171="","",IF('1. Yixian'!AU171='2. Nayoung'!AU171,1,0))</f>
        <v/>
      </c>
      <c r="AN171" s="2"/>
    </row>
    <row r="172" spans="1:40" s="20" customFormat="1" ht="17" hidden="1" customHeight="1">
      <c r="A172" s="20" t="str">
        <f>IF('1. Yixian'!A172="","",IF('1. Yixian'!A172='2. Nayoung'!A172,1,0))</f>
        <v/>
      </c>
      <c r="B172" s="20" t="str">
        <f>IF('1. Yixian'!B172="","",IF(RIGHT('1. Yixian'!B172,2)=RIGHT('2. Nayoung'!B172,2),1,0))</f>
        <v/>
      </c>
      <c r="C172" s="20" t="str">
        <f>IF('1. Yixian'!C172="","",IF('1. Yixian'!C172='2. Nayoung'!C172,1,0))</f>
        <v/>
      </c>
      <c r="E172" s="20" t="str">
        <f>IF('1. Yixian'!E172="","",IF('1. Yixian'!E172='2. Nayoung'!E172,1,0))</f>
        <v/>
      </c>
      <c r="F172" s="20" t="str">
        <f>IF('1. Yixian'!F172="","",IF('1. Yixian'!F172='2. Nayoung'!F172,1,0))</f>
        <v/>
      </c>
      <c r="G172" s="20" t="str">
        <f>IF('1. Yixian'!G172="","",IF('1. Yixian'!G172='2. Nayoung'!G172,1,0))</f>
        <v/>
      </c>
      <c r="H172" s="20">
        <f>IF('1. Yixian'!J172="","",IF(RIGHT('1. Yixian'!J172,3)=RIGHT('2. Nayoung'!J172,3),1,0))</f>
        <v>0</v>
      </c>
      <c r="I172" s="20">
        <f>IF(H172="","",IF(OR('2. Nayoung'!K172="", '1. Yixian'!K172 = ""),0,1))</f>
        <v>1</v>
      </c>
      <c r="J172" s="20">
        <f>IF('1. Yixian'!L172="","",IF('1. Yixian'!L172='2. Nayoung'!L172,1,0))</f>
        <v>1</v>
      </c>
      <c r="K172" s="20">
        <f>IF('1. Yixian'!M172="","",IF('1. Yixian'!M172='2. Nayoung'!M172,1,0))</f>
        <v>1</v>
      </c>
      <c r="L172" s="20">
        <f>IF('1. Yixian'!N172="","",IF('1. Yixian'!N172='2. Nayoung'!N172,1,0))</f>
        <v>1</v>
      </c>
      <c r="M172" s="20">
        <f>IF('1. Yixian'!O172="","",IF('1. Yixian'!O172='2. Nayoung'!O172,1,0))</f>
        <v>1</v>
      </c>
      <c r="N172" s="20">
        <f>IF('1. Yixian'!P172="","",IF('1. Yixian'!P172='2. Nayoung'!P172,1,0))</f>
        <v>1</v>
      </c>
      <c r="O172" s="20">
        <f>IF('1. Yixian'!Q172="","",IF('1. Yixian'!Q172='2. Nayoung'!Q172,1,0))</f>
        <v>1</v>
      </c>
      <c r="P172" s="20">
        <f>IF('1. Yixian'!R172="","",IF('1. Yixian'!R172='2. Nayoung'!R172,1,0))</f>
        <v>1</v>
      </c>
      <c r="Q172" s="20">
        <f>IF('1. Yixian'!S172="","",IF('1. Yixian'!S172='2. Nayoung'!S172,1,0))</f>
        <v>1</v>
      </c>
      <c r="R172" s="20">
        <f>IF('1. Yixian'!T172="","",IF('1. Yixian'!T172='2. Nayoung'!T172,1,0))</f>
        <v>1</v>
      </c>
      <c r="S172" s="20">
        <f>IF(R172="","",IF(OR('2. Nayoung'!U172="", '1. Yixian'!U172 = ""),0,1))</f>
        <v>1</v>
      </c>
      <c r="T172" s="20">
        <f>IF('1. Yixian'!V172="","",IF('1. Yixian'!V172='2. Nayoung'!V172,1,0))</f>
        <v>1</v>
      </c>
      <c r="U172" s="20">
        <f>IF('1. Yixian'!W172="","",IF('1. Yixian'!W172='2. Nayoung'!W172,1,0))</f>
        <v>1</v>
      </c>
      <c r="V172" s="20">
        <f>IF('1. Yixian'!X172="","",IF('1. Yixian'!X172='2. Nayoung'!X172,1,0))</f>
        <v>1</v>
      </c>
      <c r="W172" s="20">
        <f>IF('1. Yixian'!Y172="","",IF('1. Yixian'!Y172='2. Nayoung'!Y172,1,0))</f>
        <v>1</v>
      </c>
      <c r="X172" s="20">
        <f>IF('1. Yixian'!Z172="","",IF('1. Yixian'!Z172='2. Nayoung'!Z172,1,0))</f>
        <v>1</v>
      </c>
      <c r="Y172" s="20">
        <f>IF('1. Yixian'!AA172="","",IF('1. Yixian'!AA172='2. Nayoung'!AA172,1,0))</f>
        <v>1</v>
      </c>
      <c r="Z172" s="20">
        <f>IF('1. Yixian'!AB172="","",IF('1. Yixian'!AB172='2. Nayoung'!AB172,1,0))</f>
        <v>1</v>
      </c>
      <c r="AA172" s="20">
        <f>IF('1. Yixian'!AC172="","",IF('1. Yixian'!AC172='2. Nayoung'!AC172,1,0))</f>
        <v>1</v>
      </c>
      <c r="AB172" s="20">
        <f>IF(OR('2. Nayoung'!AD171="", '1. Yixian'!AD172 = ""),0,1)</f>
        <v>1</v>
      </c>
      <c r="AC172" s="20">
        <f>IF('1. Yixian'!AE172="","",IF('1. Yixian'!AE172='2. Nayoung'!AE172,1,0))</f>
        <v>1</v>
      </c>
      <c r="AD172" s="20">
        <f>IF(OR('2. Nayoung'!AF172="", '1. Yixian'!AF172 = ""),0,1)</f>
        <v>1</v>
      </c>
      <c r="AF172" s="20">
        <f>IF('1. Yixian'!AH172="","",IF('1. Yixian'!AH172='2. Nayoung'!AH172,1,0))</f>
        <v>1</v>
      </c>
      <c r="AG172" s="20">
        <f>IF('1. Yixian'!AI172="","",IF('1. Yixian'!AI172='2. Nayoung'!AI172,1,0))</f>
        <v>1</v>
      </c>
      <c r="AH172" s="20">
        <f>IF('1. Yixian'!AJ172="","",IF('1. Yixian'!AJ172='2. Nayoung'!AJ172,1,0))</f>
        <v>1</v>
      </c>
      <c r="AI172" s="20">
        <f>IF('1. Yixian'!AK172="","",IF('1. Yixian'!AK172='2. Nayoung'!AK172,1,0))</f>
        <v>1</v>
      </c>
      <c r="AJ172" s="20">
        <f>IF('1. Yixian'!AL172="","",IF('1. Yixian'!AL172='2. Nayoung'!AL172,1,0))</f>
        <v>1</v>
      </c>
      <c r="AK172" s="20">
        <f>IF('1. Yixian'!AM172="","",IF('1. Yixian'!AM172='2. Nayoung'!AM172,1,0))</f>
        <v>1</v>
      </c>
      <c r="AL172" s="20" t="str">
        <f>IF('1. Yixian'!AT172="","",IF('1. Yixian'!AT172='2. Nayoung'!AT172,1,0))</f>
        <v/>
      </c>
      <c r="AM172" s="20" t="str">
        <f>IF('1. Yixian'!AU172="","",IF('1. Yixian'!AU172='2. Nayoung'!AU172,1,0))</f>
        <v/>
      </c>
      <c r="AN172" s="2"/>
    </row>
    <row r="173" spans="1:40" s="20" customFormat="1" ht="17" hidden="1" customHeight="1">
      <c r="A173" s="20" t="str">
        <f>IF('1. Yixian'!A173="","",IF('1. Yixian'!A173='2. Nayoung'!A173,1,0))</f>
        <v/>
      </c>
      <c r="B173" s="20" t="str">
        <f>IF('1. Yixian'!B173="","",IF(RIGHT('1. Yixian'!B173,2)=RIGHT('2. Nayoung'!B173,2),1,0))</f>
        <v/>
      </c>
      <c r="C173" s="20" t="str">
        <f>IF('1. Yixian'!C173="","",IF('1. Yixian'!C173='2. Nayoung'!C173,1,0))</f>
        <v/>
      </c>
      <c r="E173" s="20" t="str">
        <f>IF('1. Yixian'!E173="","",IF('1. Yixian'!E173='2. Nayoung'!E173,1,0))</f>
        <v/>
      </c>
      <c r="F173" s="20" t="str">
        <f>IF('1. Yixian'!F173="","",IF('1. Yixian'!F173='2. Nayoung'!F173,1,0))</f>
        <v/>
      </c>
      <c r="G173" s="20" t="str">
        <f>IF('1. Yixian'!G173="","",IF('1. Yixian'!G173='2. Nayoung'!G173,1,0))</f>
        <v/>
      </c>
      <c r="H173" s="20" t="str">
        <f>IF('1. Yixian'!J173="","",IF(RIGHT('1. Yixian'!J173,3)=RIGHT('2. Nayoung'!J173,3),1,0))</f>
        <v/>
      </c>
      <c r="I173" s="20" t="str">
        <f>IF(H173="","",IF(OR('2. Nayoung'!K173="", '1. Yixian'!K173 = ""),0,1))</f>
        <v/>
      </c>
      <c r="J173" s="20" t="str">
        <f>IF('1. Yixian'!L173="","",IF('1. Yixian'!L173='2. Nayoung'!L173,1,0))</f>
        <v/>
      </c>
      <c r="K173" s="20" t="str">
        <f>IF('1. Yixian'!M173="","",IF('1. Yixian'!M173='2. Nayoung'!M173,1,0))</f>
        <v/>
      </c>
      <c r="L173" s="20" t="str">
        <f>IF('1. Yixian'!N173="","",IF('1. Yixian'!N173='2. Nayoung'!N173,1,0))</f>
        <v/>
      </c>
      <c r="M173" s="20" t="str">
        <f>IF('1. Yixian'!O173="","",IF('1. Yixian'!O173='2. Nayoung'!O173,1,0))</f>
        <v/>
      </c>
      <c r="N173" s="20" t="str">
        <f>IF('1. Yixian'!P173="","",IF('1. Yixian'!P173='2. Nayoung'!P173,1,0))</f>
        <v/>
      </c>
      <c r="O173" s="20" t="str">
        <f>IF('1. Yixian'!Q173="","",IF('1. Yixian'!Q173='2. Nayoung'!Q173,1,0))</f>
        <v/>
      </c>
      <c r="P173" s="20" t="str">
        <f>IF('1. Yixian'!R173="","",IF('1. Yixian'!R173='2. Nayoung'!R173,1,0))</f>
        <v/>
      </c>
      <c r="Q173" s="20" t="str">
        <f>IF('1. Yixian'!S173="","",IF('1. Yixian'!S173='2. Nayoung'!S173,1,0))</f>
        <v/>
      </c>
      <c r="R173" s="20" t="str">
        <f>IF('1. Yixian'!T173="","",IF('1. Yixian'!T173='2. Nayoung'!T173,1,0))</f>
        <v/>
      </c>
      <c r="S173" s="20" t="str">
        <f>IF(R173="","",IF(OR('2. Nayoung'!U173="", '1. Yixian'!U173 = ""),0,1))</f>
        <v/>
      </c>
      <c r="T173" s="20" t="str">
        <f>IF('1. Yixian'!V173="","",IF('1. Yixian'!V173='2. Nayoung'!V173,1,0))</f>
        <v/>
      </c>
      <c r="U173" s="20" t="str">
        <f>IF('1. Yixian'!W173="","",IF('1. Yixian'!W173='2. Nayoung'!W173,1,0))</f>
        <v/>
      </c>
      <c r="V173" s="20" t="str">
        <f>IF('1. Yixian'!X173="","",IF('1. Yixian'!X173='2. Nayoung'!X173,1,0))</f>
        <v/>
      </c>
      <c r="W173" s="20" t="str">
        <f>IF('1. Yixian'!Y173="","",IF('1. Yixian'!Y173='2. Nayoung'!Y173,1,0))</f>
        <v/>
      </c>
      <c r="X173" s="20" t="str">
        <f>IF('1. Yixian'!Z173="","",IF('1. Yixian'!Z173='2. Nayoung'!Z173,1,0))</f>
        <v/>
      </c>
      <c r="Y173" s="20" t="str">
        <f>IF('1. Yixian'!AA173="","",IF('1. Yixian'!AA173='2. Nayoung'!AA173,1,0))</f>
        <v/>
      </c>
      <c r="Z173" s="20" t="str">
        <f>IF('1. Yixian'!AB173="","",IF('1. Yixian'!AB173='2. Nayoung'!AB173,1,0))</f>
        <v/>
      </c>
      <c r="AA173" s="20" t="str">
        <f>IF('1. Yixian'!AC173="","",IF('1. Yixian'!AC173='2. Nayoung'!AC173,1,0))</f>
        <v/>
      </c>
      <c r="AB173" s="20">
        <f>IF(OR('2. Nayoung'!AD172="", '1. Yixian'!AD173 = ""),0,1)</f>
        <v>1</v>
      </c>
      <c r="AC173" s="20">
        <f>IF('1. Yixian'!AE173="","",IF('1. Yixian'!AE173='2. Nayoung'!AE173,1,0))</f>
        <v>1</v>
      </c>
      <c r="AD173" s="20">
        <f>IF(OR('2. Nayoung'!AF173="", '1. Yixian'!AF173 = ""),0,1)</f>
        <v>1</v>
      </c>
      <c r="AF173" s="20">
        <f>IF('1. Yixian'!AH173="","",IF('1. Yixian'!AH173='2. Nayoung'!AH173,1,0))</f>
        <v>1</v>
      </c>
      <c r="AG173" s="20">
        <f>IF('1. Yixian'!AI173="","",IF('1. Yixian'!AI173='2. Nayoung'!AI173,1,0))</f>
        <v>1</v>
      </c>
      <c r="AH173" s="20">
        <f>IF('1. Yixian'!AJ173="","",IF('1. Yixian'!AJ173='2. Nayoung'!AJ173,1,0))</f>
        <v>1</v>
      </c>
      <c r="AI173" s="20">
        <f>IF('1. Yixian'!AK173="","",IF('1. Yixian'!AK173='2. Nayoung'!AK173,1,0))</f>
        <v>1</v>
      </c>
      <c r="AJ173" s="20">
        <f>IF('1. Yixian'!AL173="","",IF('1. Yixian'!AL173='2. Nayoung'!AL173,1,0))</f>
        <v>1</v>
      </c>
      <c r="AK173" s="20">
        <f>IF('1. Yixian'!AM173="","",IF('1. Yixian'!AM173='2. Nayoung'!AM173,1,0))</f>
        <v>1</v>
      </c>
      <c r="AL173" s="20" t="str">
        <f>IF('1. Yixian'!AT173="","",IF('1. Yixian'!AT173='2. Nayoung'!AT173,1,0))</f>
        <v/>
      </c>
      <c r="AM173" s="20" t="str">
        <f>IF('1. Yixian'!AU173="","",IF('1. Yixian'!AU173='2. Nayoung'!AU173,1,0))</f>
        <v/>
      </c>
      <c r="AN173" s="2"/>
    </row>
    <row r="174" spans="1:40" s="20" customFormat="1" ht="17" hidden="1" customHeight="1">
      <c r="A174" s="20" t="str">
        <f>IF('1. Yixian'!A174="","",IF('1. Yixian'!A174='2. Nayoung'!A174,1,0))</f>
        <v/>
      </c>
      <c r="B174" s="20" t="str">
        <f>IF('1. Yixian'!B174="","",IF(RIGHT('1. Yixian'!B174,2)=RIGHT('2. Nayoung'!B174,2),1,0))</f>
        <v/>
      </c>
      <c r="C174" s="20" t="str">
        <f>IF('1. Yixian'!C174="","",IF('1. Yixian'!C174='2. Nayoung'!C174,1,0))</f>
        <v/>
      </c>
      <c r="E174" s="20" t="str">
        <f>IF('1. Yixian'!E174="","",IF('1. Yixian'!E174='2. Nayoung'!E174,1,0))</f>
        <v/>
      </c>
      <c r="F174" s="20" t="str">
        <f>IF('1. Yixian'!F174="","",IF('1. Yixian'!F174='2. Nayoung'!F174,1,0))</f>
        <v/>
      </c>
      <c r="G174" s="20" t="str">
        <f>IF('1. Yixian'!G174="","",IF('1. Yixian'!G174='2. Nayoung'!G174,1,0))</f>
        <v/>
      </c>
      <c r="H174" s="20" t="str">
        <f>IF('1. Yixian'!J174="","",IF(RIGHT('1. Yixian'!J174,3)=RIGHT('2. Nayoung'!J174,3),1,0))</f>
        <v/>
      </c>
      <c r="I174" s="20" t="str">
        <f>IF(H174="","",IF(OR('2. Nayoung'!K174="", '1. Yixian'!K174 = ""),0,1))</f>
        <v/>
      </c>
      <c r="J174" s="20" t="str">
        <f>IF('1. Yixian'!L174="","",IF('1. Yixian'!L174='2. Nayoung'!L174,1,0))</f>
        <v/>
      </c>
      <c r="K174" s="20" t="str">
        <f>IF('1. Yixian'!M174="","",IF('1. Yixian'!M174='2. Nayoung'!M174,1,0))</f>
        <v/>
      </c>
      <c r="L174" s="20" t="str">
        <f>IF('1. Yixian'!N174="","",IF('1. Yixian'!N174='2. Nayoung'!N174,1,0))</f>
        <v/>
      </c>
      <c r="M174" s="20" t="str">
        <f>IF('1. Yixian'!O174="","",IF('1. Yixian'!O174='2. Nayoung'!O174,1,0))</f>
        <v/>
      </c>
      <c r="N174" s="20" t="str">
        <f>IF('1. Yixian'!P174="","",IF('1. Yixian'!P174='2. Nayoung'!P174,1,0))</f>
        <v/>
      </c>
      <c r="O174" s="20" t="str">
        <f>IF('1. Yixian'!Q174="","",IF('1. Yixian'!Q174='2. Nayoung'!Q174,1,0))</f>
        <v/>
      </c>
      <c r="P174" s="20" t="str">
        <f>IF('1. Yixian'!R174="","",IF('1. Yixian'!R174='2. Nayoung'!R174,1,0))</f>
        <v/>
      </c>
      <c r="Q174" s="20" t="str">
        <f>IF('1. Yixian'!S174="","",IF('1. Yixian'!S174='2. Nayoung'!S174,1,0))</f>
        <v/>
      </c>
      <c r="R174" s="20" t="str">
        <f>IF('1. Yixian'!T174="","",IF('1. Yixian'!T174='2. Nayoung'!T174,1,0))</f>
        <v/>
      </c>
      <c r="S174" s="20" t="str">
        <f>IF(R174="","",IF(OR('2. Nayoung'!U174="", '1. Yixian'!U174 = ""),0,1))</f>
        <v/>
      </c>
      <c r="T174" s="20" t="str">
        <f>IF('1. Yixian'!V174="","",IF('1. Yixian'!V174='2. Nayoung'!V174,1,0))</f>
        <v/>
      </c>
      <c r="U174" s="20" t="str">
        <f>IF('1. Yixian'!W174="","",IF('1. Yixian'!W174='2. Nayoung'!W174,1,0))</f>
        <v/>
      </c>
      <c r="V174" s="20" t="str">
        <f>IF('1. Yixian'!X174="","",IF('1. Yixian'!X174='2. Nayoung'!X174,1,0))</f>
        <v/>
      </c>
      <c r="W174" s="20" t="str">
        <f>IF('1. Yixian'!Y174="","",IF('1. Yixian'!Y174='2. Nayoung'!Y174,1,0))</f>
        <v/>
      </c>
      <c r="X174" s="20" t="str">
        <f>IF('1. Yixian'!Z174="","",IF('1. Yixian'!Z174='2. Nayoung'!Z174,1,0))</f>
        <v/>
      </c>
      <c r="Y174" s="20" t="str">
        <f>IF('1. Yixian'!AA174="","",IF('1. Yixian'!AA174='2. Nayoung'!AA174,1,0))</f>
        <v/>
      </c>
      <c r="Z174" s="20" t="str">
        <f>IF('1. Yixian'!AB174="","",IF('1. Yixian'!AB174='2. Nayoung'!AB174,1,0))</f>
        <v/>
      </c>
      <c r="AA174" s="20" t="str">
        <f>IF('1. Yixian'!AC174="","",IF('1. Yixian'!AC174='2. Nayoung'!AC174,1,0))</f>
        <v/>
      </c>
      <c r="AB174" s="20">
        <f>IF(OR('2. Nayoung'!AD173="", '1. Yixian'!AD174 = ""),0,1)</f>
        <v>1</v>
      </c>
      <c r="AC174" s="20">
        <f>IF('1. Yixian'!AE174="","",IF('1. Yixian'!AE174='2. Nayoung'!AE174,1,0))</f>
        <v>1</v>
      </c>
      <c r="AD174" s="20">
        <f>IF(OR('2. Nayoung'!AF174="", '1. Yixian'!AF174 = ""),0,1)</f>
        <v>1</v>
      </c>
      <c r="AF174" s="20">
        <f>IF('1. Yixian'!AH174="","",IF('1. Yixian'!AH174='2. Nayoung'!AH174,1,0))</f>
        <v>1</v>
      </c>
      <c r="AG174" s="20">
        <f>IF('1. Yixian'!AI174="","",IF('1. Yixian'!AI174='2. Nayoung'!AI174,1,0))</f>
        <v>1</v>
      </c>
      <c r="AH174" s="20">
        <f>IF('1. Yixian'!AJ174="","",IF('1. Yixian'!AJ174='2. Nayoung'!AJ174,1,0))</f>
        <v>1</v>
      </c>
      <c r="AI174" s="20">
        <f>IF('1. Yixian'!AK174="","",IF('1. Yixian'!AK174='2. Nayoung'!AK174,1,0))</f>
        <v>1</v>
      </c>
      <c r="AJ174" s="20">
        <f>IF('1. Yixian'!AL174="","",IF('1. Yixian'!AL174='2. Nayoung'!AL174,1,0))</f>
        <v>1</v>
      </c>
      <c r="AK174" s="20">
        <f>IF('1. Yixian'!AM174="","",IF('1. Yixian'!AM174='2. Nayoung'!AM174,1,0))</f>
        <v>1</v>
      </c>
      <c r="AL174" s="20" t="str">
        <f>IF('1. Yixian'!AT174="","",IF('1. Yixian'!AT174='2. Nayoung'!AT174,1,0))</f>
        <v/>
      </c>
      <c r="AM174" s="20" t="str">
        <f>IF('1. Yixian'!AU174="","",IF('1. Yixian'!AU174='2. Nayoung'!AU174,1,0))</f>
        <v/>
      </c>
      <c r="AN174" s="2"/>
    </row>
    <row r="175" spans="1:40" s="20" customFormat="1" ht="17" hidden="1" customHeight="1">
      <c r="A175" s="20" t="str">
        <f>IF('1. Yixian'!A175="","",IF('1. Yixian'!A175='2. Nayoung'!A175,1,0))</f>
        <v/>
      </c>
      <c r="B175" s="20" t="str">
        <f>IF('1. Yixian'!B175="","",IF(RIGHT('1. Yixian'!B175,2)=RIGHT('2. Nayoung'!B175,2),1,0))</f>
        <v/>
      </c>
      <c r="C175" s="20" t="str">
        <f>IF('1. Yixian'!C175="","",IF('1. Yixian'!C175='2. Nayoung'!C175,1,0))</f>
        <v/>
      </c>
      <c r="E175" s="20" t="str">
        <f>IF('1. Yixian'!E175="","",IF('1. Yixian'!E175='2. Nayoung'!E175,1,0))</f>
        <v/>
      </c>
      <c r="F175" s="20" t="str">
        <f>IF('1. Yixian'!F175="","",IF('1. Yixian'!F175='2. Nayoung'!F175,1,0))</f>
        <v/>
      </c>
      <c r="G175" s="20" t="str">
        <f>IF('1. Yixian'!G175="","",IF('1. Yixian'!G175='2. Nayoung'!G175,1,0))</f>
        <v/>
      </c>
      <c r="H175" s="20" t="str">
        <f>IF('1. Yixian'!J175="","",IF(RIGHT('1. Yixian'!J175,3)=RIGHT('2. Nayoung'!J175,3),1,0))</f>
        <v/>
      </c>
      <c r="I175" s="20" t="str">
        <f>IF(H175="","",IF(OR('2. Nayoung'!K175="", '1. Yixian'!K175 = ""),0,1))</f>
        <v/>
      </c>
      <c r="J175" s="20" t="str">
        <f>IF('1. Yixian'!L175="","",IF('1. Yixian'!L175='2. Nayoung'!L175,1,0))</f>
        <v/>
      </c>
      <c r="K175" s="20" t="str">
        <f>IF('1. Yixian'!M175="","",IF('1. Yixian'!M175='2. Nayoung'!M175,1,0))</f>
        <v/>
      </c>
      <c r="L175" s="20" t="str">
        <f>IF('1. Yixian'!N175="","",IF('1. Yixian'!N175='2. Nayoung'!N175,1,0))</f>
        <v/>
      </c>
      <c r="M175" s="20" t="str">
        <f>IF('1. Yixian'!O175="","",IF('1. Yixian'!O175='2. Nayoung'!O175,1,0))</f>
        <v/>
      </c>
      <c r="N175" s="20" t="str">
        <f>IF('1. Yixian'!P175="","",IF('1. Yixian'!P175='2. Nayoung'!P175,1,0))</f>
        <v/>
      </c>
      <c r="O175" s="20" t="str">
        <f>IF('1. Yixian'!Q175="","",IF('1. Yixian'!Q175='2. Nayoung'!Q175,1,0))</f>
        <v/>
      </c>
      <c r="P175" s="20" t="str">
        <f>IF('1. Yixian'!R175="","",IF('1. Yixian'!R175='2. Nayoung'!R175,1,0))</f>
        <v/>
      </c>
      <c r="Q175" s="20" t="str">
        <f>IF('1. Yixian'!S175="","",IF('1. Yixian'!S175='2. Nayoung'!S175,1,0))</f>
        <v/>
      </c>
      <c r="R175" s="20" t="str">
        <f>IF('1. Yixian'!T175="","",IF('1. Yixian'!T175='2. Nayoung'!T175,1,0))</f>
        <v/>
      </c>
      <c r="S175" s="20" t="str">
        <f>IF(R175="","",IF(OR('2. Nayoung'!U175="", '1. Yixian'!U175 = ""),0,1))</f>
        <v/>
      </c>
      <c r="T175" s="20" t="str">
        <f>IF('1. Yixian'!V175="","",IF('1. Yixian'!V175='2. Nayoung'!V175,1,0))</f>
        <v/>
      </c>
      <c r="U175" s="20" t="str">
        <f>IF('1. Yixian'!W175="","",IF('1. Yixian'!W175='2. Nayoung'!W175,1,0))</f>
        <v/>
      </c>
      <c r="V175" s="20" t="str">
        <f>IF('1. Yixian'!X175="","",IF('1. Yixian'!X175='2. Nayoung'!X175,1,0))</f>
        <v/>
      </c>
      <c r="W175" s="20" t="str">
        <f>IF('1. Yixian'!Y175="","",IF('1. Yixian'!Y175='2. Nayoung'!Y175,1,0))</f>
        <v/>
      </c>
      <c r="X175" s="20" t="str">
        <f>IF('1. Yixian'!Z175="","",IF('1. Yixian'!Z175='2. Nayoung'!Z175,1,0))</f>
        <v/>
      </c>
      <c r="Y175" s="20" t="str">
        <f>IF('1. Yixian'!AA175="","",IF('1. Yixian'!AA175='2. Nayoung'!AA175,1,0))</f>
        <v/>
      </c>
      <c r="Z175" s="20" t="str">
        <f>IF('1. Yixian'!AB175="","",IF('1. Yixian'!AB175='2. Nayoung'!AB175,1,0))</f>
        <v/>
      </c>
      <c r="AA175" s="20" t="str">
        <f>IF('1. Yixian'!AC175="","",IF('1. Yixian'!AC175='2. Nayoung'!AC175,1,0))</f>
        <v/>
      </c>
      <c r="AB175" s="20">
        <f>IF(OR('2. Nayoung'!AD174="", '1. Yixian'!AD175 = ""),0,1)</f>
        <v>1</v>
      </c>
      <c r="AC175" s="20">
        <f>IF('1. Yixian'!AE175="","",IF('1. Yixian'!AE175='2. Nayoung'!AE175,1,0))</f>
        <v>1</v>
      </c>
      <c r="AD175" s="20">
        <f>IF(OR('2. Nayoung'!AF175="", '1. Yixian'!AF175 = ""),0,1)</f>
        <v>1</v>
      </c>
      <c r="AF175" s="20">
        <f>IF('1. Yixian'!AH175="","",IF('1. Yixian'!AH175='2. Nayoung'!AH175,1,0))</f>
        <v>1</v>
      </c>
      <c r="AG175" s="20">
        <f>IF('1. Yixian'!AI175="","",IF('1. Yixian'!AI175='2. Nayoung'!AI175,1,0))</f>
        <v>1</v>
      </c>
      <c r="AH175" s="20">
        <f>IF('1. Yixian'!AJ175="","",IF('1. Yixian'!AJ175='2. Nayoung'!AJ175,1,0))</f>
        <v>1</v>
      </c>
      <c r="AI175" s="20">
        <f>IF('1. Yixian'!AK175="","",IF('1. Yixian'!AK175='2. Nayoung'!AK175,1,0))</f>
        <v>1</v>
      </c>
      <c r="AJ175" s="20">
        <f>IF('1. Yixian'!AL175="","",IF('1. Yixian'!AL175='2. Nayoung'!AL175,1,0))</f>
        <v>1</v>
      </c>
      <c r="AK175" s="20">
        <f>IF('1. Yixian'!AM175="","",IF('1. Yixian'!AM175='2. Nayoung'!AM175,1,0))</f>
        <v>1</v>
      </c>
      <c r="AL175" s="20" t="str">
        <f>IF('1. Yixian'!AT175="","",IF('1. Yixian'!AT175='2. Nayoung'!AT175,1,0))</f>
        <v/>
      </c>
      <c r="AM175" s="20" t="str">
        <f>IF('1. Yixian'!AU175="","",IF('1. Yixian'!AU175='2. Nayoung'!AU175,1,0))</f>
        <v/>
      </c>
      <c r="AN175" s="2"/>
    </row>
    <row r="176" spans="1:40" s="20" customFormat="1" ht="17" hidden="1" customHeight="1">
      <c r="A176" s="20" t="str">
        <f>IF('1. Yixian'!A176="","",IF('1. Yixian'!A176='2. Nayoung'!A176,1,0))</f>
        <v/>
      </c>
      <c r="B176" s="20" t="str">
        <f>IF('1. Yixian'!B176="","",IF(RIGHT('1. Yixian'!B176,2)=RIGHT('2. Nayoung'!B176,2),1,0))</f>
        <v/>
      </c>
      <c r="C176" s="20" t="str">
        <f>IF('1. Yixian'!C176="","",IF('1. Yixian'!C176='2. Nayoung'!C176,1,0))</f>
        <v/>
      </c>
      <c r="E176" s="20" t="str">
        <f>IF('1. Yixian'!E176="","",IF('1. Yixian'!E176='2. Nayoung'!E176,1,0))</f>
        <v/>
      </c>
      <c r="F176" s="20" t="str">
        <f>IF('1. Yixian'!F176="","",IF('1. Yixian'!F176='2. Nayoung'!F176,1,0))</f>
        <v/>
      </c>
      <c r="G176" s="20" t="str">
        <f>IF('1. Yixian'!G176="","",IF('1. Yixian'!G176='2. Nayoung'!G176,1,0))</f>
        <v/>
      </c>
      <c r="H176" s="20" t="str">
        <f>IF('1. Yixian'!J176="","",IF(RIGHT('1. Yixian'!J176,3)=RIGHT('2. Nayoung'!J176,3),1,0))</f>
        <v/>
      </c>
      <c r="I176" s="20" t="str">
        <f>IF(H176="","",IF(OR('2. Nayoung'!K176="", '1. Yixian'!K176 = ""),0,1))</f>
        <v/>
      </c>
      <c r="J176" s="20" t="str">
        <f>IF('1. Yixian'!L176="","",IF('1. Yixian'!L176='2. Nayoung'!L176,1,0))</f>
        <v/>
      </c>
      <c r="K176" s="20" t="str">
        <f>IF('1. Yixian'!M176="","",IF('1. Yixian'!M176='2. Nayoung'!M176,1,0))</f>
        <v/>
      </c>
      <c r="L176" s="20" t="str">
        <f>IF('1. Yixian'!N176="","",IF('1. Yixian'!N176='2. Nayoung'!N176,1,0))</f>
        <v/>
      </c>
      <c r="M176" s="20" t="str">
        <f>IF('1. Yixian'!O176="","",IF('1. Yixian'!O176='2. Nayoung'!O176,1,0))</f>
        <v/>
      </c>
      <c r="N176" s="20" t="str">
        <f>IF('1. Yixian'!P176="","",IF('1. Yixian'!P176='2. Nayoung'!P176,1,0))</f>
        <v/>
      </c>
      <c r="O176" s="20" t="str">
        <f>IF('1. Yixian'!Q176="","",IF('1. Yixian'!Q176='2. Nayoung'!Q176,1,0))</f>
        <v/>
      </c>
      <c r="P176" s="20" t="str">
        <f>IF('1. Yixian'!R176="","",IF('1. Yixian'!R176='2. Nayoung'!R176,1,0))</f>
        <v/>
      </c>
      <c r="Q176" s="20" t="str">
        <f>IF('1. Yixian'!S176="","",IF('1. Yixian'!S176='2. Nayoung'!S176,1,0))</f>
        <v/>
      </c>
      <c r="R176" s="20" t="str">
        <f>IF('1. Yixian'!T176="","",IF('1. Yixian'!T176='2. Nayoung'!T176,1,0))</f>
        <v/>
      </c>
      <c r="S176" s="20" t="str">
        <f>IF(R176="","",IF(OR('2. Nayoung'!U176="", '1. Yixian'!U176 = ""),0,1))</f>
        <v/>
      </c>
      <c r="T176" s="20" t="str">
        <f>IF('1. Yixian'!V176="","",IF('1. Yixian'!V176='2. Nayoung'!V176,1,0))</f>
        <v/>
      </c>
      <c r="U176" s="20" t="str">
        <f>IF('1. Yixian'!W176="","",IF('1. Yixian'!W176='2. Nayoung'!W176,1,0))</f>
        <v/>
      </c>
      <c r="V176" s="20" t="str">
        <f>IF('1. Yixian'!X176="","",IF('1. Yixian'!X176='2. Nayoung'!X176,1,0))</f>
        <v/>
      </c>
      <c r="W176" s="20" t="str">
        <f>IF('1. Yixian'!Y176="","",IF('1. Yixian'!Y176='2. Nayoung'!Y176,1,0))</f>
        <v/>
      </c>
      <c r="X176" s="20" t="str">
        <f>IF('1. Yixian'!Z176="","",IF('1. Yixian'!Z176='2. Nayoung'!Z176,1,0))</f>
        <v/>
      </c>
      <c r="Y176" s="20" t="str">
        <f>IF('1. Yixian'!AA176="","",IF('1. Yixian'!AA176='2. Nayoung'!AA176,1,0))</f>
        <v/>
      </c>
      <c r="Z176" s="20" t="str">
        <f>IF('1. Yixian'!AB176="","",IF('1. Yixian'!AB176='2. Nayoung'!AB176,1,0))</f>
        <v/>
      </c>
      <c r="AA176" s="20" t="str">
        <f>IF('1. Yixian'!AC176="","",IF('1. Yixian'!AC176='2. Nayoung'!AC176,1,0))</f>
        <v/>
      </c>
      <c r="AB176" s="20">
        <f>IF(OR('2. Nayoung'!AD175="", '1. Yixian'!AD176 = ""),0,1)</f>
        <v>1</v>
      </c>
      <c r="AC176" s="20">
        <f>IF('1. Yixian'!AE176="","",IF('1. Yixian'!AE176='2. Nayoung'!AE176,1,0))</f>
        <v>1</v>
      </c>
      <c r="AD176" s="20">
        <f>IF(OR('2. Nayoung'!AF176="", '1. Yixian'!AF176 = ""),0,1)</f>
        <v>1</v>
      </c>
      <c r="AF176" s="20">
        <f>IF('1. Yixian'!AH176="","",IF('1. Yixian'!AH176='2. Nayoung'!AH176,1,0))</f>
        <v>1</v>
      </c>
      <c r="AG176" s="20">
        <f>IF('1. Yixian'!AI176="","",IF('1. Yixian'!AI176='2. Nayoung'!AI176,1,0))</f>
        <v>1</v>
      </c>
      <c r="AH176" s="20">
        <f>IF('1. Yixian'!AJ176="","",IF('1. Yixian'!AJ176='2. Nayoung'!AJ176,1,0))</f>
        <v>1</v>
      </c>
      <c r="AI176" s="20">
        <f>IF('1. Yixian'!AK176="","",IF('1. Yixian'!AK176='2. Nayoung'!AK176,1,0))</f>
        <v>1</v>
      </c>
      <c r="AJ176" s="20">
        <f>IF('1. Yixian'!AL176="","",IF('1. Yixian'!AL176='2. Nayoung'!AL176,1,0))</f>
        <v>1</v>
      </c>
      <c r="AK176" s="20">
        <f>IF('1. Yixian'!AM176="","",IF('1. Yixian'!AM176='2. Nayoung'!AM176,1,0))</f>
        <v>1</v>
      </c>
      <c r="AL176" s="20" t="str">
        <f>IF('1. Yixian'!AT176="","",IF('1. Yixian'!AT176='2. Nayoung'!AT176,1,0))</f>
        <v/>
      </c>
      <c r="AM176" s="20" t="str">
        <f>IF('1. Yixian'!AU176="","",IF('1. Yixian'!AU176='2. Nayoung'!AU176,1,0))</f>
        <v/>
      </c>
      <c r="AN176" s="2"/>
    </row>
    <row r="177" spans="1:40" s="20" customFormat="1" ht="17" hidden="1" customHeight="1">
      <c r="A177" s="20">
        <f>IF('1. Yixian'!A177="","",IF('1. Yixian'!A177='2. Nayoung'!A177,1,0))</f>
        <v>0</v>
      </c>
      <c r="B177" s="20">
        <f>IF('1. Yixian'!B177="","",IF(RIGHT('1. Yixian'!B177,2)=RIGHT('2. Nayoung'!B177,2),1,0))</f>
        <v>0</v>
      </c>
      <c r="C177" s="20">
        <f>IF('1. Yixian'!C177="","",IF('1. Yixian'!C177='2. Nayoung'!C177,1,0))</f>
        <v>0</v>
      </c>
      <c r="E177" s="20">
        <f>IF('1. Yixian'!E177="","",IF('1. Yixian'!E177='2. Nayoung'!E177,1,0))</f>
        <v>0</v>
      </c>
      <c r="F177" s="20">
        <f>IF('1. Yixian'!F177="","",IF('1. Yixian'!F177='2. Nayoung'!F177,1,0))</f>
        <v>0</v>
      </c>
      <c r="G177" s="20">
        <f>IF('1. Yixian'!G177="","",IF('1. Yixian'!G177='2. Nayoung'!G177,1,0))</f>
        <v>0</v>
      </c>
      <c r="H177" s="20">
        <f>IF('1. Yixian'!J177="","",IF(RIGHT('1. Yixian'!J177,3)=RIGHT('2. Nayoung'!J177,3),1,0))</f>
        <v>0</v>
      </c>
      <c r="I177" s="20">
        <f>IF(H177="","",IF(OR('2. Nayoung'!K177="", '1. Yixian'!K177 = ""),0,1))</f>
        <v>1</v>
      </c>
      <c r="J177" s="20">
        <f>IF('1. Yixian'!L177="","",IF('1. Yixian'!L177='2. Nayoung'!L177,1,0))</f>
        <v>1</v>
      </c>
      <c r="K177" s="20">
        <f>IF('1. Yixian'!M177="","",IF('1. Yixian'!M177='2. Nayoung'!M177,1,0))</f>
        <v>1</v>
      </c>
      <c r="L177" s="20">
        <f>IF('1. Yixian'!N177="","",IF('1. Yixian'!N177='2. Nayoung'!N177,1,0))</f>
        <v>1</v>
      </c>
      <c r="M177" s="20">
        <f>IF('1. Yixian'!O177="","",IF('1. Yixian'!O177='2. Nayoung'!O177,1,0))</f>
        <v>1</v>
      </c>
      <c r="N177" s="20">
        <f>IF('1. Yixian'!P177="","",IF('1. Yixian'!P177='2. Nayoung'!P177,1,0))</f>
        <v>1</v>
      </c>
      <c r="O177" s="20">
        <f>IF('1. Yixian'!Q177="","",IF('1. Yixian'!Q177='2. Nayoung'!Q177,1,0))</f>
        <v>1</v>
      </c>
      <c r="P177" s="20">
        <f>IF('1. Yixian'!R177="","",IF('1. Yixian'!R177='2. Nayoung'!R177,1,0))</f>
        <v>1</v>
      </c>
      <c r="Q177" s="20">
        <f>IF('1. Yixian'!S177="","",IF('1. Yixian'!S177='2. Nayoung'!S177,1,0))</f>
        <v>1</v>
      </c>
      <c r="R177" s="20">
        <f>IF('1. Yixian'!T177="","",IF('1. Yixian'!T177='2. Nayoung'!T177,1,0))</f>
        <v>1</v>
      </c>
      <c r="S177" s="20">
        <f>IF(R177="","",IF(OR('2. Nayoung'!U177="", '1. Yixian'!U177 = ""),0,1))</f>
        <v>1</v>
      </c>
      <c r="T177" s="20">
        <f>IF('1. Yixian'!V177="","",IF('1. Yixian'!V177='2. Nayoung'!V177,1,0))</f>
        <v>1</v>
      </c>
      <c r="U177" s="20">
        <f>IF('1. Yixian'!W177="","",IF('1. Yixian'!W177='2. Nayoung'!W177,1,0))</f>
        <v>1</v>
      </c>
      <c r="V177" s="20">
        <f>IF('1. Yixian'!X177="","",IF('1. Yixian'!X177='2. Nayoung'!X177,1,0))</f>
        <v>1</v>
      </c>
      <c r="W177" s="20">
        <f>IF('1. Yixian'!Y177="","",IF('1. Yixian'!Y177='2. Nayoung'!Y177,1,0))</f>
        <v>1</v>
      </c>
      <c r="X177" s="20">
        <f>IF('1. Yixian'!Z177="","",IF('1. Yixian'!Z177='2. Nayoung'!Z177,1,0))</f>
        <v>1</v>
      </c>
      <c r="Y177" s="20">
        <f>IF('1. Yixian'!AA177="","",IF('1. Yixian'!AA177='2. Nayoung'!AA177,1,0))</f>
        <v>1</v>
      </c>
      <c r="Z177" s="20">
        <f>IF('1. Yixian'!AB177="","",IF('1. Yixian'!AB177='2. Nayoung'!AB177,1,0))</f>
        <v>1</v>
      </c>
      <c r="AA177" s="20">
        <f>IF('1. Yixian'!AC177="","",IF('1. Yixian'!AC177='2. Nayoung'!AC177,1,0))</f>
        <v>1</v>
      </c>
      <c r="AB177" s="20">
        <f>IF(OR('2. Nayoung'!AD176="", '1. Yixian'!AD177 = ""),0,1)</f>
        <v>1</v>
      </c>
      <c r="AC177" s="20">
        <f>IF('1. Yixian'!AE177="","",IF('1. Yixian'!AE177='2. Nayoung'!AE177,1,0))</f>
        <v>1</v>
      </c>
      <c r="AD177" s="20">
        <f>IF(OR('2. Nayoung'!AF177="", '1. Yixian'!AF177 = ""),0,1)</f>
        <v>1</v>
      </c>
      <c r="AF177" s="20">
        <f>IF('1. Yixian'!AH177="","",IF('1. Yixian'!AH177='2. Nayoung'!AH177,1,0))</f>
        <v>1</v>
      </c>
      <c r="AG177" s="20">
        <f>IF('1. Yixian'!AI177="","",IF('1. Yixian'!AI177='2. Nayoung'!AI177,1,0))</f>
        <v>1</v>
      </c>
      <c r="AH177" s="20">
        <f>IF('1. Yixian'!AJ177="","",IF('1. Yixian'!AJ177='2. Nayoung'!AJ177,1,0))</f>
        <v>1</v>
      </c>
      <c r="AI177" s="20">
        <f>IF('1. Yixian'!AK177="","",IF('1. Yixian'!AK177='2. Nayoung'!AK177,1,0))</f>
        <v>1</v>
      </c>
      <c r="AJ177" s="20">
        <f>IF('1. Yixian'!AL177="","",IF('1. Yixian'!AL177='2. Nayoung'!AL177,1,0))</f>
        <v>1</v>
      </c>
      <c r="AK177" s="20">
        <f>IF('1. Yixian'!AM177="","",IF('1. Yixian'!AM177='2. Nayoung'!AM177,1,0))</f>
        <v>1</v>
      </c>
      <c r="AL177" s="20" t="str">
        <f>IF('1. Yixian'!AT177="","",IF('1. Yixian'!AT177='2. Nayoung'!AT177,1,0))</f>
        <v/>
      </c>
      <c r="AM177" s="20" t="str">
        <f>IF('1. Yixian'!AU177="","",IF('1. Yixian'!AU177='2. Nayoung'!AU177,1,0))</f>
        <v/>
      </c>
      <c r="AN177" s="2"/>
    </row>
    <row r="178" spans="1:40" s="20" customFormat="1" ht="17" hidden="1" customHeight="1">
      <c r="A178" s="20" t="str">
        <f>IF('1. Yixian'!A178="","",IF('1. Yixian'!A178='2. Nayoung'!A178,1,0))</f>
        <v/>
      </c>
      <c r="B178" s="20" t="str">
        <f>IF('1. Yixian'!B178="","",IF(RIGHT('1. Yixian'!B178,2)=RIGHT('2. Nayoung'!B178,2),1,0))</f>
        <v/>
      </c>
      <c r="C178" s="20" t="str">
        <f>IF('1. Yixian'!C178="","",IF('1. Yixian'!C178='2. Nayoung'!C178,1,0))</f>
        <v/>
      </c>
      <c r="E178" s="20" t="str">
        <f>IF('1. Yixian'!E178="","",IF('1. Yixian'!E178='2. Nayoung'!E178,1,0))</f>
        <v/>
      </c>
      <c r="F178" s="20" t="str">
        <f>IF('1. Yixian'!F178="","",IF('1. Yixian'!F178='2. Nayoung'!F178,1,0))</f>
        <v/>
      </c>
      <c r="G178" s="20" t="str">
        <f>IF('1. Yixian'!G178="","",IF('1. Yixian'!G178='2. Nayoung'!G178,1,0))</f>
        <v/>
      </c>
      <c r="H178" s="20" t="str">
        <f>IF('1. Yixian'!J178="","",IF(RIGHT('1. Yixian'!J178,3)=RIGHT('2. Nayoung'!J178,3),1,0))</f>
        <v/>
      </c>
      <c r="I178" s="20" t="str">
        <f>IF(H178="","",IF(OR('2. Nayoung'!K178="", '1. Yixian'!K178 = ""),0,1))</f>
        <v/>
      </c>
      <c r="J178" s="20" t="str">
        <f>IF('1. Yixian'!L178="","",IF('1. Yixian'!L178='2. Nayoung'!L178,1,0))</f>
        <v/>
      </c>
      <c r="K178" s="20" t="str">
        <f>IF('1. Yixian'!M178="","",IF('1. Yixian'!M178='2. Nayoung'!M178,1,0))</f>
        <v/>
      </c>
      <c r="L178" s="20" t="str">
        <f>IF('1. Yixian'!N178="","",IF('1. Yixian'!N178='2. Nayoung'!N178,1,0))</f>
        <v/>
      </c>
      <c r="M178" s="20" t="str">
        <f>IF('1. Yixian'!O178="","",IF('1. Yixian'!O178='2. Nayoung'!O178,1,0))</f>
        <v/>
      </c>
      <c r="N178" s="20" t="str">
        <f>IF('1. Yixian'!P178="","",IF('1. Yixian'!P178='2. Nayoung'!P178,1,0))</f>
        <v/>
      </c>
      <c r="O178" s="20" t="str">
        <f>IF('1. Yixian'!Q178="","",IF('1. Yixian'!Q178='2. Nayoung'!Q178,1,0))</f>
        <v/>
      </c>
      <c r="P178" s="20" t="str">
        <f>IF('1. Yixian'!R178="","",IF('1. Yixian'!R178='2. Nayoung'!R178,1,0))</f>
        <v/>
      </c>
      <c r="Q178" s="20" t="str">
        <f>IF('1. Yixian'!S178="","",IF('1. Yixian'!S178='2. Nayoung'!S178,1,0))</f>
        <v/>
      </c>
      <c r="R178" s="20" t="str">
        <f>IF('1. Yixian'!T178="","",IF('1. Yixian'!T178='2. Nayoung'!T178,1,0))</f>
        <v/>
      </c>
      <c r="S178" s="20" t="str">
        <f>IF(R178="","",IF(OR('2. Nayoung'!U178="", '1. Yixian'!U178 = ""),0,1))</f>
        <v/>
      </c>
      <c r="T178" s="20" t="str">
        <f>IF('1. Yixian'!V178="","",IF('1. Yixian'!V178='2. Nayoung'!V178,1,0))</f>
        <v/>
      </c>
      <c r="U178" s="20" t="str">
        <f>IF('1. Yixian'!W178="","",IF('1. Yixian'!W178='2. Nayoung'!W178,1,0))</f>
        <v/>
      </c>
      <c r="V178" s="20" t="str">
        <f>IF('1. Yixian'!X178="","",IF('1. Yixian'!X178='2. Nayoung'!X178,1,0))</f>
        <v/>
      </c>
      <c r="W178" s="20" t="str">
        <f>IF('1. Yixian'!Y178="","",IF('1. Yixian'!Y178='2. Nayoung'!Y178,1,0))</f>
        <v/>
      </c>
      <c r="X178" s="20" t="str">
        <f>IF('1. Yixian'!Z178="","",IF('1. Yixian'!Z178='2. Nayoung'!Z178,1,0))</f>
        <v/>
      </c>
      <c r="Y178" s="20" t="str">
        <f>IF('1. Yixian'!AA178="","",IF('1. Yixian'!AA178='2. Nayoung'!AA178,1,0))</f>
        <v/>
      </c>
      <c r="Z178" s="20" t="str">
        <f>IF('1. Yixian'!AB178="","",IF('1. Yixian'!AB178='2. Nayoung'!AB178,1,0))</f>
        <v/>
      </c>
      <c r="AA178" s="20" t="str">
        <f>IF('1. Yixian'!AC178="","",IF('1. Yixian'!AC178='2. Nayoung'!AC178,1,0))</f>
        <v/>
      </c>
      <c r="AB178" s="20">
        <f>IF(OR('2. Nayoung'!AD177="", '1. Yixian'!AD178 = ""),0,1)</f>
        <v>1</v>
      </c>
      <c r="AC178" s="20">
        <f>IF('1. Yixian'!AE178="","",IF('1. Yixian'!AE178='2. Nayoung'!AE178,1,0))</f>
        <v>1</v>
      </c>
      <c r="AD178" s="20">
        <f>IF(OR('2. Nayoung'!AF178="", '1. Yixian'!AF178 = ""),0,1)</f>
        <v>1</v>
      </c>
      <c r="AF178" s="20">
        <f>IF('1. Yixian'!AH178="","",IF('1. Yixian'!AH178='2. Nayoung'!AH178,1,0))</f>
        <v>1</v>
      </c>
      <c r="AG178" s="20">
        <f>IF('1. Yixian'!AI178="","",IF('1. Yixian'!AI178='2. Nayoung'!AI178,1,0))</f>
        <v>1</v>
      </c>
      <c r="AH178" s="20">
        <f>IF('1. Yixian'!AJ178="","",IF('1. Yixian'!AJ178='2. Nayoung'!AJ178,1,0))</f>
        <v>1</v>
      </c>
      <c r="AI178" s="20">
        <f>IF('1. Yixian'!AK178="","",IF('1. Yixian'!AK178='2. Nayoung'!AK178,1,0))</f>
        <v>1</v>
      </c>
      <c r="AJ178" s="20">
        <f>IF('1. Yixian'!AL178="","",IF('1. Yixian'!AL178='2. Nayoung'!AL178,1,0))</f>
        <v>1</v>
      </c>
      <c r="AK178" s="20">
        <f>IF('1. Yixian'!AM178="","",IF('1. Yixian'!AM178='2. Nayoung'!AM178,1,0))</f>
        <v>1</v>
      </c>
      <c r="AL178" s="20" t="str">
        <f>IF('1. Yixian'!AT178="","",IF('1. Yixian'!AT178='2. Nayoung'!AT178,1,0))</f>
        <v/>
      </c>
      <c r="AM178" s="20" t="str">
        <f>IF('1. Yixian'!AU178="","",IF('1. Yixian'!AU178='2. Nayoung'!AU178,1,0))</f>
        <v/>
      </c>
      <c r="AN178" s="2"/>
    </row>
    <row r="179" spans="1:40" s="20" customFormat="1" ht="17" hidden="1" customHeight="1">
      <c r="A179" s="20" t="str">
        <f>IF('1. Yixian'!A179="","",IF('1. Yixian'!A179='2. Nayoung'!A179,1,0))</f>
        <v/>
      </c>
      <c r="B179" s="20" t="str">
        <f>IF('1. Yixian'!B179="","",IF(RIGHT('1. Yixian'!B179,2)=RIGHT('2. Nayoung'!B179,2),1,0))</f>
        <v/>
      </c>
      <c r="C179" s="20" t="str">
        <f>IF('1. Yixian'!C179="","",IF('1. Yixian'!C179='2. Nayoung'!C179,1,0))</f>
        <v/>
      </c>
      <c r="E179" s="20" t="str">
        <f>IF('1. Yixian'!E179="","",IF('1. Yixian'!E179='2. Nayoung'!E179,1,0))</f>
        <v/>
      </c>
      <c r="F179" s="20" t="str">
        <f>IF('1. Yixian'!F179="","",IF('1. Yixian'!F179='2. Nayoung'!F179,1,0))</f>
        <v/>
      </c>
      <c r="G179" s="20" t="str">
        <f>IF('1. Yixian'!G179="","",IF('1. Yixian'!G179='2. Nayoung'!G179,1,0))</f>
        <v/>
      </c>
      <c r="H179" s="20" t="str">
        <f>IF('1. Yixian'!J179="","",IF(RIGHT('1. Yixian'!J179,3)=RIGHT('2. Nayoung'!J179,3),1,0))</f>
        <v/>
      </c>
      <c r="I179" s="20" t="str">
        <f>IF(H179="","",IF(OR('2. Nayoung'!K179="", '1. Yixian'!K179 = ""),0,1))</f>
        <v/>
      </c>
      <c r="J179" s="20" t="str">
        <f>IF('1. Yixian'!L179="","",IF('1. Yixian'!L179='2. Nayoung'!L179,1,0))</f>
        <v/>
      </c>
      <c r="K179" s="20" t="str">
        <f>IF('1. Yixian'!M179="","",IF('1. Yixian'!M179='2. Nayoung'!M179,1,0))</f>
        <v/>
      </c>
      <c r="L179" s="20" t="str">
        <f>IF('1. Yixian'!N179="","",IF('1. Yixian'!N179='2. Nayoung'!N179,1,0))</f>
        <v/>
      </c>
      <c r="M179" s="20" t="str">
        <f>IF('1. Yixian'!O179="","",IF('1. Yixian'!O179='2. Nayoung'!O179,1,0))</f>
        <v/>
      </c>
      <c r="N179" s="20" t="str">
        <f>IF('1. Yixian'!P179="","",IF('1. Yixian'!P179='2. Nayoung'!P179,1,0))</f>
        <v/>
      </c>
      <c r="O179" s="20" t="str">
        <f>IF('1. Yixian'!Q179="","",IF('1. Yixian'!Q179='2. Nayoung'!Q179,1,0))</f>
        <v/>
      </c>
      <c r="P179" s="20" t="str">
        <f>IF('1. Yixian'!R179="","",IF('1. Yixian'!R179='2. Nayoung'!R179,1,0))</f>
        <v/>
      </c>
      <c r="Q179" s="20" t="str">
        <f>IF('1. Yixian'!S179="","",IF('1. Yixian'!S179='2. Nayoung'!S179,1,0))</f>
        <v/>
      </c>
      <c r="R179" s="20" t="str">
        <f>IF('1. Yixian'!T179="","",IF('1. Yixian'!T179='2. Nayoung'!T179,1,0))</f>
        <v/>
      </c>
      <c r="S179" s="20" t="str">
        <f>IF(R179="","",IF(OR('2. Nayoung'!U179="", '1. Yixian'!U179 = ""),0,1))</f>
        <v/>
      </c>
      <c r="T179" s="20" t="str">
        <f>IF('1. Yixian'!V179="","",IF('1. Yixian'!V179='2. Nayoung'!V179,1,0))</f>
        <v/>
      </c>
      <c r="U179" s="20" t="str">
        <f>IF('1. Yixian'!W179="","",IF('1. Yixian'!W179='2. Nayoung'!W179,1,0))</f>
        <v/>
      </c>
      <c r="V179" s="20" t="str">
        <f>IF('1. Yixian'!X179="","",IF('1. Yixian'!X179='2. Nayoung'!X179,1,0))</f>
        <v/>
      </c>
      <c r="W179" s="20" t="str">
        <f>IF('1. Yixian'!Y179="","",IF('1. Yixian'!Y179='2. Nayoung'!Y179,1,0))</f>
        <v/>
      </c>
      <c r="X179" s="20" t="str">
        <f>IF('1. Yixian'!Z179="","",IF('1. Yixian'!Z179='2. Nayoung'!Z179,1,0))</f>
        <v/>
      </c>
      <c r="Y179" s="20" t="str">
        <f>IF('1. Yixian'!AA179="","",IF('1. Yixian'!AA179='2. Nayoung'!AA179,1,0))</f>
        <v/>
      </c>
      <c r="Z179" s="20" t="str">
        <f>IF('1. Yixian'!AB179="","",IF('1. Yixian'!AB179='2. Nayoung'!AB179,1,0))</f>
        <v/>
      </c>
      <c r="AA179" s="20" t="str">
        <f>IF('1. Yixian'!AC179="","",IF('1. Yixian'!AC179='2. Nayoung'!AC179,1,0))</f>
        <v/>
      </c>
      <c r="AB179" s="20">
        <f>IF(OR('2. Nayoung'!AD178="", '1. Yixian'!AD179 = ""),0,1)</f>
        <v>1</v>
      </c>
      <c r="AC179" s="20">
        <f>IF('1. Yixian'!AE179="","",IF('1. Yixian'!AE179='2. Nayoung'!AE179,1,0))</f>
        <v>1</v>
      </c>
      <c r="AD179" s="20">
        <f>IF(OR('2. Nayoung'!AF179="", '1. Yixian'!AF179 = ""),0,1)</f>
        <v>1</v>
      </c>
      <c r="AF179" s="20">
        <f>IF('1. Yixian'!AH179="","",IF('1. Yixian'!AH179='2. Nayoung'!AH179,1,0))</f>
        <v>1</v>
      </c>
      <c r="AG179" s="20">
        <f>IF('1. Yixian'!AI179="","",IF('1. Yixian'!AI179='2. Nayoung'!AI179,1,0))</f>
        <v>1</v>
      </c>
      <c r="AH179" s="20">
        <f>IF('1. Yixian'!AJ179="","",IF('1. Yixian'!AJ179='2. Nayoung'!AJ179,1,0))</f>
        <v>1</v>
      </c>
      <c r="AI179" s="20">
        <f>IF('1. Yixian'!AK179="","",IF('1. Yixian'!AK179='2. Nayoung'!AK179,1,0))</f>
        <v>1</v>
      </c>
      <c r="AJ179" s="20">
        <f>IF('1. Yixian'!AL179="","",IF('1. Yixian'!AL179='2. Nayoung'!AL179,1,0))</f>
        <v>1</v>
      </c>
      <c r="AK179" s="20">
        <f>IF('1. Yixian'!AM179="","",IF('1. Yixian'!AM179='2. Nayoung'!AM179,1,0))</f>
        <v>1</v>
      </c>
      <c r="AL179" s="20" t="str">
        <f>IF('1. Yixian'!AT179="","",IF('1. Yixian'!AT179='2. Nayoung'!AT179,1,0))</f>
        <v/>
      </c>
      <c r="AM179" s="20" t="str">
        <f>IF('1. Yixian'!AU179="","",IF('1. Yixian'!AU179='2. Nayoung'!AU179,1,0))</f>
        <v/>
      </c>
      <c r="AN179" s="2"/>
    </row>
    <row r="180" spans="1:40" s="20" customFormat="1" ht="17" hidden="1" customHeight="1">
      <c r="A180" s="20" t="str">
        <f>IF('1. Yixian'!A180="","",IF('1. Yixian'!A180='2. Nayoung'!A180,1,0))</f>
        <v/>
      </c>
      <c r="B180" s="20" t="str">
        <f>IF('1. Yixian'!B180="","",IF(RIGHT('1. Yixian'!B180,2)=RIGHT('2. Nayoung'!B180,2),1,0))</f>
        <v/>
      </c>
      <c r="C180" s="20" t="str">
        <f>IF('1. Yixian'!C180="","",IF('1. Yixian'!C180='2. Nayoung'!C180,1,0))</f>
        <v/>
      </c>
      <c r="E180" s="20" t="str">
        <f>IF('1. Yixian'!E180="","",IF('1. Yixian'!E180='2. Nayoung'!E180,1,0))</f>
        <v/>
      </c>
      <c r="F180" s="20" t="str">
        <f>IF('1. Yixian'!F180="","",IF('1. Yixian'!F180='2. Nayoung'!F180,1,0))</f>
        <v/>
      </c>
      <c r="G180" s="20" t="str">
        <f>IF('1. Yixian'!G180="","",IF('1. Yixian'!G180='2. Nayoung'!G180,1,0))</f>
        <v/>
      </c>
      <c r="H180" s="20" t="str">
        <f>IF('1. Yixian'!J180="","",IF(RIGHT('1. Yixian'!J180,3)=RIGHT('2. Nayoung'!J180,3),1,0))</f>
        <v/>
      </c>
      <c r="I180" s="20" t="str">
        <f>IF(H180="","",IF(OR('2. Nayoung'!K180="", '1. Yixian'!K180 = ""),0,1))</f>
        <v/>
      </c>
      <c r="J180" s="20" t="str">
        <f>IF('1. Yixian'!L180="","",IF('1. Yixian'!L180='2. Nayoung'!L180,1,0))</f>
        <v/>
      </c>
      <c r="K180" s="20" t="str">
        <f>IF('1. Yixian'!M180="","",IF('1. Yixian'!M180='2. Nayoung'!M180,1,0))</f>
        <v/>
      </c>
      <c r="L180" s="20" t="str">
        <f>IF('1. Yixian'!N180="","",IF('1. Yixian'!N180='2. Nayoung'!N180,1,0))</f>
        <v/>
      </c>
      <c r="M180" s="20" t="str">
        <f>IF('1. Yixian'!O180="","",IF('1. Yixian'!O180='2. Nayoung'!O180,1,0))</f>
        <v/>
      </c>
      <c r="N180" s="20" t="str">
        <f>IF('1. Yixian'!P180="","",IF('1. Yixian'!P180='2. Nayoung'!P180,1,0))</f>
        <v/>
      </c>
      <c r="O180" s="20" t="str">
        <f>IF('1. Yixian'!Q180="","",IF('1. Yixian'!Q180='2. Nayoung'!Q180,1,0))</f>
        <v/>
      </c>
      <c r="P180" s="20" t="str">
        <f>IF('1. Yixian'!R180="","",IF('1. Yixian'!R180='2. Nayoung'!R180,1,0))</f>
        <v/>
      </c>
      <c r="Q180" s="20" t="str">
        <f>IF('1. Yixian'!S180="","",IF('1. Yixian'!S180='2. Nayoung'!S180,1,0))</f>
        <v/>
      </c>
      <c r="R180" s="20" t="str">
        <f>IF('1. Yixian'!T180="","",IF('1. Yixian'!T180='2. Nayoung'!T180,1,0))</f>
        <v/>
      </c>
      <c r="S180" s="20" t="str">
        <f>IF(R180="","",IF(OR('2. Nayoung'!U180="", '1. Yixian'!U180 = ""),0,1))</f>
        <v/>
      </c>
      <c r="T180" s="20" t="str">
        <f>IF('1. Yixian'!V180="","",IF('1. Yixian'!V180='2. Nayoung'!V180,1,0))</f>
        <v/>
      </c>
      <c r="U180" s="20" t="str">
        <f>IF('1. Yixian'!W180="","",IF('1. Yixian'!W180='2. Nayoung'!W180,1,0))</f>
        <v/>
      </c>
      <c r="V180" s="20" t="str">
        <f>IF('1. Yixian'!X180="","",IF('1. Yixian'!X180='2. Nayoung'!X180,1,0))</f>
        <v/>
      </c>
      <c r="W180" s="20" t="str">
        <f>IF('1. Yixian'!Y180="","",IF('1. Yixian'!Y180='2. Nayoung'!Y180,1,0))</f>
        <v/>
      </c>
      <c r="X180" s="20" t="str">
        <f>IF('1. Yixian'!Z180="","",IF('1. Yixian'!Z180='2. Nayoung'!Z180,1,0))</f>
        <v/>
      </c>
      <c r="Y180" s="20" t="str">
        <f>IF('1. Yixian'!AA180="","",IF('1. Yixian'!AA180='2. Nayoung'!AA180,1,0))</f>
        <v/>
      </c>
      <c r="Z180" s="20" t="str">
        <f>IF('1. Yixian'!AB180="","",IF('1. Yixian'!AB180='2. Nayoung'!AB180,1,0))</f>
        <v/>
      </c>
      <c r="AA180" s="20" t="str">
        <f>IF('1. Yixian'!AC180="","",IF('1. Yixian'!AC180='2. Nayoung'!AC180,1,0))</f>
        <v/>
      </c>
      <c r="AB180" s="20">
        <f>IF(OR('2. Nayoung'!AD179="", '1. Yixian'!AD180 = ""),0,1)</f>
        <v>1</v>
      </c>
      <c r="AC180" s="20">
        <f>IF('1. Yixian'!AE180="","",IF('1. Yixian'!AE180='2. Nayoung'!AE180,1,0))</f>
        <v>1</v>
      </c>
      <c r="AD180" s="20">
        <f>IF(OR('2. Nayoung'!AF180="", '1. Yixian'!AF180 = ""),0,1)</f>
        <v>1</v>
      </c>
      <c r="AF180" s="20">
        <f>IF('1. Yixian'!AH180="","",IF('1. Yixian'!AH180='2. Nayoung'!AH180,1,0))</f>
        <v>1</v>
      </c>
      <c r="AG180" s="20">
        <f>IF('1. Yixian'!AI180="","",IF('1. Yixian'!AI180='2. Nayoung'!AI180,1,0))</f>
        <v>1</v>
      </c>
      <c r="AH180" s="20">
        <f>IF('1. Yixian'!AJ180="","",IF('1. Yixian'!AJ180='2. Nayoung'!AJ180,1,0))</f>
        <v>1</v>
      </c>
      <c r="AI180" s="20">
        <f>IF('1. Yixian'!AK180="","",IF('1. Yixian'!AK180='2. Nayoung'!AK180,1,0))</f>
        <v>1</v>
      </c>
      <c r="AJ180" s="20">
        <f>IF('1. Yixian'!AL180="","",IF('1. Yixian'!AL180='2. Nayoung'!AL180,1,0))</f>
        <v>1</v>
      </c>
      <c r="AK180" s="20">
        <f>IF('1. Yixian'!AM180="","",IF('1. Yixian'!AM180='2. Nayoung'!AM180,1,0))</f>
        <v>1</v>
      </c>
      <c r="AL180" s="20" t="str">
        <f>IF('1. Yixian'!AT180="","",IF('1. Yixian'!AT180='2. Nayoung'!AT180,1,0))</f>
        <v/>
      </c>
      <c r="AM180" s="20" t="str">
        <f>IF('1. Yixian'!AU180="","",IF('1. Yixian'!AU180='2. Nayoung'!AU180,1,0))</f>
        <v/>
      </c>
      <c r="AN180" s="2"/>
    </row>
    <row r="181" spans="1:40" s="20" customFormat="1" ht="17" hidden="1" customHeight="1">
      <c r="A181" s="20" t="str">
        <f>IF('1. Yixian'!A181="","",IF('1. Yixian'!A181='2. Nayoung'!A181,1,0))</f>
        <v/>
      </c>
      <c r="B181" s="20" t="str">
        <f>IF('1. Yixian'!B181="","",IF(RIGHT('1. Yixian'!B181,2)=RIGHT('2. Nayoung'!B181,2),1,0))</f>
        <v/>
      </c>
      <c r="C181" s="20" t="str">
        <f>IF('1. Yixian'!C181="","",IF('1. Yixian'!C181='2. Nayoung'!C181,1,0))</f>
        <v/>
      </c>
      <c r="E181" s="20" t="str">
        <f>IF('1. Yixian'!E181="","",IF('1. Yixian'!E181='2. Nayoung'!E181,1,0))</f>
        <v/>
      </c>
      <c r="F181" s="20" t="str">
        <f>IF('1. Yixian'!F181="","",IF('1. Yixian'!F181='2. Nayoung'!F181,1,0))</f>
        <v/>
      </c>
      <c r="G181" s="20" t="str">
        <f>IF('1. Yixian'!G181="","",IF('1. Yixian'!G181='2. Nayoung'!G181,1,0))</f>
        <v/>
      </c>
      <c r="H181" s="20" t="str">
        <f>IF('1. Yixian'!J181="","",IF(RIGHT('1. Yixian'!J181,3)=RIGHT('2. Nayoung'!J181,3),1,0))</f>
        <v/>
      </c>
      <c r="I181" s="20" t="str">
        <f>IF(H181="","",IF(OR('2. Nayoung'!K181="", '1. Yixian'!K181 = ""),0,1))</f>
        <v/>
      </c>
      <c r="J181" s="20" t="str">
        <f>IF('1. Yixian'!L181="","",IF('1. Yixian'!L181='2. Nayoung'!L181,1,0))</f>
        <v/>
      </c>
      <c r="K181" s="20" t="str">
        <f>IF('1. Yixian'!M181="","",IF('1. Yixian'!M181='2. Nayoung'!M181,1,0))</f>
        <v/>
      </c>
      <c r="L181" s="20" t="str">
        <f>IF('1. Yixian'!N181="","",IF('1. Yixian'!N181='2. Nayoung'!N181,1,0))</f>
        <v/>
      </c>
      <c r="M181" s="20" t="str">
        <f>IF('1. Yixian'!O181="","",IF('1. Yixian'!O181='2. Nayoung'!O181,1,0))</f>
        <v/>
      </c>
      <c r="N181" s="20" t="str">
        <f>IF('1. Yixian'!P181="","",IF('1. Yixian'!P181='2. Nayoung'!P181,1,0))</f>
        <v/>
      </c>
      <c r="O181" s="20" t="str">
        <f>IF('1. Yixian'!Q181="","",IF('1. Yixian'!Q181='2. Nayoung'!Q181,1,0))</f>
        <v/>
      </c>
      <c r="P181" s="20" t="str">
        <f>IF('1. Yixian'!R181="","",IF('1. Yixian'!R181='2. Nayoung'!R181,1,0))</f>
        <v/>
      </c>
      <c r="Q181" s="20" t="str">
        <f>IF('1. Yixian'!S181="","",IF('1. Yixian'!S181='2. Nayoung'!S181,1,0))</f>
        <v/>
      </c>
      <c r="R181" s="20" t="str">
        <f>IF('1. Yixian'!T181="","",IF('1. Yixian'!T181='2. Nayoung'!T181,1,0))</f>
        <v/>
      </c>
      <c r="S181" s="20" t="str">
        <f>IF(R181="","",IF(OR('2. Nayoung'!U181="", '1. Yixian'!U181 = ""),0,1))</f>
        <v/>
      </c>
      <c r="T181" s="20" t="str">
        <f>IF('1. Yixian'!V181="","",IF('1. Yixian'!V181='2. Nayoung'!V181,1,0))</f>
        <v/>
      </c>
      <c r="U181" s="20" t="str">
        <f>IF('1. Yixian'!W181="","",IF('1. Yixian'!W181='2. Nayoung'!W181,1,0))</f>
        <v/>
      </c>
      <c r="V181" s="20" t="str">
        <f>IF('1. Yixian'!X181="","",IF('1. Yixian'!X181='2. Nayoung'!X181,1,0))</f>
        <v/>
      </c>
      <c r="W181" s="20" t="str">
        <f>IF('1. Yixian'!Y181="","",IF('1. Yixian'!Y181='2. Nayoung'!Y181,1,0))</f>
        <v/>
      </c>
      <c r="X181" s="20" t="str">
        <f>IF('1. Yixian'!Z181="","",IF('1. Yixian'!Z181='2. Nayoung'!Z181,1,0))</f>
        <v/>
      </c>
      <c r="Y181" s="20" t="str">
        <f>IF('1. Yixian'!AA181="","",IF('1. Yixian'!AA181='2. Nayoung'!AA181,1,0))</f>
        <v/>
      </c>
      <c r="Z181" s="20" t="str">
        <f>IF('1. Yixian'!AB181="","",IF('1. Yixian'!AB181='2. Nayoung'!AB181,1,0))</f>
        <v/>
      </c>
      <c r="AA181" s="20" t="str">
        <f>IF('1. Yixian'!AC181="","",IF('1. Yixian'!AC181='2. Nayoung'!AC181,1,0))</f>
        <v/>
      </c>
      <c r="AB181" s="20">
        <f>IF(OR('2. Nayoung'!AD180="", '1. Yixian'!AD181 = ""),0,1)</f>
        <v>1</v>
      </c>
      <c r="AC181" s="20">
        <f>IF('1. Yixian'!AE181="","",IF('1. Yixian'!AE181='2. Nayoung'!AE181,1,0))</f>
        <v>1</v>
      </c>
      <c r="AD181" s="20">
        <f>IF(OR('2. Nayoung'!AF181="", '1. Yixian'!AF181 = ""),0,1)</f>
        <v>1</v>
      </c>
      <c r="AF181" s="20">
        <f>IF('1. Yixian'!AH181="","",IF('1. Yixian'!AH181='2. Nayoung'!AH181,1,0))</f>
        <v>1</v>
      </c>
      <c r="AG181" s="20">
        <f>IF('1. Yixian'!AI181="","",IF('1. Yixian'!AI181='2. Nayoung'!AI181,1,0))</f>
        <v>1</v>
      </c>
      <c r="AH181" s="20">
        <f>IF('1. Yixian'!AJ181="","",IF('1. Yixian'!AJ181='2. Nayoung'!AJ181,1,0))</f>
        <v>1</v>
      </c>
      <c r="AI181" s="20">
        <f>IF('1. Yixian'!AK181="","",IF('1. Yixian'!AK181='2. Nayoung'!AK181,1,0))</f>
        <v>1</v>
      </c>
      <c r="AJ181" s="20">
        <f>IF('1. Yixian'!AL181="","",IF('1. Yixian'!AL181='2. Nayoung'!AL181,1,0))</f>
        <v>1</v>
      </c>
      <c r="AK181" s="20">
        <f>IF('1. Yixian'!AM181="","",IF('1. Yixian'!AM181='2. Nayoung'!AM181,1,0))</f>
        <v>1</v>
      </c>
      <c r="AL181" s="20" t="str">
        <f>IF('1. Yixian'!AT181="","",IF('1. Yixian'!AT181='2. Nayoung'!AT181,1,0))</f>
        <v/>
      </c>
      <c r="AM181" s="20" t="str">
        <f>IF('1. Yixian'!AU181="","",IF('1. Yixian'!AU181='2. Nayoung'!AU181,1,0))</f>
        <v/>
      </c>
      <c r="AN181" s="2"/>
    </row>
    <row r="182" spans="1:40" s="20" customFormat="1" ht="17" hidden="1" customHeight="1">
      <c r="A182" s="20" t="str">
        <f>IF('1. Yixian'!A182="","",IF('1. Yixian'!A182='2. Nayoung'!A182,1,0))</f>
        <v/>
      </c>
      <c r="B182" s="20" t="str">
        <f>IF('1. Yixian'!B182="","",IF(RIGHT('1. Yixian'!B182,2)=RIGHT('2. Nayoung'!B182,2),1,0))</f>
        <v/>
      </c>
      <c r="C182" s="20" t="str">
        <f>IF('1. Yixian'!C182="","",IF('1. Yixian'!C182='2. Nayoung'!C182,1,0))</f>
        <v/>
      </c>
      <c r="E182" s="20" t="str">
        <f>IF('1. Yixian'!E182="","",IF('1. Yixian'!E182='2. Nayoung'!E182,1,0))</f>
        <v/>
      </c>
      <c r="F182" s="20" t="str">
        <f>IF('1. Yixian'!F182="","",IF('1. Yixian'!F182='2. Nayoung'!F182,1,0))</f>
        <v/>
      </c>
      <c r="G182" s="20" t="str">
        <f>IF('1. Yixian'!G182="","",IF('1. Yixian'!G182='2. Nayoung'!G182,1,0))</f>
        <v/>
      </c>
      <c r="H182" s="20">
        <f>IF('1. Yixian'!J182="","",IF(RIGHT('1. Yixian'!J182,3)=RIGHT('2. Nayoung'!J182,3),1,0))</f>
        <v>0</v>
      </c>
      <c r="I182" s="20">
        <f>IF(H182="","",IF(OR('2. Nayoung'!K182="", '1. Yixian'!K182 = ""),0,1))</f>
        <v>1</v>
      </c>
      <c r="J182" s="20">
        <f>IF('1. Yixian'!L182="","",IF('1. Yixian'!L182='2. Nayoung'!L182,1,0))</f>
        <v>1</v>
      </c>
      <c r="K182" s="20">
        <f>IF('1. Yixian'!M182="","",IF('1. Yixian'!M182='2. Nayoung'!M182,1,0))</f>
        <v>1</v>
      </c>
      <c r="L182" s="20">
        <f>IF('1. Yixian'!N182="","",IF('1. Yixian'!N182='2. Nayoung'!N182,1,0))</f>
        <v>1</v>
      </c>
      <c r="M182" s="20">
        <f>IF('1. Yixian'!O182="","",IF('1. Yixian'!O182='2. Nayoung'!O182,1,0))</f>
        <v>1</v>
      </c>
      <c r="N182" s="20">
        <f>IF('1. Yixian'!P182="","",IF('1. Yixian'!P182='2. Nayoung'!P182,1,0))</f>
        <v>1</v>
      </c>
      <c r="O182" s="20">
        <f>IF('1. Yixian'!Q182="","",IF('1. Yixian'!Q182='2. Nayoung'!Q182,1,0))</f>
        <v>1</v>
      </c>
      <c r="P182" s="20">
        <f>IF('1. Yixian'!R182="","",IF('1. Yixian'!R182='2. Nayoung'!R182,1,0))</f>
        <v>1</v>
      </c>
      <c r="Q182" s="20">
        <f>IF('1. Yixian'!S182="","",IF('1. Yixian'!S182='2. Nayoung'!S182,1,0))</f>
        <v>1</v>
      </c>
      <c r="R182" s="20">
        <f>IF('1. Yixian'!T182="","",IF('1. Yixian'!T182='2. Nayoung'!T182,1,0))</f>
        <v>1</v>
      </c>
      <c r="S182" s="20">
        <f>IF(R182="","",IF(OR('2. Nayoung'!U182="", '1. Yixian'!U182 = ""),0,1))</f>
        <v>1</v>
      </c>
      <c r="T182" s="20">
        <f>IF('1. Yixian'!V182="","",IF('1. Yixian'!V182='2. Nayoung'!V182,1,0))</f>
        <v>1</v>
      </c>
      <c r="U182" s="20">
        <f>IF('1. Yixian'!W182="","",IF('1. Yixian'!W182='2. Nayoung'!W182,1,0))</f>
        <v>1</v>
      </c>
      <c r="V182" s="20">
        <f>IF('1. Yixian'!X182="","",IF('1. Yixian'!X182='2. Nayoung'!X182,1,0))</f>
        <v>1</v>
      </c>
      <c r="W182" s="20">
        <f>IF('1. Yixian'!Y182="","",IF('1. Yixian'!Y182='2. Nayoung'!Y182,1,0))</f>
        <v>1</v>
      </c>
      <c r="X182" s="20">
        <f>IF('1. Yixian'!Z182="","",IF('1. Yixian'!Z182='2. Nayoung'!Z182,1,0))</f>
        <v>1</v>
      </c>
      <c r="Y182" s="20">
        <f>IF('1. Yixian'!AA182="","",IF('1. Yixian'!AA182='2. Nayoung'!AA182,1,0))</f>
        <v>1</v>
      </c>
      <c r="Z182" s="20">
        <f>IF('1. Yixian'!AB182="","",IF('1. Yixian'!AB182='2. Nayoung'!AB182,1,0))</f>
        <v>1</v>
      </c>
      <c r="AA182" s="20">
        <f>IF('1. Yixian'!AC182="","",IF('1. Yixian'!AC182='2. Nayoung'!AC182,1,0))</f>
        <v>1</v>
      </c>
      <c r="AB182" s="20">
        <f>IF(OR('2. Nayoung'!AD181="", '1. Yixian'!AD182 = ""),0,1)</f>
        <v>1</v>
      </c>
      <c r="AC182" s="20">
        <f>IF('1. Yixian'!AE182="","",IF('1. Yixian'!AE182='2. Nayoung'!AE182,1,0))</f>
        <v>1</v>
      </c>
      <c r="AD182" s="20">
        <f>IF(OR('2. Nayoung'!AF182="", '1. Yixian'!AF182 = ""),0,1)</f>
        <v>1</v>
      </c>
      <c r="AF182" s="20">
        <f>IF('1. Yixian'!AH182="","",IF('1. Yixian'!AH182='2. Nayoung'!AH182,1,0))</f>
        <v>1</v>
      </c>
      <c r="AG182" s="20">
        <f>IF('1. Yixian'!AI182="","",IF('1. Yixian'!AI182='2. Nayoung'!AI182,1,0))</f>
        <v>1</v>
      </c>
      <c r="AH182" s="20">
        <f>IF('1. Yixian'!AJ182="","",IF('1. Yixian'!AJ182='2. Nayoung'!AJ182,1,0))</f>
        <v>1</v>
      </c>
      <c r="AI182" s="20">
        <f>IF('1. Yixian'!AK182="","",IF('1. Yixian'!AK182='2. Nayoung'!AK182,1,0))</f>
        <v>1</v>
      </c>
      <c r="AJ182" s="20">
        <f>IF('1. Yixian'!AL182="","",IF('1. Yixian'!AL182='2. Nayoung'!AL182,1,0))</f>
        <v>1</v>
      </c>
      <c r="AK182" s="20">
        <f>IF('1. Yixian'!AM182="","",IF('1. Yixian'!AM182='2. Nayoung'!AM182,1,0))</f>
        <v>1</v>
      </c>
      <c r="AL182" s="20" t="str">
        <f>IF('1. Yixian'!AT182="","",IF('1. Yixian'!AT182='2. Nayoung'!AT182,1,0))</f>
        <v/>
      </c>
      <c r="AM182" s="20" t="str">
        <f>IF('1. Yixian'!AU182="","",IF('1. Yixian'!AU182='2. Nayoung'!AU182,1,0))</f>
        <v/>
      </c>
      <c r="AN182" s="2"/>
    </row>
    <row r="183" spans="1:40" s="20" customFormat="1" ht="17" hidden="1" customHeight="1">
      <c r="A183" s="20" t="str">
        <f>IF('1. Yixian'!A183="","",IF('1. Yixian'!A183='2. Nayoung'!A183,1,0))</f>
        <v/>
      </c>
      <c r="B183" s="20" t="str">
        <f>IF('1. Yixian'!B183="","",IF(RIGHT('1. Yixian'!B183,2)=RIGHT('2. Nayoung'!B183,2),1,0))</f>
        <v/>
      </c>
      <c r="C183" s="20" t="str">
        <f>IF('1. Yixian'!C183="","",IF('1. Yixian'!C183='2. Nayoung'!C183,1,0))</f>
        <v/>
      </c>
      <c r="E183" s="20" t="str">
        <f>IF('1. Yixian'!E183="","",IF('1. Yixian'!E183='2. Nayoung'!E183,1,0))</f>
        <v/>
      </c>
      <c r="F183" s="20" t="str">
        <f>IF('1. Yixian'!F183="","",IF('1. Yixian'!F183='2. Nayoung'!F183,1,0))</f>
        <v/>
      </c>
      <c r="G183" s="20" t="str">
        <f>IF('1. Yixian'!G183="","",IF('1. Yixian'!G183='2. Nayoung'!G183,1,0))</f>
        <v/>
      </c>
      <c r="H183" s="20" t="str">
        <f>IF('1. Yixian'!J183="","",IF(RIGHT('1. Yixian'!J183,3)=RIGHT('2. Nayoung'!J183,3),1,0))</f>
        <v/>
      </c>
      <c r="I183" s="20" t="str">
        <f>IF(H183="","",IF(OR('2. Nayoung'!K183="", '1. Yixian'!K183 = ""),0,1))</f>
        <v/>
      </c>
      <c r="J183" s="20" t="str">
        <f>IF('1. Yixian'!L183="","",IF('1. Yixian'!L183='2. Nayoung'!L183,1,0))</f>
        <v/>
      </c>
      <c r="K183" s="20" t="str">
        <f>IF('1. Yixian'!M183="","",IF('1. Yixian'!M183='2. Nayoung'!M183,1,0))</f>
        <v/>
      </c>
      <c r="L183" s="20" t="str">
        <f>IF('1. Yixian'!N183="","",IF('1. Yixian'!N183='2. Nayoung'!N183,1,0))</f>
        <v/>
      </c>
      <c r="M183" s="20" t="str">
        <f>IF('1. Yixian'!O183="","",IF('1. Yixian'!O183='2. Nayoung'!O183,1,0))</f>
        <v/>
      </c>
      <c r="N183" s="20" t="str">
        <f>IF('1. Yixian'!P183="","",IF('1. Yixian'!P183='2. Nayoung'!P183,1,0))</f>
        <v/>
      </c>
      <c r="O183" s="20" t="str">
        <f>IF('1. Yixian'!Q183="","",IF('1. Yixian'!Q183='2. Nayoung'!Q183,1,0))</f>
        <v/>
      </c>
      <c r="P183" s="20" t="str">
        <f>IF('1. Yixian'!R183="","",IF('1. Yixian'!R183='2. Nayoung'!R183,1,0))</f>
        <v/>
      </c>
      <c r="Q183" s="20" t="str">
        <f>IF('1. Yixian'!S183="","",IF('1. Yixian'!S183='2. Nayoung'!S183,1,0))</f>
        <v/>
      </c>
      <c r="R183" s="20" t="str">
        <f>IF('1. Yixian'!T183="","",IF('1. Yixian'!T183='2. Nayoung'!T183,1,0))</f>
        <v/>
      </c>
      <c r="S183" s="20" t="str">
        <f>IF(R183="","",IF(OR('2. Nayoung'!U183="", '1. Yixian'!U183 = ""),0,1))</f>
        <v/>
      </c>
      <c r="T183" s="20" t="str">
        <f>IF('1. Yixian'!V183="","",IF('1. Yixian'!V183='2. Nayoung'!V183,1,0))</f>
        <v/>
      </c>
      <c r="U183" s="20" t="str">
        <f>IF('1. Yixian'!W183="","",IF('1. Yixian'!W183='2. Nayoung'!W183,1,0))</f>
        <v/>
      </c>
      <c r="V183" s="20" t="str">
        <f>IF('1. Yixian'!X183="","",IF('1. Yixian'!X183='2. Nayoung'!X183,1,0))</f>
        <v/>
      </c>
      <c r="W183" s="20" t="str">
        <f>IF('1. Yixian'!Y183="","",IF('1. Yixian'!Y183='2. Nayoung'!Y183,1,0))</f>
        <v/>
      </c>
      <c r="X183" s="20" t="str">
        <f>IF('1. Yixian'!Z183="","",IF('1. Yixian'!Z183='2. Nayoung'!Z183,1,0))</f>
        <v/>
      </c>
      <c r="Y183" s="20" t="str">
        <f>IF('1. Yixian'!AA183="","",IF('1. Yixian'!AA183='2. Nayoung'!AA183,1,0))</f>
        <v/>
      </c>
      <c r="Z183" s="20" t="str">
        <f>IF('1. Yixian'!AB183="","",IF('1. Yixian'!AB183='2. Nayoung'!AB183,1,0))</f>
        <v/>
      </c>
      <c r="AA183" s="20" t="str">
        <f>IF('1. Yixian'!AC183="","",IF('1. Yixian'!AC183='2. Nayoung'!AC183,1,0))</f>
        <v/>
      </c>
      <c r="AB183" s="20">
        <f>IF(OR('2. Nayoung'!AD182="", '1. Yixian'!AD183 = ""),0,1)</f>
        <v>1</v>
      </c>
      <c r="AC183" s="20">
        <f>IF('1. Yixian'!AE183="","",IF('1. Yixian'!AE183='2. Nayoung'!AE183,1,0))</f>
        <v>1</v>
      </c>
      <c r="AD183" s="20">
        <f>IF(OR('2. Nayoung'!AF183="", '1. Yixian'!AF183 = ""),0,1)</f>
        <v>1</v>
      </c>
      <c r="AF183" s="20">
        <f>IF('1. Yixian'!AH183="","",IF('1. Yixian'!AH183='2. Nayoung'!AH183,1,0))</f>
        <v>1</v>
      </c>
      <c r="AG183" s="20">
        <f>IF('1. Yixian'!AI183="","",IF('1. Yixian'!AI183='2. Nayoung'!AI183,1,0))</f>
        <v>1</v>
      </c>
      <c r="AH183" s="20">
        <f>IF('1. Yixian'!AJ183="","",IF('1. Yixian'!AJ183='2. Nayoung'!AJ183,1,0))</f>
        <v>1</v>
      </c>
      <c r="AI183" s="20">
        <f>IF('1. Yixian'!AK183="","",IF('1. Yixian'!AK183='2. Nayoung'!AK183,1,0))</f>
        <v>1</v>
      </c>
      <c r="AJ183" s="20">
        <f>IF('1. Yixian'!AL183="","",IF('1. Yixian'!AL183='2. Nayoung'!AL183,1,0))</f>
        <v>1</v>
      </c>
      <c r="AK183" s="20">
        <f>IF('1. Yixian'!AM183="","",IF('1. Yixian'!AM183='2. Nayoung'!AM183,1,0))</f>
        <v>1</v>
      </c>
      <c r="AL183" s="20" t="str">
        <f>IF('1. Yixian'!AT183="","",IF('1. Yixian'!AT183='2. Nayoung'!AT183,1,0))</f>
        <v/>
      </c>
      <c r="AM183" s="20" t="str">
        <f>IF('1. Yixian'!AU183="","",IF('1. Yixian'!AU183='2. Nayoung'!AU183,1,0))</f>
        <v/>
      </c>
      <c r="AN183" s="2"/>
    </row>
    <row r="184" spans="1:40" s="20" customFormat="1" ht="17" hidden="1" customHeight="1">
      <c r="A184" s="20" t="str">
        <f>IF('1. Yixian'!A184="","",IF('1. Yixian'!A184='2. Nayoung'!A184,1,0))</f>
        <v/>
      </c>
      <c r="B184" s="20" t="str">
        <f>IF('1. Yixian'!B184="","",IF(RIGHT('1. Yixian'!B184,2)=RIGHT('2. Nayoung'!B184,2),1,0))</f>
        <v/>
      </c>
      <c r="C184" s="20" t="str">
        <f>IF('1. Yixian'!C184="","",IF('1. Yixian'!C184='2. Nayoung'!C184,1,0))</f>
        <v/>
      </c>
      <c r="E184" s="20" t="str">
        <f>IF('1. Yixian'!E184="","",IF('1. Yixian'!E184='2. Nayoung'!E184,1,0))</f>
        <v/>
      </c>
      <c r="F184" s="20" t="str">
        <f>IF('1. Yixian'!F184="","",IF('1. Yixian'!F184='2. Nayoung'!F184,1,0))</f>
        <v/>
      </c>
      <c r="G184" s="20" t="str">
        <f>IF('1. Yixian'!G184="","",IF('1. Yixian'!G184='2. Nayoung'!G184,1,0))</f>
        <v/>
      </c>
      <c r="H184" s="20" t="str">
        <f>IF('1. Yixian'!J184="","",IF(RIGHT('1. Yixian'!J184,3)=RIGHT('2. Nayoung'!J184,3),1,0))</f>
        <v/>
      </c>
      <c r="I184" s="20" t="str">
        <f>IF(H184="","",IF(OR('2. Nayoung'!K184="", '1. Yixian'!K184 = ""),0,1))</f>
        <v/>
      </c>
      <c r="J184" s="20" t="str">
        <f>IF('1. Yixian'!L184="","",IF('1. Yixian'!L184='2. Nayoung'!L184,1,0))</f>
        <v/>
      </c>
      <c r="K184" s="20" t="str">
        <f>IF('1. Yixian'!M184="","",IF('1. Yixian'!M184='2. Nayoung'!M184,1,0))</f>
        <v/>
      </c>
      <c r="L184" s="20" t="str">
        <f>IF('1. Yixian'!N184="","",IF('1. Yixian'!N184='2. Nayoung'!N184,1,0))</f>
        <v/>
      </c>
      <c r="M184" s="20" t="str">
        <f>IF('1. Yixian'!O184="","",IF('1. Yixian'!O184='2. Nayoung'!O184,1,0))</f>
        <v/>
      </c>
      <c r="N184" s="20" t="str">
        <f>IF('1. Yixian'!P184="","",IF('1. Yixian'!P184='2. Nayoung'!P184,1,0))</f>
        <v/>
      </c>
      <c r="O184" s="20" t="str">
        <f>IF('1. Yixian'!Q184="","",IF('1. Yixian'!Q184='2. Nayoung'!Q184,1,0))</f>
        <v/>
      </c>
      <c r="P184" s="20" t="str">
        <f>IF('1. Yixian'!R184="","",IF('1. Yixian'!R184='2. Nayoung'!R184,1,0))</f>
        <v/>
      </c>
      <c r="Q184" s="20" t="str">
        <f>IF('1. Yixian'!S184="","",IF('1. Yixian'!S184='2. Nayoung'!S184,1,0))</f>
        <v/>
      </c>
      <c r="R184" s="20" t="str">
        <f>IF('1. Yixian'!T184="","",IF('1. Yixian'!T184='2. Nayoung'!T184,1,0))</f>
        <v/>
      </c>
      <c r="S184" s="20" t="str">
        <f>IF(R184="","",IF(OR('2. Nayoung'!U184="", '1. Yixian'!U184 = ""),0,1))</f>
        <v/>
      </c>
      <c r="T184" s="20" t="str">
        <f>IF('1. Yixian'!V184="","",IF('1. Yixian'!V184='2. Nayoung'!V184,1,0))</f>
        <v/>
      </c>
      <c r="U184" s="20" t="str">
        <f>IF('1. Yixian'!W184="","",IF('1. Yixian'!W184='2. Nayoung'!W184,1,0))</f>
        <v/>
      </c>
      <c r="V184" s="20" t="str">
        <f>IF('1. Yixian'!X184="","",IF('1. Yixian'!X184='2. Nayoung'!X184,1,0))</f>
        <v/>
      </c>
      <c r="W184" s="20" t="str">
        <f>IF('1. Yixian'!Y184="","",IF('1. Yixian'!Y184='2. Nayoung'!Y184,1,0))</f>
        <v/>
      </c>
      <c r="X184" s="20" t="str">
        <f>IF('1. Yixian'!Z184="","",IF('1. Yixian'!Z184='2. Nayoung'!Z184,1,0))</f>
        <v/>
      </c>
      <c r="Y184" s="20" t="str">
        <f>IF('1. Yixian'!AA184="","",IF('1. Yixian'!AA184='2. Nayoung'!AA184,1,0))</f>
        <v/>
      </c>
      <c r="Z184" s="20" t="str">
        <f>IF('1. Yixian'!AB184="","",IF('1. Yixian'!AB184='2. Nayoung'!AB184,1,0))</f>
        <v/>
      </c>
      <c r="AA184" s="20" t="str">
        <f>IF('1. Yixian'!AC184="","",IF('1. Yixian'!AC184='2. Nayoung'!AC184,1,0))</f>
        <v/>
      </c>
      <c r="AB184" s="20">
        <f>IF(OR('2. Nayoung'!AD183="", '1. Yixian'!AD184 = ""),0,1)</f>
        <v>1</v>
      </c>
      <c r="AC184" s="20">
        <f>IF('1. Yixian'!AE184="","",IF('1. Yixian'!AE184='2. Nayoung'!AE184,1,0))</f>
        <v>1</v>
      </c>
      <c r="AD184" s="20">
        <f>IF(OR('2. Nayoung'!AF184="", '1. Yixian'!AF184 = ""),0,1)</f>
        <v>1</v>
      </c>
      <c r="AF184" s="20">
        <f>IF('1. Yixian'!AH184="","",IF('1. Yixian'!AH184='2. Nayoung'!AH184,1,0))</f>
        <v>1</v>
      </c>
      <c r="AG184" s="20">
        <f>IF('1. Yixian'!AI184="","",IF('1. Yixian'!AI184='2. Nayoung'!AI184,1,0))</f>
        <v>1</v>
      </c>
      <c r="AH184" s="20">
        <f>IF('1. Yixian'!AJ184="","",IF('1. Yixian'!AJ184='2. Nayoung'!AJ184,1,0))</f>
        <v>1</v>
      </c>
      <c r="AI184" s="20">
        <f>IF('1. Yixian'!AK184="","",IF('1. Yixian'!AK184='2. Nayoung'!AK184,1,0))</f>
        <v>1</v>
      </c>
      <c r="AJ184" s="20">
        <f>IF('1. Yixian'!AL184="","",IF('1. Yixian'!AL184='2. Nayoung'!AL184,1,0))</f>
        <v>1</v>
      </c>
      <c r="AK184" s="20">
        <f>IF('1. Yixian'!AM184="","",IF('1. Yixian'!AM184='2. Nayoung'!AM184,1,0))</f>
        <v>1</v>
      </c>
      <c r="AL184" s="20" t="str">
        <f>IF('1. Yixian'!AT184="","",IF('1. Yixian'!AT184='2. Nayoung'!AT184,1,0))</f>
        <v/>
      </c>
      <c r="AM184" s="20" t="str">
        <f>IF('1. Yixian'!AU184="","",IF('1. Yixian'!AU184='2. Nayoung'!AU184,1,0))</f>
        <v/>
      </c>
      <c r="AN184" s="2"/>
    </row>
    <row r="185" spans="1:40" s="20" customFormat="1" ht="17" hidden="1" customHeight="1">
      <c r="A185" s="20" t="str">
        <f>IF('1. Yixian'!A185="","",IF('1. Yixian'!A185='2. Nayoung'!A185,1,0))</f>
        <v/>
      </c>
      <c r="B185" s="20" t="str">
        <f>IF('1. Yixian'!B185="","",IF(RIGHT('1. Yixian'!B185,2)=RIGHT('2. Nayoung'!B185,2),1,0))</f>
        <v/>
      </c>
      <c r="C185" s="20" t="str">
        <f>IF('1. Yixian'!C185="","",IF('1. Yixian'!C185='2. Nayoung'!C185,1,0))</f>
        <v/>
      </c>
      <c r="E185" s="20" t="str">
        <f>IF('1. Yixian'!E185="","",IF('1. Yixian'!E185='2. Nayoung'!E185,1,0))</f>
        <v/>
      </c>
      <c r="F185" s="20" t="str">
        <f>IF('1. Yixian'!F185="","",IF('1. Yixian'!F185='2. Nayoung'!F185,1,0))</f>
        <v/>
      </c>
      <c r="G185" s="20" t="str">
        <f>IF('1. Yixian'!G185="","",IF('1. Yixian'!G185='2. Nayoung'!G185,1,0))</f>
        <v/>
      </c>
      <c r="H185" s="20" t="str">
        <f>IF('1. Yixian'!J185="","",IF(RIGHT('1. Yixian'!J185,3)=RIGHT('2. Nayoung'!J185,3),1,0))</f>
        <v/>
      </c>
      <c r="I185" s="20" t="str">
        <f>IF(H185="","",IF(OR('2. Nayoung'!K185="", '1. Yixian'!K185 = ""),0,1))</f>
        <v/>
      </c>
      <c r="J185" s="20" t="str">
        <f>IF('1. Yixian'!L185="","",IF('1. Yixian'!L185='2. Nayoung'!L185,1,0))</f>
        <v/>
      </c>
      <c r="K185" s="20" t="str">
        <f>IF('1. Yixian'!M185="","",IF('1. Yixian'!M185='2. Nayoung'!M185,1,0))</f>
        <v/>
      </c>
      <c r="L185" s="20" t="str">
        <f>IF('1. Yixian'!N185="","",IF('1. Yixian'!N185='2. Nayoung'!N185,1,0))</f>
        <v/>
      </c>
      <c r="M185" s="20" t="str">
        <f>IF('1. Yixian'!O185="","",IF('1. Yixian'!O185='2. Nayoung'!O185,1,0))</f>
        <v/>
      </c>
      <c r="N185" s="20" t="str">
        <f>IF('1. Yixian'!P185="","",IF('1. Yixian'!P185='2. Nayoung'!P185,1,0))</f>
        <v/>
      </c>
      <c r="O185" s="20" t="str">
        <f>IF('1. Yixian'!Q185="","",IF('1. Yixian'!Q185='2. Nayoung'!Q185,1,0))</f>
        <v/>
      </c>
      <c r="P185" s="20" t="str">
        <f>IF('1. Yixian'!R185="","",IF('1. Yixian'!R185='2. Nayoung'!R185,1,0))</f>
        <v/>
      </c>
      <c r="Q185" s="20" t="str">
        <f>IF('1. Yixian'!S185="","",IF('1. Yixian'!S185='2. Nayoung'!S185,1,0))</f>
        <v/>
      </c>
      <c r="R185" s="20" t="str">
        <f>IF('1. Yixian'!T185="","",IF('1. Yixian'!T185='2. Nayoung'!T185,1,0))</f>
        <v/>
      </c>
      <c r="S185" s="20" t="str">
        <f>IF(R185="","",IF(OR('2. Nayoung'!U185="", '1. Yixian'!U185 = ""),0,1))</f>
        <v/>
      </c>
      <c r="T185" s="20" t="str">
        <f>IF('1. Yixian'!V185="","",IF('1. Yixian'!V185='2. Nayoung'!V185,1,0))</f>
        <v/>
      </c>
      <c r="U185" s="20" t="str">
        <f>IF('1. Yixian'!W185="","",IF('1. Yixian'!W185='2. Nayoung'!W185,1,0))</f>
        <v/>
      </c>
      <c r="V185" s="20" t="str">
        <f>IF('1. Yixian'!X185="","",IF('1. Yixian'!X185='2. Nayoung'!X185,1,0))</f>
        <v/>
      </c>
      <c r="W185" s="20" t="str">
        <f>IF('1. Yixian'!Y185="","",IF('1. Yixian'!Y185='2. Nayoung'!Y185,1,0))</f>
        <v/>
      </c>
      <c r="X185" s="20" t="str">
        <f>IF('1. Yixian'!Z185="","",IF('1. Yixian'!Z185='2. Nayoung'!Z185,1,0))</f>
        <v/>
      </c>
      <c r="Y185" s="20" t="str">
        <f>IF('1. Yixian'!AA185="","",IF('1. Yixian'!AA185='2. Nayoung'!AA185,1,0))</f>
        <v/>
      </c>
      <c r="Z185" s="20" t="str">
        <f>IF('1. Yixian'!AB185="","",IF('1. Yixian'!AB185='2. Nayoung'!AB185,1,0))</f>
        <v/>
      </c>
      <c r="AA185" s="20" t="str">
        <f>IF('1. Yixian'!AC185="","",IF('1. Yixian'!AC185='2. Nayoung'!AC185,1,0))</f>
        <v/>
      </c>
      <c r="AB185" s="20">
        <f>IF(OR('2. Nayoung'!AD184="", '1. Yixian'!AD185 = ""),0,1)</f>
        <v>1</v>
      </c>
      <c r="AC185" s="20">
        <f>IF('1. Yixian'!AE185="","",IF('1. Yixian'!AE185='2. Nayoung'!AE185,1,0))</f>
        <v>1</v>
      </c>
      <c r="AD185" s="20">
        <f>IF(OR('2. Nayoung'!AF185="", '1. Yixian'!AF185 = ""),0,1)</f>
        <v>1</v>
      </c>
      <c r="AF185" s="20">
        <f>IF('1. Yixian'!AH185="","",IF('1. Yixian'!AH185='2. Nayoung'!AH185,1,0))</f>
        <v>1</v>
      </c>
      <c r="AG185" s="20">
        <f>IF('1. Yixian'!AI185="","",IF('1. Yixian'!AI185='2. Nayoung'!AI185,1,0))</f>
        <v>1</v>
      </c>
      <c r="AH185" s="20">
        <f>IF('1. Yixian'!AJ185="","",IF('1. Yixian'!AJ185='2. Nayoung'!AJ185,1,0))</f>
        <v>1</v>
      </c>
      <c r="AI185" s="20">
        <f>IF('1. Yixian'!AK185="","",IF('1. Yixian'!AK185='2. Nayoung'!AK185,1,0))</f>
        <v>1</v>
      </c>
      <c r="AJ185" s="20">
        <f>IF('1. Yixian'!AL185="","",IF('1. Yixian'!AL185='2. Nayoung'!AL185,1,0))</f>
        <v>1</v>
      </c>
      <c r="AK185" s="20">
        <f>IF('1. Yixian'!AM185="","",IF('1. Yixian'!AM185='2. Nayoung'!AM185,1,0))</f>
        <v>1</v>
      </c>
      <c r="AL185" s="20" t="str">
        <f>IF('1. Yixian'!AT185="","",IF('1. Yixian'!AT185='2. Nayoung'!AT185,1,0))</f>
        <v/>
      </c>
      <c r="AM185" s="20" t="str">
        <f>IF('1. Yixian'!AU185="","",IF('1. Yixian'!AU185='2. Nayoung'!AU185,1,0))</f>
        <v/>
      </c>
      <c r="AN185" s="2"/>
    </row>
    <row r="186" spans="1:40" s="20" customFormat="1" ht="17" hidden="1" customHeight="1">
      <c r="A186" s="20" t="str">
        <f>IF('1. Yixian'!A186="","",IF('1. Yixian'!A186='2. Nayoung'!A186,1,0))</f>
        <v/>
      </c>
      <c r="B186" s="20" t="str">
        <f>IF('1. Yixian'!B186="","",IF(RIGHT('1. Yixian'!B186,2)=RIGHT('2. Nayoung'!B186,2),1,0))</f>
        <v/>
      </c>
      <c r="C186" s="20" t="str">
        <f>IF('1. Yixian'!C186="","",IF('1. Yixian'!C186='2. Nayoung'!C186,1,0))</f>
        <v/>
      </c>
      <c r="E186" s="20" t="str">
        <f>IF('1. Yixian'!E186="","",IF('1. Yixian'!E186='2. Nayoung'!E186,1,0))</f>
        <v/>
      </c>
      <c r="F186" s="20" t="str">
        <f>IF('1. Yixian'!F186="","",IF('1. Yixian'!F186='2. Nayoung'!F186,1,0))</f>
        <v/>
      </c>
      <c r="G186" s="20" t="str">
        <f>IF('1. Yixian'!G186="","",IF('1. Yixian'!G186='2. Nayoung'!G186,1,0))</f>
        <v/>
      </c>
      <c r="H186" s="20" t="str">
        <f>IF('1. Yixian'!J186="","",IF(RIGHT('1. Yixian'!J186,3)=RIGHT('2. Nayoung'!J186,3),1,0))</f>
        <v/>
      </c>
      <c r="I186" s="20" t="str">
        <f>IF(H186="","",IF(OR('2. Nayoung'!K186="", '1. Yixian'!K186 = ""),0,1))</f>
        <v/>
      </c>
      <c r="J186" s="20" t="str">
        <f>IF('1. Yixian'!L186="","",IF('1. Yixian'!L186='2. Nayoung'!L186,1,0))</f>
        <v/>
      </c>
      <c r="K186" s="20" t="str">
        <f>IF('1. Yixian'!M186="","",IF('1. Yixian'!M186='2. Nayoung'!M186,1,0))</f>
        <v/>
      </c>
      <c r="L186" s="20" t="str">
        <f>IF('1. Yixian'!N186="","",IF('1. Yixian'!N186='2. Nayoung'!N186,1,0))</f>
        <v/>
      </c>
      <c r="M186" s="20" t="str">
        <f>IF('1. Yixian'!O186="","",IF('1. Yixian'!O186='2. Nayoung'!O186,1,0))</f>
        <v/>
      </c>
      <c r="N186" s="20" t="str">
        <f>IF('1. Yixian'!P186="","",IF('1. Yixian'!P186='2. Nayoung'!P186,1,0))</f>
        <v/>
      </c>
      <c r="O186" s="20" t="str">
        <f>IF('1. Yixian'!Q186="","",IF('1. Yixian'!Q186='2. Nayoung'!Q186,1,0))</f>
        <v/>
      </c>
      <c r="P186" s="20" t="str">
        <f>IF('1. Yixian'!R186="","",IF('1. Yixian'!R186='2. Nayoung'!R186,1,0))</f>
        <v/>
      </c>
      <c r="Q186" s="20" t="str">
        <f>IF('1. Yixian'!S186="","",IF('1. Yixian'!S186='2. Nayoung'!S186,1,0))</f>
        <v/>
      </c>
      <c r="R186" s="20" t="str">
        <f>IF('1. Yixian'!T186="","",IF('1. Yixian'!T186='2. Nayoung'!T186,1,0))</f>
        <v/>
      </c>
      <c r="S186" s="20" t="str">
        <f>IF(R186="","",IF(OR('2. Nayoung'!U186="", '1. Yixian'!U186 = ""),0,1))</f>
        <v/>
      </c>
      <c r="T186" s="20" t="str">
        <f>IF('1. Yixian'!V186="","",IF('1. Yixian'!V186='2. Nayoung'!V186,1,0))</f>
        <v/>
      </c>
      <c r="U186" s="20" t="str">
        <f>IF('1. Yixian'!W186="","",IF('1. Yixian'!W186='2. Nayoung'!W186,1,0))</f>
        <v/>
      </c>
      <c r="V186" s="20" t="str">
        <f>IF('1. Yixian'!X186="","",IF('1. Yixian'!X186='2. Nayoung'!X186,1,0))</f>
        <v/>
      </c>
      <c r="W186" s="20" t="str">
        <f>IF('1. Yixian'!Y186="","",IF('1. Yixian'!Y186='2. Nayoung'!Y186,1,0))</f>
        <v/>
      </c>
      <c r="X186" s="20" t="str">
        <f>IF('1. Yixian'!Z186="","",IF('1. Yixian'!Z186='2. Nayoung'!Z186,1,0))</f>
        <v/>
      </c>
      <c r="Y186" s="20" t="str">
        <f>IF('1. Yixian'!AA186="","",IF('1. Yixian'!AA186='2. Nayoung'!AA186,1,0))</f>
        <v/>
      </c>
      <c r="Z186" s="20" t="str">
        <f>IF('1. Yixian'!AB186="","",IF('1. Yixian'!AB186='2. Nayoung'!AB186,1,0))</f>
        <v/>
      </c>
      <c r="AA186" s="20" t="str">
        <f>IF('1. Yixian'!AC186="","",IF('1. Yixian'!AC186='2. Nayoung'!AC186,1,0))</f>
        <v/>
      </c>
      <c r="AB186" s="20">
        <f>IF(OR('2. Nayoung'!AD185="", '1. Yixian'!AD186 = ""),0,1)</f>
        <v>1</v>
      </c>
      <c r="AC186" s="20">
        <f>IF('1. Yixian'!AE186="","",IF('1. Yixian'!AE186='2. Nayoung'!AE186,1,0))</f>
        <v>1</v>
      </c>
      <c r="AD186" s="20">
        <f>IF(OR('2. Nayoung'!AF186="", '1. Yixian'!AF186 = ""),0,1)</f>
        <v>1</v>
      </c>
      <c r="AF186" s="20">
        <f>IF('1. Yixian'!AH186="","",IF('1. Yixian'!AH186='2. Nayoung'!AH186,1,0))</f>
        <v>1</v>
      </c>
      <c r="AG186" s="20">
        <f>IF('1. Yixian'!AI186="","",IF('1. Yixian'!AI186='2. Nayoung'!AI186,1,0))</f>
        <v>1</v>
      </c>
      <c r="AH186" s="20">
        <f>IF('1. Yixian'!AJ186="","",IF('1. Yixian'!AJ186='2. Nayoung'!AJ186,1,0))</f>
        <v>1</v>
      </c>
      <c r="AI186" s="20">
        <f>IF('1. Yixian'!AK186="","",IF('1. Yixian'!AK186='2. Nayoung'!AK186,1,0))</f>
        <v>1</v>
      </c>
      <c r="AJ186" s="20">
        <f>IF('1. Yixian'!AL186="","",IF('1. Yixian'!AL186='2. Nayoung'!AL186,1,0))</f>
        <v>1</v>
      </c>
      <c r="AK186" s="20">
        <f>IF('1. Yixian'!AM186="","",IF('1. Yixian'!AM186='2. Nayoung'!AM186,1,0))</f>
        <v>1</v>
      </c>
      <c r="AL186" s="20" t="str">
        <f>IF('1. Yixian'!AT186="","",IF('1. Yixian'!AT186='2. Nayoung'!AT186,1,0))</f>
        <v/>
      </c>
      <c r="AM186" s="20" t="str">
        <f>IF('1. Yixian'!AU186="","",IF('1. Yixian'!AU186='2. Nayoung'!AU186,1,0))</f>
        <v/>
      </c>
      <c r="AN186" s="2"/>
    </row>
    <row r="187" spans="1:40" s="20" customFormat="1" ht="17" hidden="1" customHeight="1">
      <c r="A187" s="20">
        <f>IF('1. Yixian'!A187="","",IF('1. Yixian'!A187='2. Nayoung'!A187,1,0))</f>
        <v>1</v>
      </c>
      <c r="B187" s="20">
        <f>IF('1. Yixian'!B187="","",IF(RIGHT('1. Yixian'!B187,2)=RIGHT('2. Nayoung'!B187,2),1,0))</f>
        <v>1</v>
      </c>
      <c r="C187" s="20">
        <f>IF('1. Yixian'!C187="","",IF('1. Yixian'!C187='2. Nayoung'!C187,1,0))</f>
        <v>1</v>
      </c>
      <c r="E187" s="20">
        <f>IF('1. Yixian'!E187="","",IF('1. Yixian'!E187='2. Nayoung'!E187,1,0))</f>
        <v>1</v>
      </c>
      <c r="F187" s="20">
        <f>IF('1. Yixian'!F187="","",IF('1. Yixian'!F187='2. Nayoung'!F187,1,0))</f>
        <v>1</v>
      </c>
      <c r="G187" s="20">
        <f>IF('1. Yixian'!G187="","",IF('1. Yixian'!G187='2. Nayoung'!G187,1,0))</f>
        <v>1</v>
      </c>
      <c r="H187" s="20">
        <f>IF('1. Yixian'!J187="","",IF(RIGHT('1. Yixian'!J187,3)=RIGHT('2. Nayoung'!J187,3),1,0))</f>
        <v>1</v>
      </c>
      <c r="I187" s="20">
        <f>IF(H187="","",IF(OR('2. Nayoung'!K187="", '1. Yixian'!K187 = ""),0,1))</f>
        <v>1</v>
      </c>
      <c r="J187" s="20">
        <f>IF('1. Yixian'!L187="","",IF('1. Yixian'!L187='2. Nayoung'!L187,1,0))</f>
        <v>1</v>
      </c>
      <c r="K187" s="20">
        <f>IF('1. Yixian'!M187="","",IF('1. Yixian'!M187='2. Nayoung'!M187,1,0))</f>
        <v>1</v>
      </c>
      <c r="L187" s="20">
        <f>IF('1. Yixian'!N187="","",IF('1. Yixian'!N187='2. Nayoung'!N187,1,0))</f>
        <v>1</v>
      </c>
      <c r="M187" s="20">
        <f>IF('1. Yixian'!O187="","",IF('1. Yixian'!O187='2. Nayoung'!O187,1,0))</f>
        <v>1</v>
      </c>
      <c r="N187" s="20">
        <f>IF('1. Yixian'!P187="","",IF('1. Yixian'!P187='2. Nayoung'!P187,1,0))</f>
        <v>1</v>
      </c>
      <c r="O187" s="20">
        <f>IF('1. Yixian'!Q187="","",IF('1. Yixian'!Q187='2. Nayoung'!Q187,1,0))</f>
        <v>1</v>
      </c>
      <c r="P187" s="20">
        <f>IF('1. Yixian'!R187="","",IF('1. Yixian'!R187='2. Nayoung'!R187,1,0))</f>
        <v>1</v>
      </c>
      <c r="Q187" s="20">
        <f>IF('1. Yixian'!S187="","",IF('1. Yixian'!S187='2. Nayoung'!S187,1,0))</f>
        <v>1</v>
      </c>
      <c r="R187" s="20">
        <f>IF('1. Yixian'!T187="","",IF('1. Yixian'!T187='2. Nayoung'!T187,1,0))</f>
        <v>1</v>
      </c>
      <c r="S187" s="20">
        <f>IF(R187="","",IF(OR('2. Nayoung'!U187="", '1. Yixian'!U187 = ""),0,1))</f>
        <v>1</v>
      </c>
      <c r="T187" s="20">
        <f>IF('1. Yixian'!V187="","",IF('1. Yixian'!V187='2. Nayoung'!V187,1,0))</f>
        <v>1</v>
      </c>
      <c r="U187" s="20">
        <f>IF('1. Yixian'!W187="","",IF('1. Yixian'!W187='2. Nayoung'!W187,1,0))</f>
        <v>1</v>
      </c>
      <c r="V187" s="20">
        <f>IF('1. Yixian'!X187="","",IF('1. Yixian'!X187='2. Nayoung'!X187,1,0))</f>
        <v>1</v>
      </c>
      <c r="W187" s="20">
        <f>IF('1. Yixian'!Y187="","",IF('1. Yixian'!Y187='2. Nayoung'!Y187,1,0))</f>
        <v>1</v>
      </c>
      <c r="X187" s="20">
        <f>IF('1. Yixian'!Z187="","",IF('1. Yixian'!Z187='2. Nayoung'!Z187,1,0))</f>
        <v>1</v>
      </c>
      <c r="Y187" s="20">
        <f>IF('1. Yixian'!AA187="","",IF('1. Yixian'!AA187='2. Nayoung'!AA187,1,0))</f>
        <v>1</v>
      </c>
      <c r="Z187" s="20">
        <f>IF('1. Yixian'!AB187="","",IF('1. Yixian'!AB187='2. Nayoung'!AB187,1,0))</f>
        <v>1</v>
      </c>
      <c r="AA187" s="20">
        <f>IF('1. Yixian'!AC187="","",IF('1. Yixian'!AC187='2. Nayoung'!AC187,1,0))</f>
        <v>1</v>
      </c>
      <c r="AB187" s="20">
        <f>IF(OR('2. Nayoung'!AD186="", '1. Yixian'!AD187 = ""),0,1)</f>
        <v>1</v>
      </c>
      <c r="AC187" s="20">
        <f>IF('1. Yixian'!AE187="","",IF('1. Yixian'!AE187='2. Nayoung'!AE187,1,0))</f>
        <v>1</v>
      </c>
      <c r="AD187" s="20">
        <f>IF(OR('2. Nayoung'!AF187="", '1. Yixian'!AF187 = ""),0,1)</f>
        <v>1</v>
      </c>
      <c r="AF187" s="20">
        <f>IF('1. Yixian'!AH187="","",IF('1. Yixian'!AH187='2. Nayoung'!AH187,1,0))</f>
        <v>1</v>
      </c>
      <c r="AG187" s="20">
        <f>IF('1. Yixian'!AI187="","",IF('1. Yixian'!AI187='2. Nayoung'!AI187,1,0))</f>
        <v>1</v>
      </c>
      <c r="AH187" s="20">
        <f>IF('1. Yixian'!AJ187="","",IF('1. Yixian'!AJ187='2. Nayoung'!AJ187,1,0))</f>
        <v>1</v>
      </c>
      <c r="AI187" s="20">
        <f>IF('1. Yixian'!AK187="","",IF('1. Yixian'!AK187='2. Nayoung'!AK187,1,0))</f>
        <v>1</v>
      </c>
      <c r="AJ187" s="20">
        <f>IF('1. Yixian'!AL187="","",IF('1. Yixian'!AL187='2. Nayoung'!AL187,1,0))</f>
        <v>1</v>
      </c>
      <c r="AK187" s="20">
        <f>IF('1. Yixian'!AM187="","",IF('1. Yixian'!AM187='2. Nayoung'!AM187,1,0))</f>
        <v>1</v>
      </c>
      <c r="AL187" s="20" t="str">
        <f>IF('1. Yixian'!AT187="","",IF('1. Yixian'!AT187='2. Nayoung'!AT187,1,0))</f>
        <v/>
      </c>
      <c r="AM187" s="20" t="str">
        <f>IF('1. Yixian'!AU187="","",IF('1. Yixian'!AU187='2. Nayoung'!AU187,1,0))</f>
        <v/>
      </c>
      <c r="AN187" s="2"/>
    </row>
    <row r="188" spans="1:40" s="66" customFormat="1" ht="17" hidden="1" customHeight="1" thickBot="1">
      <c r="A188" s="66" t="str">
        <f>IF('1. Yixian'!A188="","",IF('1. Yixian'!A188='2. Nayoung'!A188,1,0))</f>
        <v/>
      </c>
      <c r="B188" s="66" t="str">
        <f>IF('1. Yixian'!B188="","",IF(RIGHT('1. Yixian'!B188,2)=RIGHT('2. Nayoung'!B188,2),1,0))</f>
        <v/>
      </c>
      <c r="C188" s="66" t="str">
        <f>IF('1. Yixian'!C188="","",IF('1. Yixian'!C188='2. Nayoung'!C188,1,0))</f>
        <v/>
      </c>
      <c r="E188" s="66" t="str">
        <f>IF('1. Yixian'!E188="","",IF('1. Yixian'!E188='2. Nayoung'!E188,1,0))</f>
        <v/>
      </c>
      <c r="F188" s="66" t="str">
        <f>IF('1. Yixian'!F188="","",IF('1. Yixian'!F188='2. Nayoung'!F188,1,0))</f>
        <v/>
      </c>
      <c r="G188" s="66" t="str">
        <f>IF('1. Yixian'!G188="","",IF('1. Yixian'!G188='2. Nayoung'!G188,1,0))</f>
        <v/>
      </c>
      <c r="H188" s="66">
        <f>IF('1. Yixian'!J188="","",IF(RIGHT('1. Yixian'!J188,3)=RIGHT('2. Nayoung'!J188,3),1,0))</f>
        <v>0</v>
      </c>
      <c r="I188" s="66">
        <f>IF(H188="","",IF(OR('2. Nayoung'!K188="", '1. Yixian'!K188 = ""),0,1))</f>
        <v>1</v>
      </c>
      <c r="J188" s="66">
        <f>IF('1. Yixian'!L188="","",IF('1. Yixian'!L188='2. Nayoung'!L188,1,0))</f>
        <v>1</v>
      </c>
      <c r="K188" s="66">
        <f>IF('1. Yixian'!M188="","",IF('1. Yixian'!M188='2. Nayoung'!M188,1,0))</f>
        <v>1</v>
      </c>
      <c r="L188" s="66">
        <f>IF('1. Yixian'!N188="","",IF('1. Yixian'!N188='2. Nayoung'!N188,1,0))</f>
        <v>1</v>
      </c>
      <c r="M188" s="66">
        <f>IF('1. Yixian'!O188="","",IF('1. Yixian'!O188='2. Nayoung'!O188,1,0))</f>
        <v>1</v>
      </c>
      <c r="N188" s="66">
        <f>IF('1. Yixian'!P188="","",IF('1. Yixian'!P188='2. Nayoung'!P188,1,0))</f>
        <v>1</v>
      </c>
      <c r="O188" s="66">
        <f>IF('1. Yixian'!Q188="","",IF('1. Yixian'!Q188='2. Nayoung'!Q188,1,0))</f>
        <v>1</v>
      </c>
      <c r="P188" s="66">
        <f>IF('1. Yixian'!R188="","",IF('1. Yixian'!R188='2. Nayoung'!R188,1,0))</f>
        <v>1</v>
      </c>
      <c r="Q188" s="66">
        <f>IF('1. Yixian'!S188="","",IF('1. Yixian'!S188='2. Nayoung'!S188,1,0))</f>
        <v>1</v>
      </c>
      <c r="R188" s="66">
        <f>IF('1. Yixian'!T188="","",IF('1. Yixian'!T188='2. Nayoung'!T188,1,0))</f>
        <v>1</v>
      </c>
      <c r="S188" s="66">
        <f>IF(R188="","",IF(OR('2. Nayoung'!U188="", '1. Yixian'!U188 = ""),0,1))</f>
        <v>1</v>
      </c>
      <c r="T188" s="66">
        <f>IF('1. Yixian'!V188="","",IF('1. Yixian'!V188='2. Nayoung'!V188,1,0))</f>
        <v>1</v>
      </c>
      <c r="U188" s="66">
        <f>IF('1. Yixian'!W188="","",IF('1. Yixian'!W188='2. Nayoung'!W188,1,0))</f>
        <v>1</v>
      </c>
      <c r="V188" s="66">
        <f>IF('1. Yixian'!X188="","",IF('1. Yixian'!X188='2. Nayoung'!X188,1,0))</f>
        <v>1</v>
      </c>
      <c r="W188" s="66">
        <f>IF('1. Yixian'!Y188="","",IF('1. Yixian'!Y188='2. Nayoung'!Y188,1,0))</f>
        <v>1</v>
      </c>
      <c r="X188" s="66">
        <f>IF('1. Yixian'!Z188="","",IF('1. Yixian'!Z188='2. Nayoung'!Z188,1,0))</f>
        <v>1</v>
      </c>
      <c r="Y188" s="66">
        <f>IF('1. Yixian'!AA188="","",IF('1. Yixian'!AA188='2. Nayoung'!AA188,1,0))</f>
        <v>1</v>
      </c>
      <c r="Z188" s="66">
        <f>IF('1. Yixian'!AB188="","",IF('1. Yixian'!AB188='2. Nayoung'!AB188,1,0))</f>
        <v>1</v>
      </c>
      <c r="AA188" s="66">
        <f>IF('1. Yixian'!AC188="","",IF('1. Yixian'!AC188='2. Nayoung'!AC188,1,0))</f>
        <v>1</v>
      </c>
      <c r="AB188" s="66">
        <f>IF(OR('2. Nayoung'!AD187="", '1. Yixian'!AD188 = ""),0,1)</f>
        <v>1</v>
      </c>
      <c r="AC188" s="66">
        <f>IF('1. Yixian'!AE188="","",IF('1. Yixian'!AE188='2. Nayoung'!AE188,1,0))</f>
        <v>1</v>
      </c>
      <c r="AD188" s="66">
        <f>IF(OR('2. Nayoung'!AF188="", '1. Yixian'!AF188 = ""),0,1)</f>
        <v>1</v>
      </c>
      <c r="AF188" s="66">
        <f>IF('1. Yixian'!AH188="","",IF('1. Yixian'!AH188='2. Nayoung'!AH188,1,0))</f>
        <v>1</v>
      </c>
      <c r="AG188" s="66">
        <f>IF('1. Yixian'!AI188="","",IF('1. Yixian'!AI188='2. Nayoung'!AI188,1,0))</f>
        <v>1</v>
      </c>
      <c r="AH188" s="66">
        <f>IF('1. Yixian'!AJ188="","",IF('1. Yixian'!AJ188='2. Nayoung'!AJ188,1,0))</f>
        <v>1</v>
      </c>
      <c r="AI188" s="66">
        <f>IF('1. Yixian'!AK188="","",IF('1. Yixian'!AK188='2. Nayoung'!AK188,1,0))</f>
        <v>1</v>
      </c>
      <c r="AJ188" s="66">
        <f>IF('1. Yixian'!AL188="","",IF('1. Yixian'!AL188='2. Nayoung'!AL188,1,0))</f>
        <v>1</v>
      </c>
      <c r="AK188" s="66">
        <f>IF('1. Yixian'!AM188="","",IF('1. Yixian'!AM188='2. Nayoung'!AM188,1,0))</f>
        <v>1</v>
      </c>
      <c r="AL188" s="66" t="str">
        <f>IF('1. Yixian'!AT188="","",IF('1. Yixian'!AT188='2. Nayoung'!AT188,1,0))</f>
        <v/>
      </c>
      <c r="AM188" s="66" t="str">
        <f>IF('1. Yixian'!AU188="","",IF('1. Yixian'!AU188='2. Nayoung'!AU188,1,0))</f>
        <v/>
      </c>
      <c r="AN188" s="68"/>
    </row>
    <row r="189" spans="1:40" s="20" customFormat="1" ht="17" customHeight="1">
      <c r="A189" s="20">
        <f>IF('1. Yixian'!A189="","",IF('1. Yixian'!A189='2. Nayoung'!A189,1,0))</f>
        <v>1</v>
      </c>
      <c r="B189" s="20">
        <f>IF('1. Yixian'!B189="","",IF(RIGHT('1. Yixian'!B189,2)=RIGHT('2. Nayoung'!B189,2),1,0))</f>
        <v>1</v>
      </c>
      <c r="C189" s="20">
        <f>IF('1. Yixian'!C189="","",IF('1. Yixian'!C189='2. Nayoung'!C189,1,0))</f>
        <v>1</v>
      </c>
      <c r="E189" s="20">
        <f>IF('1. Yixian'!E189="","",IF('1. Yixian'!E189='2. Nayoung'!E189,1,0))</f>
        <v>1</v>
      </c>
      <c r="F189" s="20">
        <f>IF('1. Yixian'!F189="","",IF('1. Yixian'!F189='2. Nayoung'!F189,1,0))</f>
        <v>1</v>
      </c>
      <c r="G189" s="20">
        <f>IF('1. Yixian'!G189="","",IF('1. Yixian'!G189='2. Nayoung'!G189,1,0))</f>
        <v>1</v>
      </c>
      <c r="H189" s="20">
        <f>IF('1. Yixian'!J189="","",IF(RIGHT('1. Yixian'!J189,3)=RIGHT('2. Nayoung'!J189,3),1,0))</f>
        <v>1</v>
      </c>
      <c r="I189" s="20">
        <f>IF(H189="","",IF(OR('2. Nayoung'!K189="", '1. Yixian'!K189 = ""),0,1))</f>
        <v>1</v>
      </c>
      <c r="J189" s="20">
        <f>IF('1. Yixian'!L189="","",IF('1. Yixian'!L189='2. Nayoung'!L189,1,0))</f>
        <v>1</v>
      </c>
      <c r="K189" s="20">
        <f>IF('1. Yixian'!M189="","",IF('1. Yixian'!M189='2. Nayoung'!M189,1,0))</f>
        <v>1</v>
      </c>
      <c r="L189" s="20">
        <f>IF('1. Yixian'!N189="","",IF('1. Yixian'!N189='2. Nayoung'!N189,1,0))</f>
        <v>1</v>
      </c>
      <c r="M189" s="20">
        <f>IF('1. Yixian'!O189="","",IF('1. Yixian'!O189='2. Nayoung'!O189,1,0))</f>
        <v>1</v>
      </c>
      <c r="N189" s="20">
        <f>IF('1. Yixian'!P189="","",IF('1. Yixian'!P189='2. Nayoung'!P189,1,0))</f>
        <v>1</v>
      </c>
      <c r="O189" s="20">
        <f>IF('1. Yixian'!Q189="","",IF('1. Yixian'!Q189='2. Nayoung'!Q189,1,0))</f>
        <v>1</v>
      </c>
      <c r="P189" s="20">
        <f>IF('1. Yixian'!R189="","",IF('1. Yixian'!R189='2. Nayoung'!R189,1,0))</f>
        <v>1</v>
      </c>
      <c r="Q189" s="20">
        <f>IF('1. Yixian'!S189="","",IF('1. Yixian'!S189='2. Nayoung'!S189,1,0))</f>
        <v>1</v>
      </c>
      <c r="R189" s="20">
        <f>IF('1. Yixian'!T189="","",IF('1. Yixian'!T189='2. Nayoung'!T189,1,0))</f>
        <v>1</v>
      </c>
      <c r="S189" s="20">
        <f>IF(R189="","",IF(OR('2. Nayoung'!U189="", '1. Yixian'!U189 = ""),0,1))</f>
        <v>1</v>
      </c>
      <c r="T189" s="20">
        <f>IF('1. Yixian'!V189="","",IF('1. Yixian'!V189='2. Nayoung'!V189,1,0))</f>
        <v>1</v>
      </c>
      <c r="U189" s="20">
        <f>IF('1. Yixian'!W189="","",IF('1. Yixian'!W189='2. Nayoung'!W189,1,0))</f>
        <v>1</v>
      </c>
      <c r="V189" s="20">
        <f>IF('1. Yixian'!X189="","",IF('1. Yixian'!X189='2. Nayoung'!X189,1,0))</f>
        <v>1</v>
      </c>
      <c r="W189" s="20">
        <f>IF('1. Yixian'!Y189="","",IF('1. Yixian'!Y189='2. Nayoung'!Y189,1,0))</f>
        <v>1</v>
      </c>
      <c r="X189" s="20">
        <f>IF('1. Yixian'!Z189="","",IF('1. Yixian'!Z189='2. Nayoung'!Z189,1,0))</f>
        <v>1</v>
      </c>
      <c r="Y189" s="20">
        <f>IF('1. Yixian'!AA189="","",IF('1. Yixian'!AA189='2. Nayoung'!AA189,1,0))</f>
        <v>1</v>
      </c>
      <c r="Z189" s="20">
        <f>IF('1. Yixian'!AB189="","",IF('1. Yixian'!AB189='2. Nayoung'!AB189,1,0))</f>
        <v>1</v>
      </c>
      <c r="AA189" s="20">
        <f>IF('1. Yixian'!AC189="","",IF('1. Yixian'!AC189='2. Nayoung'!AC189,1,0))</f>
        <v>1</v>
      </c>
      <c r="AB189" s="20">
        <f>IF(OR('2. Nayoung'!AD188="", '1. Yixian'!AD189 = ""),0,1)</f>
        <v>1</v>
      </c>
      <c r="AC189" s="20">
        <f>IF('1. Yixian'!AE189="","",IF('1. Yixian'!AE189='2. Nayoung'!AE189,1,0))</f>
        <v>1</v>
      </c>
      <c r="AD189" s="20">
        <f>IF(OR('2. Nayoung'!AF188="", '1. Yixian'!AF189 = ""),0,1)</f>
        <v>1</v>
      </c>
      <c r="AF189" s="20">
        <f>IF('1. Yixian'!AH189="","",IF('1. Yixian'!AH189='2. Nayoung'!AH189,1,0))</f>
        <v>1</v>
      </c>
      <c r="AG189" s="20">
        <f>IF('1. Yixian'!AI189="","",IF('1. Yixian'!AI189='2. Nayoung'!AI189,1,0))</f>
        <v>1</v>
      </c>
      <c r="AH189" s="20">
        <f>IF('1. Yixian'!AJ189="","",IF('1. Yixian'!AJ189='2. Nayoung'!AJ189,1,0))</f>
        <v>1</v>
      </c>
      <c r="AI189" s="20">
        <f>IF('1. Yixian'!AK189="","",IF('1. Yixian'!AK189='2. Nayoung'!AK189,1,0))</f>
        <v>1</v>
      </c>
      <c r="AJ189" s="20">
        <f>IF('1. Yixian'!AL189="","",IF('1. Yixian'!AL189='2. Nayoung'!AL189,1,0))</f>
        <v>1</v>
      </c>
      <c r="AK189" s="20">
        <f>IF('1. Yixian'!AM189="","",IF('1. Yixian'!AM189='2. Nayoung'!AM189,1,0))</f>
        <v>1</v>
      </c>
      <c r="AL189" s="20" t="str">
        <f>IF('1. Yixian'!AT189="","",IF('1. Yixian'!AT189='2. Nayoung'!AT189,1,0))</f>
        <v/>
      </c>
      <c r="AM189" s="20" t="str">
        <f>IF('1. Yixian'!AU189="","",IF('1. Yixian'!AU189='2. Nayoung'!AU189,1,0))</f>
        <v/>
      </c>
      <c r="AN189" s="2"/>
    </row>
    <row r="190" spans="1:40" s="20" customFormat="1" ht="17" customHeight="1">
      <c r="A190" s="20" t="str">
        <f>IF('1. Yixian'!A190="","",IF('1. Yixian'!A190='2. Nayoung'!A190,1,0))</f>
        <v/>
      </c>
      <c r="B190" s="20" t="str">
        <f>IF('1. Yixian'!B190="","",IF(RIGHT('1. Yixian'!B190,2)=RIGHT('2. Nayoung'!B190,2),1,0))</f>
        <v/>
      </c>
      <c r="C190" s="20" t="str">
        <f>IF('1. Yixian'!C190="","",IF('1. Yixian'!C190='2. Nayoung'!C190,1,0))</f>
        <v/>
      </c>
      <c r="E190" s="20" t="str">
        <f>IF('1. Yixian'!E190="","",IF('1. Yixian'!E190='2. Nayoung'!E190,1,0))</f>
        <v/>
      </c>
      <c r="F190" s="20" t="str">
        <f>IF('1. Yixian'!F190="","",IF('1. Yixian'!F190='2. Nayoung'!F190,1,0))</f>
        <v/>
      </c>
      <c r="G190" s="20" t="str">
        <f>IF('1. Yixian'!G190="","",IF('1. Yixian'!G190='2. Nayoung'!G190,1,0))</f>
        <v/>
      </c>
      <c r="H190" s="20">
        <f>IF('1. Yixian'!J190="","",IF(RIGHT('1. Yixian'!J190,3)=RIGHT('2. Nayoung'!J190,3),1,0))</f>
        <v>1</v>
      </c>
      <c r="I190" s="20">
        <f>IF(H190="","",IF(OR('2. Nayoung'!K190="", '1. Yixian'!K190 = ""),0,1))</f>
        <v>1</v>
      </c>
      <c r="J190" s="20">
        <f>IF('1. Yixian'!L190="","",IF('1. Yixian'!L190='2. Nayoung'!L190,1,0))</f>
        <v>1</v>
      </c>
      <c r="K190" s="20">
        <f>IF('1. Yixian'!M190="","",IF('1. Yixian'!M190='2. Nayoung'!M190,1,0))</f>
        <v>1</v>
      </c>
      <c r="L190" s="20">
        <f>IF('1. Yixian'!N190="","",IF('1. Yixian'!N190='2. Nayoung'!N190,1,0))</f>
        <v>1</v>
      </c>
      <c r="M190" s="20">
        <f>IF('1. Yixian'!O190="","",IF('1. Yixian'!O190='2. Nayoung'!O190,1,0))</f>
        <v>1</v>
      </c>
      <c r="N190" s="20">
        <f>IF('1. Yixian'!P190="","",IF('1. Yixian'!P190='2. Nayoung'!P190,1,0))</f>
        <v>1</v>
      </c>
      <c r="O190" s="20">
        <f>IF('1. Yixian'!Q190="","",IF('1. Yixian'!Q190='2. Nayoung'!Q190,1,0))</f>
        <v>1</v>
      </c>
      <c r="P190" s="20">
        <f>IF('1. Yixian'!R190="","",IF('1. Yixian'!R190='2. Nayoung'!R190,1,0))</f>
        <v>1</v>
      </c>
      <c r="Q190" s="20">
        <f>IF('1. Yixian'!S190="","",IF('1. Yixian'!S190='2. Nayoung'!S190,1,0))</f>
        <v>1</v>
      </c>
      <c r="R190" s="20">
        <f>IF('1. Yixian'!T190="","",IF('1. Yixian'!T190='2. Nayoung'!T190,1,0))</f>
        <v>1</v>
      </c>
      <c r="S190" s="20">
        <f>IF(R190="","",IF(OR('2. Nayoung'!U190="", '1. Yixian'!U190 = ""),0,1))</f>
        <v>1</v>
      </c>
      <c r="T190" s="20">
        <f>IF('1. Yixian'!V190="","",IF('1. Yixian'!V190='2. Nayoung'!V190,1,0))</f>
        <v>1</v>
      </c>
      <c r="U190" s="20">
        <f>IF('1. Yixian'!W190="","",IF('1. Yixian'!W190='2. Nayoung'!W190,1,0))</f>
        <v>1</v>
      </c>
      <c r="V190" s="20">
        <f>IF('1. Yixian'!X190="","",IF('1. Yixian'!X190='2. Nayoung'!X190,1,0))</f>
        <v>1</v>
      </c>
      <c r="W190" s="20">
        <f>IF('1. Yixian'!Y190="","",IF('1. Yixian'!Y190='2. Nayoung'!Y190,1,0))</f>
        <v>1</v>
      </c>
      <c r="X190" s="20">
        <f>IF('1. Yixian'!Z190="","",IF('1. Yixian'!Z190='2. Nayoung'!Z190,1,0))</f>
        <v>1</v>
      </c>
      <c r="Y190" s="20">
        <f>IF('1. Yixian'!AA190="","",IF('1. Yixian'!AA190='2. Nayoung'!AA190,1,0))</f>
        <v>1</v>
      </c>
      <c r="Z190" s="20">
        <f>IF('1. Yixian'!AB190="","",IF('1. Yixian'!AB190='2. Nayoung'!AB190,1,0))</f>
        <v>1</v>
      </c>
      <c r="AA190" s="20">
        <f>IF('1. Yixian'!AC190="","",IF('1. Yixian'!AC190='2. Nayoung'!AC190,1,0))</f>
        <v>1</v>
      </c>
      <c r="AB190" s="20">
        <f>IF(OR('2. Nayoung'!AD189="", '1. Yixian'!AD190 = ""),0,1)</f>
        <v>1</v>
      </c>
      <c r="AC190" s="20">
        <f>IF('1. Yixian'!AE190="","",IF('1. Yixian'!AE190='2. Nayoung'!AE190,1,0))</f>
        <v>1</v>
      </c>
      <c r="AD190" s="20">
        <f>IF(OR('2. Nayoung'!AF189="", '1. Yixian'!AF190 = ""),0,1)</f>
        <v>1</v>
      </c>
      <c r="AF190" s="20">
        <f>IF('1. Yixian'!AH190="","",IF('1. Yixian'!AH190='2. Nayoung'!AH190,1,0))</f>
        <v>1</v>
      </c>
      <c r="AG190" s="20">
        <f>IF('1. Yixian'!AI190="","",IF('1. Yixian'!AI190='2. Nayoung'!AI190,1,0))</f>
        <v>1</v>
      </c>
      <c r="AH190" s="20">
        <f>IF('1. Yixian'!AJ190="","",IF('1. Yixian'!AJ190='2. Nayoung'!AJ190,1,0))</f>
        <v>1</v>
      </c>
      <c r="AI190" s="20">
        <f>IF('1. Yixian'!AK190="","",IF('1. Yixian'!AK190='2. Nayoung'!AK190,1,0))</f>
        <v>1</v>
      </c>
      <c r="AJ190" s="20">
        <f>IF('1. Yixian'!AL190="","",IF('1. Yixian'!AL190='2. Nayoung'!AL190,1,0))</f>
        <v>1</v>
      </c>
      <c r="AK190" s="20">
        <f>IF('1. Yixian'!AM190="","",IF('1. Yixian'!AM190='2. Nayoung'!AM190,1,0))</f>
        <v>1</v>
      </c>
      <c r="AL190" s="20" t="str">
        <f>IF('1. Yixian'!AT190="","",IF('1. Yixian'!AT190='2. Nayoung'!AT190,1,0))</f>
        <v/>
      </c>
      <c r="AM190" s="20" t="str">
        <f>IF('1. Yixian'!AU190="","",IF('1. Yixian'!AU190='2. Nayoung'!AU190,1,0))</f>
        <v/>
      </c>
      <c r="AN190" s="2"/>
    </row>
    <row r="191" spans="1:40" s="20" customFormat="1" ht="17" customHeight="1">
      <c r="A191" s="20" t="str">
        <f>IF('1. Yixian'!A191="","",IF('1. Yixian'!A191='2. Nayoung'!A191,1,0))</f>
        <v/>
      </c>
      <c r="B191" s="20" t="str">
        <f>IF('1. Yixian'!B191="","",IF(RIGHT('1. Yixian'!B191,2)=RIGHT('2. Nayoung'!B191,2),1,0))</f>
        <v/>
      </c>
      <c r="C191" s="20" t="str">
        <f>IF('1. Yixian'!C191="","",IF('1. Yixian'!C191='2. Nayoung'!C191,1,0))</f>
        <v/>
      </c>
      <c r="E191" s="20" t="str">
        <f>IF('1. Yixian'!E191="","",IF('1. Yixian'!E191='2. Nayoung'!E191,1,0))</f>
        <v/>
      </c>
      <c r="F191" s="20" t="str">
        <f>IF('1. Yixian'!F191="","",IF('1. Yixian'!F191='2. Nayoung'!F191,1,0))</f>
        <v/>
      </c>
      <c r="G191" s="20" t="str">
        <f>IF('1. Yixian'!G191="","",IF('1. Yixian'!G191='2. Nayoung'!G191,1,0))</f>
        <v/>
      </c>
      <c r="H191" s="20">
        <f>IF('1. Yixian'!J191="","",IF(RIGHT('1. Yixian'!J191,3)=RIGHT('2. Nayoung'!J191,3),1,0))</f>
        <v>1</v>
      </c>
      <c r="I191" s="20">
        <f>IF(H191="","",IF(OR('2. Nayoung'!K191="", '1. Yixian'!K191 = ""),0,1))</f>
        <v>1</v>
      </c>
      <c r="J191" s="20">
        <f>IF('1. Yixian'!L191="","",IF('1. Yixian'!L191='2. Nayoung'!L191,1,0))</f>
        <v>1</v>
      </c>
      <c r="K191" s="20">
        <f>IF('1. Yixian'!M191="","",IF('1. Yixian'!M191='2. Nayoung'!M191,1,0))</f>
        <v>1</v>
      </c>
      <c r="L191" s="20">
        <f>IF('1. Yixian'!N191="","",IF('1. Yixian'!N191='2. Nayoung'!N191,1,0))</f>
        <v>1</v>
      </c>
      <c r="M191" s="20">
        <f>IF('1. Yixian'!O191="","",IF('1. Yixian'!O191='2. Nayoung'!O191,1,0))</f>
        <v>1</v>
      </c>
      <c r="N191" s="20">
        <f>IF('1. Yixian'!P191="","",IF('1. Yixian'!P191='2. Nayoung'!P191,1,0))</f>
        <v>1</v>
      </c>
      <c r="O191" s="20">
        <f>IF('1. Yixian'!Q191="","",IF('1. Yixian'!Q191='2. Nayoung'!Q191,1,0))</f>
        <v>1</v>
      </c>
      <c r="P191" s="20">
        <f>IF('1. Yixian'!R191="","",IF('1. Yixian'!R191='2. Nayoung'!R191,1,0))</f>
        <v>1</v>
      </c>
      <c r="Q191" s="20">
        <f>IF('1. Yixian'!S191="","",IF('1. Yixian'!S191='2. Nayoung'!S191,1,0))</f>
        <v>1</v>
      </c>
      <c r="R191" s="20">
        <f>IF('1. Yixian'!T191="","",IF('1. Yixian'!T191='2. Nayoung'!T191,1,0))</f>
        <v>1</v>
      </c>
      <c r="S191" s="20">
        <f>IF(R191="","",IF(OR('2. Nayoung'!U191="", '1. Yixian'!U191 = ""),0,1))</f>
        <v>1</v>
      </c>
      <c r="T191" s="20">
        <f>IF('1. Yixian'!V191="","",IF('1. Yixian'!V191='2. Nayoung'!V191,1,0))</f>
        <v>1</v>
      </c>
      <c r="U191" s="20">
        <f>IF('1. Yixian'!W191="","",IF('1. Yixian'!W191='2. Nayoung'!W191,1,0))</f>
        <v>1</v>
      </c>
      <c r="V191" s="20">
        <f>IF('1. Yixian'!X191="","",IF('1. Yixian'!X191='2. Nayoung'!X191,1,0))</f>
        <v>1</v>
      </c>
      <c r="W191" s="20">
        <f>IF('1. Yixian'!Y191="","",IF('1. Yixian'!Y191='2. Nayoung'!Y191,1,0))</f>
        <v>1</v>
      </c>
      <c r="X191" s="20">
        <f>IF('1. Yixian'!Z191="","",IF('1. Yixian'!Z191='2. Nayoung'!Z191,1,0))</f>
        <v>1</v>
      </c>
      <c r="Y191" s="20">
        <f>IF('1. Yixian'!AA191="","",IF('1. Yixian'!AA191='2. Nayoung'!AA191,1,0))</f>
        <v>1</v>
      </c>
      <c r="Z191" s="20">
        <f>IF('1. Yixian'!AB191="","",IF('1. Yixian'!AB191='2. Nayoung'!AB191,1,0))</f>
        <v>1</v>
      </c>
      <c r="AA191" s="20">
        <f>IF('1. Yixian'!AC191="","",IF('1. Yixian'!AC191='2. Nayoung'!AC191,1,0))</f>
        <v>1</v>
      </c>
      <c r="AB191" s="20">
        <f>IF(OR('2. Nayoung'!AD190="", '1. Yixian'!AD191 = ""),0,1)</f>
        <v>1</v>
      </c>
      <c r="AC191" s="20">
        <f>IF('1. Yixian'!AE191="","",IF('1. Yixian'!AE191='2. Nayoung'!AE191,1,0))</f>
        <v>1</v>
      </c>
      <c r="AD191" s="20">
        <f>IF(OR('2. Nayoung'!AF190="", '1. Yixian'!AF191 = ""),0,1)</f>
        <v>1</v>
      </c>
      <c r="AF191" s="20">
        <f>IF('1. Yixian'!AH191="","",IF('1. Yixian'!AH191='2. Nayoung'!AH191,1,0))</f>
        <v>1</v>
      </c>
      <c r="AG191" s="20">
        <f>IF('1. Yixian'!AI191="","",IF('1. Yixian'!AI191='2. Nayoung'!AI191,1,0))</f>
        <v>1</v>
      </c>
      <c r="AH191" s="20">
        <f>IF('1. Yixian'!AJ191="","",IF('1. Yixian'!AJ191='2. Nayoung'!AJ191,1,0))</f>
        <v>1</v>
      </c>
      <c r="AI191" s="20">
        <f>IF('1. Yixian'!AK191="","",IF('1. Yixian'!AK191='2. Nayoung'!AK191,1,0))</f>
        <v>1</v>
      </c>
      <c r="AJ191" s="20">
        <f>IF('1. Yixian'!AL191="","",IF('1. Yixian'!AL191='2. Nayoung'!AL191,1,0))</f>
        <v>1</v>
      </c>
      <c r="AK191" s="20">
        <f>IF('1. Yixian'!AM191="","",IF('1. Yixian'!AM191='2. Nayoung'!AM191,1,0))</f>
        <v>1</v>
      </c>
      <c r="AL191" s="20" t="str">
        <f>IF('1. Yixian'!AT191="","",IF('1. Yixian'!AT191='2. Nayoung'!AT191,1,0))</f>
        <v/>
      </c>
      <c r="AM191" s="20" t="str">
        <f>IF('1. Yixian'!AU191="","",IF('1. Yixian'!AU191='2. Nayoung'!AU191,1,0))</f>
        <v/>
      </c>
      <c r="AN191" s="2"/>
    </row>
    <row r="192" spans="1:40" s="20" customFormat="1" ht="17" customHeight="1">
      <c r="A192" s="20" t="str">
        <f>IF('1. Yixian'!A192="","",IF('1. Yixian'!A192='2. Nayoung'!A192,1,0))</f>
        <v/>
      </c>
      <c r="B192" s="20" t="str">
        <f>IF('1. Yixian'!B192="","",IF(RIGHT('1. Yixian'!B192,2)=RIGHT('2. Nayoung'!B192,2),1,0))</f>
        <v/>
      </c>
      <c r="C192" s="20" t="str">
        <f>IF('1. Yixian'!C192="","",IF('1. Yixian'!C192='2. Nayoung'!C192,1,0))</f>
        <v/>
      </c>
      <c r="E192" s="20" t="str">
        <f>IF('1. Yixian'!E192="","",IF('1. Yixian'!E192='2. Nayoung'!E192,1,0))</f>
        <v/>
      </c>
      <c r="F192" s="20" t="str">
        <f>IF('1. Yixian'!F192="","",IF('1. Yixian'!F192='2. Nayoung'!F192,1,0))</f>
        <v/>
      </c>
      <c r="G192" s="20" t="str">
        <f>IF('1. Yixian'!G192="","",IF('1. Yixian'!G192='2. Nayoung'!G192,1,0))</f>
        <v/>
      </c>
      <c r="H192" s="20">
        <f>IF('1. Yixian'!J192="","",IF(RIGHT('1. Yixian'!J192,3)=RIGHT('2. Nayoung'!J192,3),1,0))</f>
        <v>0</v>
      </c>
      <c r="I192" s="20">
        <f>IF(H192="","",IF(OR('2. Nayoung'!K192="", '1. Yixian'!K192 = ""),0,1))</f>
        <v>1</v>
      </c>
      <c r="J192" s="20">
        <f>IF('1. Yixian'!L192="","",IF('1. Yixian'!L192='2. Nayoung'!L192,1,0))</f>
        <v>1</v>
      </c>
      <c r="K192" s="20">
        <f>IF('1. Yixian'!M192="","",IF('1. Yixian'!M192='2. Nayoung'!M192,1,0))</f>
        <v>1</v>
      </c>
      <c r="L192" s="20">
        <f>IF('1. Yixian'!N192="","",IF('1. Yixian'!N192='2. Nayoung'!N192,1,0))</f>
        <v>1</v>
      </c>
      <c r="M192" s="20">
        <f>IF('1. Yixian'!O192="","",IF('1. Yixian'!O192='2. Nayoung'!O192,1,0))</f>
        <v>1</v>
      </c>
      <c r="N192" s="20">
        <f>IF('1. Yixian'!P192="","",IF('1. Yixian'!P192='2. Nayoung'!P192,1,0))</f>
        <v>1</v>
      </c>
      <c r="O192" s="20">
        <f>IF('1. Yixian'!Q192="","",IF('1. Yixian'!Q192='2. Nayoung'!Q192,1,0))</f>
        <v>1</v>
      </c>
      <c r="P192" s="20">
        <f>IF('1. Yixian'!R192="","",IF('1. Yixian'!R192='2. Nayoung'!R192,1,0))</f>
        <v>1</v>
      </c>
      <c r="Q192" s="20">
        <f>IF('1. Yixian'!S192="","",IF('1. Yixian'!S192='2. Nayoung'!S192,1,0))</f>
        <v>1</v>
      </c>
      <c r="R192" s="20">
        <f>IF('1. Yixian'!T192="","",IF('1. Yixian'!T192='2. Nayoung'!T192,1,0))</f>
        <v>1</v>
      </c>
      <c r="S192" s="20">
        <f>IF(R192="","",IF(OR('2. Nayoung'!U192="", '1. Yixian'!U192 = ""),0,1))</f>
        <v>1</v>
      </c>
      <c r="T192" s="20">
        <f>IF('1. Yixian'!V192="","",IF('1. Yixian'!V192='2. Nayoung'!V192,1,0))</f>
        <v>1</v>
      </c>
      <c r="U192" s="20">
        <f>IF('1. Yixian'!W192="","",IF('1. Yixian'!W192='2. Nayoung'!W192,1,0))</f>
        <v>1</v>
      </c>
      <c r="V192" s="20">
        <f>IF('1. Yixian'!X192="","",IF('1. Yixian'!X192='2. Nayoung'!X192,1,0))</f>
        <v>1</v>
      </c>
      <c r="W192" s="20">
        <f>IF('1. Yixian'!Y192="","",IF('1. Yixian'!Y192='2. Nayoung'!Y192,1,0))</f>
        <v>1</v>
      </c>
      <c r="X192" s="20">
        <f>IF('1. Yixian'!Z192="","",IF('1. Yixian'!Z192='2. Nayoung'!Z192,1,0))</f>
        <v>1</v>
      </c>
      <c r="Y192" s="20">
        <f>IF('1. Yixian'!AA192="","",IF('1. Yixian'!AA192='2. Nayoung'!AA192,1,0))</f>
        <v>1</v>
      </c>
      <c r="Z192" s="20">
        <f>IF('1. Yixian'!AB192="","",IF('1. Yixian'!AB192='2. Nayoung'!AB192,1,0))</f>
        <v>1</v>
      </c>
      <c r="AA192" s="20">
        <f>IF('1. Yixian'!AC192="","",IF('1. Yixian'!AC192='2. Nayoung'!AC192,1,0))</f>
        <v>1</v>
      </c>
      <c r="AB192" s="20">
        <f>IF(OR('2. Nayoung'!AD191="", '1. Yixian'!AD192 = ""),0,1)</f>
        <v>1</v>
      </c>
      <c r="AC192" s="20">
        <f>IF('1. Yixian'!AE192="","",IF('1. Yixian'!AE192='2. Nayoung'!AE192,1,0))</f>
        <v>1</v>
      </c>
      <c r="AD192" s="20">
        <f>IF(OR('2. Nayoung'!AF191="", '1. Yixian'!AF192 = ""),0,1)</f>
        <v>1</v>
      </c>
      <c r="AF192" s="20">
        <f>IF('1. Yixian'!AH192="","",IF('1. Yixian'!AH192='2. Nayoung'!AH192,1,0))</f>
        <v>1</v>
      </c>
      <c r="AG192" s="20">
        <f>IF('1. Yixian'!AI192="","",IF('1. Yixian'!AI192='2. Nayoung'!AI192,1,0))</f>
        <v>1</v>
      </c>
      <c r="AH192" s="20">
        <f>IF('1. Yixian'!AJ192="","",IF('1. Yixian'!AJ192='2. Nayoung'!AJ192,1,0))</f>
        <v>1</v>
      </c>
      <c r="AI192" s="20">
        <f>IF('1. Yixian'!AK192="","",IF('1. Yixian'!AK192='2. Nayoung'!AK192,1,0))</f>
        <v>1</v>
      </c>
      <c r="AJ192" s="20">
        <f>IF('1. Yixian'!AL192="","",IF('1. Yixian'!AL192='2. Nayoung'!AL192,1,0))</f>
        <v>1</v>
      </c>
      <c r="AK192" s="20">
        <f>IF('1. Yixian'!AM192="","",IF('1. Yixian'!AM192='2. Nayoung'!AM192,1,0))</f>
        <v>1</v>
      </c>
      <c r="AL192" s="20" t="str">
        <f>IF('1. Yixian'!AT192="","",IF('1. Yixian'!AT192='2. Nayoung'!AT192,1,0))</f>
        <v/>
      </c>
      <c r="AM192" s="20" t="str">
        <f>IF('1. Yixian'!AU192="","",IF('1. Yixian'!AU192='2. Nayoung'!AU192,1,0))</f>
        <v/>
      </c>
      <c r="AN192" s="2"/>
    </row>
    <row r="193" spans="1:40" s="20" customFormat="1" ht="17" customHeight="1">
      <c r="A193" s="20">
        <f>IF('1. Yixian'!A193="","",IF('1. Yixian'!A193='2. Nayoung'!A193,1,0))</f>
        <v>1</v>
      </c>
      <c r="B193" s="20">
        <f>IF('1. Yixian'!B193="","",IF(RIGHT('1. Yixian'!B193,2)=RIGHT('2. Nayoung'!B193,2),1,0))</f>
        <v>1</v>
      </c>
      <c r="C193" s="20">
        <f>IF('1. Yixian'!C193="","",IF('1. Yixian'!C193='2. Nayoung'!C193,1,0))</f>
        <v>1</v>
      </c>
      <c r="E193" s="20">
        <f>IF('1. Yixian'!E193="","",IF('1. Yixian'!E193='2. Nayoung'!E193,1,0))</f>
        <v>1</v>
      </c>
      <c r="F193" s="20">
        <f>IF('1. Yixian'!F193="","",IF('1. Yixian'!F193='2. Nayoung'!F193,1,0))</f>
        <v>1</v>
      </c>
      <c r="G193" s="20">
        <f>IF('1. Yixian'!G193="","",IF('1. Yixian'!G193='2. Nayoung'!G193,1,0))</f>
        <v>1</v>
      </c>
      <c r="H193" s="20">
        <f>IF('1. Yixian'!J193="","",IF(RIGHT('1. Yixian'!J193,3)=RIGHT('2. Nayoung'!J193,3),1,0))</f>
        <v>1</v>
      </c>
      <c r="I193" s="20">
        <f>IF(H193="","",IF(OR('2. Nayoung'!K193="", '1. Yixian'!K193 = ""),0,1))</f>
        <v>1</v>
      </c>
      <c r="J193" s="20">
        <f>IF('1. Yixian'!L193="","",IF('1. Yixian'!L193='2. Nayoung'!L193,1,0))</f>
        <v>1</v>
      </c>
      <c r="K193" s="20">
        <f>IF('1. Yixian'!M193="","",IF('1. Yixian'!M193='2. Nayoung'!M193,1,0))</f>
        <v>1</v>
      </c>
      <c r="L193" s="20">
        <f>IF('1. Yixian'!N193="","",IF('1. Yixian'!N193='2. Nayoung'!N193,1,0))</f>
        <v>1</v>
      </c>
      <c r="M193" s="20">
        <f>IF('1. Yixian'!O193="","",IF('1. Yixian'!O193='2. Nayoung'!O193,1,0))</f>
        <v>1</v>
      </c>
      <c r="N193" s="20">
        <f>IF('1. Yixian'!P193="","",IF('1. Yixian'!P193='2. Nayoung'!P193,1,0))</f>
        <v>1</v>
      </c>
      <c r="O193" s="20">
        <f>IF('1. Yixian'!Q193="","",IF('1. Yixian'!Q193='2. Nayoung'!Q193,1,0))</f>
        <v>1</v>
      </c>
      <c r="P193" s="20">
        <f>IF('1. Yixian'!R193="","",IF('1. Yixian'!R193='2. Nayoung'!R193,1,0))</f>
        <v>1</v>
      </c>
      <c r="Q193" s="20">
        <f>IF('1. Yixian'!S193="","",IF('1. Yixian'!S193='2. Nayoung'!S193,1,0))</f>
        <v>1</v>
      </c>
      <c r="R193" s="20">
        <f>IF('1. Yixian'!T193="","",IF('1. Yixian'!T193='2. Nayoung'!T193,1,0))</f>
        <v>1</v>
      </c>
      <c r="S193" s="20">
        <f>IF(R193="","",IF(OR('2. Nayoung'!U193="", '1. Yixian'!U193 = ""),0,1))</f>
        <v>1</v>
      </c>
      <c r="T193" s="20">
        <f>IF('1. Yixian'!V193="","",IF('1. Yixian'!V193='2. Nayoung'!V193,1,0))</f>
        <v>1</v>
      </c>
      <c r="U193" s="20">
        <f>IF('1. Yixian'!W193="","",IF('1. Yixian'!W193='2. Nayoung'!W193,1,0))</f>
        <v>1</v>
      </c>
      <c r="V193" s="20">
        <f>IF('1. Yixian'!X193="","",IF('1. Yixian'!X193='2. Nayoung'!X193,1,0))</f>
        <v>1</v>
      </c>
      <c r="W193" s="20">
        <f>IF('1. Yixian'!Y193="","",IF('1. Yixian'!Y193='2. Nayoung'!Y193,1,0))</f>
        <v>1</v>
      </c>
      <c r="X193" s="20">
        <f>IF('1. Yixian'!Z193="","",IF('1. Yixian'!Z193='2. Nayoung'!Z193,1,0))</f>
        <v>1</v>
      </c>
      <c r="Y193" s="20">
        <f>IF('1. Yixian'!AA193="","",IF('1. Yixian'!AA193='2. Nayoung'!AA193,1,0))</f>
        <v>1</v>
      </c>
      <c r="Z193" s="20">
        <f>IF('1. Yixian'!AB193="","",IF('1. Yixian'!AB193='2. Nayoung'!AB193,1,0))</f>
        <v>1</v>
      </c>
      <c r="AA193" s="20">
        <f>IF('1. Yixian'!AC193="","",IF('1. Yixian'!AC193='2. Nayoung'!AC193,1,0))</f>
        <v>1</v>
      </c>
      <c r="AB193" s="20">
        <f>IF(OR('2. Nayoung'!AD192="", '1. Yixian'!AD193 = ""),0,1)</f>
        <v>1</v>
      </c>
      <c r="AC193" s="20">
        <f>IF('1. Yixian'!AE193="","",IF('1. Yixian'!AE193='2. Nayoung'!AE193,1,0))</f>
        <v>1</v>
      </c>
      <c r="AD193" s="20">
        <f>IF(OR('2. Nayoung'!AF192="", '1. Yixian'!AF193 = ""),0,1)</f>
        <v>1</v>
      </c>
      <c r="AF193" s="20">
        <f>IF('1. Yixian'!AH193="","",IF('1. Yixian'!AH193='2. Nayoung'!AH193,1,0))</f>
        <v>1</v>
      </c>
      <c r="AG193" s="20">
        <f>IF('1. Yixian'!AI193="","",IF('1. Yixian'!AI193='2. Nayoung'!AI193,1,0))</f>
        <v>1</v>
      </c>
      <c r="AH193" s="20">
        <f>IF('1. Yixian'!AJ193="","",IF('1. Yixian'!AJ193='2. Nayoung'!AJ193,1,0))</f>
        <v>1</v>
      </c>
      <c r="AI193" s="20">
        <f>IF('1. Yixian'!AK193="","",IF('1. Yixian'!AK193='2. Nayoung'!AK193,1,0))</f>
        <v>1</v>
      </c>
      <c r="AJ193" s="20">
        <f>IF('1. Yixian'!AL193="","",IF('1. Yixian'!AL193='2. Nayoung'!AL193,1,0))</f>
        <v>1</v>
      </c>
      <c r="AK193" s="20">
        <f>IF('1. Yixian'!AM193="","",IF('1. Yixian'!AM193='2. Nayoung'!AM193,1,0))</f>
        <v>1</v>
      </c>
      <c r="AL193" s="20" t="str">
        <f>IF('1. Yixian'!AT193="","",IF('1. Yixian'!AT193='2. Nayoung'!AT193,1,0))</f>
        <v/>
      </c>
      <c r="AM193" s="20" t="str">
        <f>IF('1. Yixian'!AU193="","",IF('1. Yixian'!AU193='2. Nayoung'!AU193,1,0))</f>
        <v/>
      </c>
      <c r="AN193" s="2"/>
    </row>
    <row r="194" spans="1:40" s="20" customFormat="1" ht="17" customHeight="1">
      <c r="A194" s="20" t="str">
        <f>IF('1. Yixian'!A194="","",IF('1. Yixian'!A194='2. Nayoung'!A194,1,0))</f>
        <v/>
      </c>
      <c r="B194" s="20" t="str">
        <f>IF('1. Yixian'!B194="","",IF(RIGHT('1. Yixian'!B194,2)=RIGHT('2. Nayoung'!B194,2),1,0))</f>
        <v/>
      </c>
      <c r="C194" s="20" t="str">
        <f>IF('1. Yixian'!C194="","",IF('1. Yixian'!C194='2. Nayoung'!C194,1,0))</f>
        <v/>
      </c>
      <c r="E194" s="20" t="str">
        <f>IF('1. Yixian'!E194="","",IF('1. Yixian'!E194='2. Nayoung'!E194,1,0))</f>
        <v/>
      </c>
      <c r="F194" s="20" t="str">
        <f>IF('1. Yixian'!F194="","",IF('1. Yixian'!F194='2. Nayoung'!F194,1,0))</f>
        <v/>
      </c>
      <c r="G194" s="20" t="str">
        <f>IF('1. Yixian'!G194="","",IF('1. Yixian'!G194='2. Nayoung'!G194,1,0))</f>
        <v/>
      </c>
      <c r="H194" s="20">
        <f>IF('1. Yixian'!J194="","",IF(RIGHT('1. Yixian'!J194,3)=RIGHT('2. Nayoung'!J194,3),1,0))</f>
        <v>0</v>
      </c>
      <c r="I194" s="20">
        <f>IF(H194="","",IF(OR('2. Nayoung'!K194="", '1. Yixian'!K194 = ""),0,1))</f>
        <v>1</v>
      </c>
      <c r="J194" s="20">
        <f>IF('1. Yixian'!L194="","",IF('1. Yixian'!L194='2. Nayoung'!L194,1,0))</f>
        <v>1</v>
      </c>
      <c r="K194" s="20">
        <f>IF('1. Yixian'!M194="","",IF('1. Yixian'!M194='2. Nayoung'!M194,1,0))</f>
        <v>1</v>
      </c>
      <c r="L194" s="20">
        <f>IF('1. Yixian'!N194="","",IF('1. Yixian'!N194='2. Nayoung'!N194,1,0))</f>
        <v>1</v>
      </c>
      <c r="M194" s="20">
        <f>IF('1. Yixian'!O194="","",IF('1. Yixian'!O194='2. Nayoung'!O194,1,0))</f>
        <v>1</v>
      </c>
      <c r="N194" s="20">
        <f>IF('1. Yixian'!P194="","",IF('1. Yixian'!P194='2. Nayoung'!P194,1,0))</f>
        <v>1</v>
      </c>
      <c r="O194" s="20">
        <f>IF('1. Yixian'!Q194="","",IF('1. Yixian'!Q194='2. Nayoung'!Q194,1,0))</f>
        <v>1</v>
      </c>
      <c r="P194" s="20">
        <f>IF('1. Yixian'!R194="","",IF('1. Yixian'!R194='2. Nayoung'!R194,1,0))</f>
        <v>1</v>
      </c>
      <c r="Q194" s="20">
        <f>IF('1. Yixian'!S194="","",IF('1. Yixian'!S194='2. Nayoung'!S194,1,0))</f>
        <v>1</v>
      </c>
      <c r="R194" s="20">
        <f>IF('1. Yixian'!T194="","",IF('1. Yixian'!T194='2. Nayoung'!T194,1,0))</f>
        <v>1</v>
      </c>
      <c r="S194" s="20">
        <f>IF(R194="","",IF(OR('2. Nayoung'!U194="", '1. Yixian'!U194 = ""),0,1))</f>
        <v>1</v>
      </c>
      <c r="T194" s="20">
        <f>IF('1. Yixian'!V194="","",IF('1. Yixian'!V194='2. Nayoung'!V194,1,0))</f>
        <v>1</v>
      </c>
      <c r="U194" s="20">
        <f>IF('1. Yixian'!W194="","",IF('1. Yixian'!W194='2. Nayoung'!W194,1,0))</f>
        <v>1</v>
      </c>
      <c r="V194" s="20">
        <f>IF('1. Yixian'!X194="","",IF('1. Yixian'!X194='2. Nayoung'!X194,1,0))</f>
        <v>1</v>
      </c>
      <c r="W194" s="20">
        <f>IF('1. Yixian'!Y194="","",IF('1. Yixian'!Y194='2. Nayoung'!Y194,1,0))</f>
        <v>1</v>
      </c>
      <c r="X194" s="20">
        <f>IF('1. Yixian'!Z194="","",IF('1. Yixian'!Z194='2. Nayoung'!Z194,1,0))</f>
        <v>1</v>
      </c>
      <c r="Y194" s="20">
        <f>IF('1. Yixian'!AA194="","",IF('1. Yixian'!AA194='2. Nayoung'!AA194,1,0))</f>
        <v>1</v>
      </c>
      <c r="Z194" s="20">
        <f>IF('1. Yixian'!AB194="","",IF('1. Yixian'!AB194='2. Nayoung'!AB194,1,0))</f>
        <v>1</v>
      </c>
      <c r="AA194" s="20">
        <f>IF('1. Yixian'!AC194="","",IF('1. Yixian'!AC194='2. Nayoung'!AC194,1,0))</f>
        <v>1</v>
      </c>
      <c r="AB194" s="20">
        <f>IF(OR('2. Nayoung'!AD193="", '1. Yixian'!AD194 = ""),0,1)</f>
        <v>1</v>
      </c>
      <c r="AC194" s="20">
        <f>IF('1. Yixian'!AE194="","",IF('1. Yixian'!AE194='2. Nayoung'!AE194,1,0))</f>
        <v>1</v>
      </c>
      <c r="AD194" s="20">
        <f>IF(OR('2. Nayoung'!AF193="", '1. Yixian'!AF194 = ""),0,1)</f>
        <v>1</v>
      </c>
      <c r="AF194" s="20">
        <f>IF('1. Yixian'!AH194="","",IF('1. Yixian'!AH194='2. Nayoung'!AH194,1,0))</f>
        <v>1</v>
      </c>
      <c r="AG194" s="20">
        <f>IF('1. Yixian'!AI194="","",IF('1. Yixian'!AI194='2. Nayoung'!AI194,1,0))</f>
        <v>1</v>
      </c>
      <c r="AH194" s="20">
        <f>IF('1. Yixian'!AJ194="","",IF('1. Yixian'!AJ194='2. Nayoung'!AJ194,1,0))</f>
        <v>1</v>
      </c>
      <c r="AI194" s="20">
        <f>IF('1. Yixian'!AK194="","",IF('1. Yixian'!AK194='2. Nayoung'!AK194,1,0))</f>
        <v>1</v>
      </c>
      <c r="AJ194" s="20">
        <f>IF('1. Yixian'!AL194="","",IF('1. Yixian'!AL194='2. Nayoung'!AL194,1,0))</f>
        <v>1</v>
      </c>
      <c r="AK194" s="20">
        <f>IF('1. Yixian'!AM194="","",IF('1. Yixian'!AM194='2. Nayoung'!AM194,1,0))</f>
        <v>1</v>
      </c>
      <c r="AL194" s="20" t="str">
        <f>IF('1. Yixian'!AT194="","",IF('1. Yixian'!AT194='2. Nayoung'!AT194,1,0))</f>
        <v/>
      </c>
      <c r="AM194" s="20" t="str">
        <f>IF('1. Yixian'!AU194="","",IF('1. Yixian'!AU194='2. Nayoung'!AU194,1,0))</f>
        <v/>
      </c>
      <c r="AN194" s="2"/>
    </row>
    <row r="195" spans="1:40" s="20" customFormat="1" ht="17" customHeight="1">
      <c r="A195" s="20" t="str">
        <f>IF('1. Yixian'!A195="","",IF('1. Yixian'!A195='2. Nayoung'!A195,1,0))</f>
        <v/>
      </c>
      <c r="B195" s="20" t="str">
        <f>IF('1. Yixian'!B195="","",IF(RIGHT('1. Yixian'!B195,2)=RIGHT('2. Nayoung'!B195,2),1,0))</f>
        <v/>
      </c>
      <c r="C195" s="20" t="str">
        <f>IF('1. Yixian'!C195="","",IF('1. Yixian'!C195='2. Nayoung'!C195,1,0))</f>
        <v/>
      </c>
      <c r="E195" s="20" t="str">
        <f>IF('1. Yixian'!E195="","",IF('1. Yixian'!E195='2. Nayoung'!E195,1,0))</f>
        <v/>
      </c>
      <c r="F195" s="20" t="str">
        <f>IF('1. Yixian'!F195="","",IF('1. Yixian'!F195='2. Nayoung'!F195,1,0))</f>
        <v/>
      </c>
      <c r="G195" s="20" t="str">
        <f>IF('1. Yixian'!G195="","",IF('1. Yixian'!G195='2. Nayoung'!G195,1,0))</f>
        <v/>
      </c>
      <c r="H195" s="20">
        <f>IF('1. Yixian'!J195="","",IF(RIGHT('1. Yixian'!J195,3)=RIGHT('2. Nayoung'!J195,3),1,0))</f>
        <v>0</v>
      </c>
      <c r="I195" s="20">
        <f>IF(H195="","",IF(OR('2. Nayoung'!K195="", '1. Yixian'!K195 = ""),0,1))</f>
        <v>1</v>
      </c>
      <c r="J195" s="20">
        <f>IF('1. Yixian'!L195="","",IF('1. Yixian'!L195='2. Nayoung'!L195,1,0))</f>
        <v>1</v>
      </c>
      <c r="K195" s="20">
        <f>IF('1. Yixian'!M195="","",IF('1. Yixian'!M195='2. Nayoung'!M195,1,0))</f>
        <v>1</v>
      </c>
      <c r="L195" s="20">
        <f>IF('1. Yixian'!N195="","",IF('1. Yixian'!N195='2. Nayoung'!N195,1,0))</f>
        <v>1</v>
      </c>
      <c r="M195" s="20">
        <f>IF('1. Yixian'!O195="","",IF('1. Yixian'!O195='2. Nayoung'!O195,1,0))</f>
        <v>1</v>
      </c>
      <c r="N195" s="20">
        <f>IF('1. Yixian'!P195="","",IF('1. Yixian'!P195='2. Nayoung'!P195,1,0))</f>
        <v>1</v>
      </c>
      <c r="O195" s="20">
        <f>IF('1. Yixian'!Q195="","",IF('1. Yixian'!Q195='2. Nayoung'!Q195,1,0))</f>
        <v>1</v>
      </c>
      <c r="P195" s="20">
        <f>IF('1. Yixian'!R195="","",IF('1. Yixian'!R195='2. Nayoung'!R195,1,0))</f>
        <v>1</v>
      </c>
      <c r="Q195" s="20">
        <f>IF('1. Yixian'!S195="","",IF('1. Yixian'!S195='2. Nayoung'!S195,1,0))</f>
        <v>1</v>
      </c>
      <c r="R195" s="20">
        <f>IF('1. Yixian'!T195="","",IF('1. Yixian'!T195='2. Nayoung'!T195,1,0))</f>
        <v>1</v>
      </c>
      <c r="S195" s="20">
        <f>IF(R195="","",IF(OR('2. Nayoung'!U195="", '1. Yixian'!U195 = ""),0,1))</f>
        <v>1</v>
      </c>
      <c r="T195" s="20">
        <f>IF('1. Yixian'!V195="","",IF('1. Yixian'!V195='2. Nayoung'!V195,1,0))</f>
        <v>1</v>
      </c>
      <c r="U195" s="20">
        <f>IF('1. Yixian'!W195="","",IF('1. Yixian'!W195='2. Nayoung'!W195,1,0))</f>
        <v>1</v>
      </c>
      <c r="V195" s="20">
        <f>IF('1. Yixian'!X195="","",IF('1. Yixian'!X195='2. Nayoung'!X195,1,0))</f>
        <v>1</v>
      </c>
      <c r="W195" s="20">
        <f>IF('1. Yixian'!Y195="","",IF('1. Yixian'!Y195='2. Nayoung'!Y195,1,0))</f>
        <v>1</v>
      </c>
      <c r="X195" s="20">
        <f>IF('1. Yixian'!Z195="","",IF('1. Yixian'!Z195='2. Nayoung'!Z195,1,0))</f>
        <v>1</v>
      </c>
      <c r="Y195" s="20">
        <f>IF('1. Yixian'!AA195="","",IF('1. Yixian'!AA195='2. Nayoung'!AA195,1,0))</f>
        <v>1</v>
      </c>
      <c r="Z195" s="20">
        <f>IF('1. Yixian'!AB195="","",IF('1. Yixian'!AB195='2. Nayoung'!AB195,1,0))</f>
        <v>1</v>
      </c>
      <c r="AA195" s="20">
        <f>IF('1. Yixian'!AC195="","",IF('1. Yixian'!AC195='2. Nayoung'!AC195,1,0))</f>
        <v>1</v>
      </c>
      <c r="AB195" s="20">
        <f>IF(OR('2. Nayoung'!AD194="", '1. Yixian'!AD195 = ""),0,1)</f>
        <v>1</v>
      </c>
      <c r="AC195" s="20">
        <f>IF('1. Yixian'!AE195="","",IF('1. Yixian'!AE195='2. Nayoung'!AE195,1,0))</f>
        <v>1</v>
      </c>
      <c r="AD195" s="20">
        <f>IF(OR('2. Nayoung'!AF194="", '1. Yixian'!AF195 = ""),0,1)</f>
        <v>1</v>
      </c>
      <c r="AF195" s="20">
        <f>IF('1. Yixian'!AH195="","",IF('1. Yixian'!AH195='2. Nayoung'!AH195,1,0))</f>
        <v>1</v>
      </c>
      <c r="AG195" s="20">
        <f>IF('1. Yixian'!AI195="","",IF('1. Yixian'!AI195='2. Nayoung'!AI195,1,0))</f>
        <v>1</v>
      </c>
      <c r="AH195" s="20">
        <f>IF('1. Yixian'!AJ195="","",IF('1. Yixian'!AJ195='2. Nayoung'!AJ195,1,0))</f>
        <v>1</v>
      </c>
      <c r="AI195" s="20">
        <f>IF('1. Yixian'!AK195="","",IF('1. Yixian'!AK195='2. Nayoung'!AK195,1,0))</f>
        <v>1</v>
      </c>
      <c r="AJ195" s="20">
        <f>IF('1. Yixian'!AL195="","",IF('1. Yixian'!AL195='2. Nayoung'!AL195,1,0))</f>
        <v>1</v>
      </c>
      <c r="AK195" s="20">
        <f>IF('1. Yixian'!AM195="","",IF('1. Yixian'!AM195='2. Nayoung'!AM195,1,0))</f>
        <v>1</v>
      </c>
      <c r="AL195" s="20" t="str">
        <f>IF('1. Yixian'!AT195="","",IF('1. Yixian'!AT195='2. Nayoung'!AT195,1,0))</f>
        <v/>
      </c>
      <c r="AM195" s="20" t="str">
        <f>IF('1. Yixian'!AU195="","",IF('1. Yixian'!AU195='2. Nayoung'!AU195,1,0))</f>
        <v/>
      </c>
      <c r="AN195" s="2"/>
    </row>
    <row r="196" spans="1:40" s="20" customFormat="1" ht="17" customHeight="1">
      <c r="A196" s="20">
        <f>IF('1. Yixian'!A196="","",IF('1. Yixian'!A196='2. Nayoung'!A196,1,0))</f>
        <v>1</v>
      </c>
      <c r="B196" s="20">
        <f>IF('1. Yixian'!B196="","",IF(RIGHT('1. Yixian'!B196,2)=RIGHT('2. Nayoung'!B196,2),1,0))</f>
        <v>1</v>
      </c>
      <c r="C196" s="20">
        <f>IF('1. Yixian'!C196="","",IF('1. Yixian'!C196='2. Nayoung'!C196,1,0))</f>
        <v>1</v>
      </c>
      <c r="E196" s="20">
        <f>IF('1. Yixian'!E196="","",IF('1. Yixian'!E196='2. Nayoung'!E196,1,0))</f>
        <v>1</v>
      </c>
      <c r="F196" s="20">
        <f>IF('1. Yixian'!F196="","",IF('1. Yixian'!F196='2. Nayoung'!F196,1,0))</f>
        <v>1</v>
      </c>
      <c r="G196" s="20">
        <v>1</v>
      </c>
      <c r="H196" s="20">
        <f>IF('1. Yixian'!J196="","",IF(RIGHT('1. Yixian'!J196,3)=RIGHT('2. Nayoung'!J196,3),1,0))</f>
        <v>1</v>
      </c>
      <c r="I196" s="20">
        <f>IF(H196="","",IF(OR('2. Nayoung'!K196="", '1. Yixian'!K196 = ""),0,1))</f>
        <v>1</v>
      </c>
      <c r="J196" s="20">
        <f>IF('1. Yixian'!L196="","",IF('1. Yixian'!L196='2. Nayoung'!L196,1,0))</f>
        <v>1</v>
      </c>
      <c r="K196" s="20">
        <f>IF('1. Yixian'!M196="","",IF('1. Yixian'!M196='2. Nayoung'!M196,1,0))</f>
        <v>1</v>
      </c>
      <c r="L196" s="20">
        <f>IF('1. Yixian'!N196="","",IF('1. Yixian'!N196='2. Nayoung'!N196,1,0))</f>
        <v>1</v>
      </c>
      <c r="M196" s="20">
        <f>IF('1. Yixian'!O196="","",IF('1. Yixian'!O196='2. Nayoung'!O196,1,0))</f>
        <v>1</v>
      </c>
      <c r="N196" s="20">
        <f>IF('1. Yixian'!P196="","",IF('1. Yixian'!P196='2. Nayoung'!P196,1,0))</f>
        <v>1</v>
      </c>
      <c r="O196" s="20">
        <f>IF('1. Yixian'!Q196="","",IF('1. Yixian'!Q196='2. Nayoung'!Q196,1,0))</f>
        <v>1</v>
      </c>
      <c r="P196" s="20">
        <f>IF('1. Yixian'!R196="","",IF('1. Yixian'!R196='2. Nayoung'!R196,1,0))</f>
        <v>1</v>
      </c>
      <c r="Q196" s="20">
        <f>IF('1. Yixian'!S196="","",IF('1. Yixian'!S196='2. Nayoung'!S196,1,0))</f>
        <v>1</v>
      </c>
      <c r="R196" s="20">
        <f>IF('1. Yixian'!T196="","",IF('1. Yixian'!T196='2. Nayoung'!T196,1,0))</f>
        <v>1</v>
      </c>
      <c r="S196" s="20">
        <f>IF(R196="","",IF(OR('2. Nayoung'!U196="", '1. Yixian'!U196 = ""),0,1))</f>
        <v>1</v>
      </c>
      <c r="T196" s="20">
        <f>IF('1. Yixian'!V196="","",IF('1. Yixian'!V196='2. Nayoung'!V196,1,0))</f>
        <v>1</v>
      </c>
      <c r="U196" s="20">
        <f>IF('1. Yixian'!W196="","",IF('1. Yixian'!W196='2. Nayoung'!W196,1,0))</f>
        <v>1</v>
      </c>
      <c r="V196" s="20">
        <f>IF('1. Yixian'!X196="","",IF('1. Yixian'!X196='2. Nayoung'!X196,1,0))</f>
        <v>1</v>
      </c>
      <c r="W196" s="20">
        <f>IF('1. Yixian'!Y196="","",IF('1. Yixian'!Y196='2. Nayoung'!Y196,1,0))</f>
        <v>1</v>
      </c>
      <c r="X196" s="20">
        <f>IF('1. Yixian'!Z196="","",IF('1. Yixian'!Z196='2. Nayoung'!Z196,1,0))</f>
        <v>1</v>
      </c>
      <c r="Y196" s="20">
        <f>IF('1. Yixian'!AA196="","",IF('1. Yixian'!AA196='2. Nayoung'!AA196,1,0))</f>
        <v>1</v>
      </c>
      <c r="Z196" s="20">
        <f>IF('1. Yixian'!AB196="","",IF('1. Yixian'!AB196='2. Nayoung'!AB196,1,0))</f>
        <v>1</v>
      </c>
      <c r="AA196" s="20">
        <f>IF('1. Yixian'!AC196="","",IF('1. Yixian'!AC196='2. Nayoung'!AC196,1,0))</f>
        <v>1</v>
      </c>
      <c r="AB196" s="20">
        <f>IF(OR('2. Nayoung'!AD195="", '1. Yixian'!AD196 = ""),0,1)</f>
        <v>1</v>
      </c>
      <c r="AC196" s="20">
        <f>IF('1. Yixian'!AE196="","",IF('1. Yixian'!AE196='2. Nayoung'!AE196,1,0))</f>
        <v>1</v>
      </c>
      <c r="AD196" s="20">
        <f>IF(OR('2. Nayoung'!AF195="", '1. Yixian'!AF196 = ""),0,1)</f>
        <v>1</v>
      </c>
      <c r="AF196" s="20">
        <f>IF('1. Yixian'!AH196="","",IF('1. Yixian'!AH196='2. Nayoung'!AH196,1,0))</f>
        <v>1</v>
      </c>
      <c r="AG196" s="20">
        <f>IF('1. Yixian'!AI196="","",IF('1. Yixian'!AI196='2. Nayoung'!AI196,1,0))</f>
        <v>1</v>
      </c>
      <c r="AH196" s="20">
        <f>IF('1. Yixian'!AJ196="","",IF('1. Yixian'!AJ196='2. Nayoung'!AJ196,1,0))</f>
        <v>1</v>
      </c>
      <c r="AI196" s="20">
        <f>IF('1. Yixian'!AK196="","",IF('1. Yixian'!AK196='2. Nayoung'!AK196,1,0))</f>
        <v>1</v>
      </c>
      <c r="AJ196" s="20">
        <f>IF('1. Yixian'!AL196="","",IF('1. Yixian'!AL196='2. Nayoung'!AL196,1,0))</f>
        <v>1</v>
      </c>
      <c r="AK196" s="20">
        <f>IF('1. Yixian'!AM196="","",IF('1. Yixian'!AM196='2. Nayoung'!AM196,1,0))</f>
        <v>1</v>
      </c>
      <c r="AL196" s="20" t="str">
        <f>IF('1. Yixian'!AT196="","",IF('1. Yixian'!AT196='2. Nayoung'!AT196,1,0))</f>
        <v/>
      </c>
      <c r="AM196" s="20" t="str">
        <f>IF('1. Yixian'!AU196="","",IF('1. Yixian'!AU196='2. Nayoung'!AU196,1,0))</f>
        <v/>
      </c>
      <c r="AN196" s="2"/>
    </row>
    <row r="197" spans="1:40" s="20" customFormat="1" ht="17" customHeight="1">
      <c r="A197" s="20" t="str">
        <f>IF('1. Yixian'!A197="","",IF('1. Yixian'!A197='2. Nayoung'!A197,1,0))</f>
        <v/>
      </c>
      <c r="B197" s="20" t="str">
        <f>IF('1. Yixian'!B197="","",IF(RIGHT('1. Yixian'!B197,2)=RIGHT('2. Nayoung'!B197,2),1,0))</f>
        <v/>
      </c>
      <c r="C197" s="20" t="str">
        <f>IF('1. Yixian'!C197="","",IF('1. Yixian'!C197='2. Nayoung'!C197,1,0))</f>
        <v/>
      </c>
      <c r="E197" s="20" t="str">
        <f>IF('1. Yixian'!E197="","",IF('1. Yixian'!E197='2. Nayoung'!E197,1,0))</f>
        <v/>
      </c>
      <c r="F197" s="20" t="str">
        <f>IF('1. Yixian'!F197="","",IF('1. Yixian'!F197='2. Nayoung'!F197,1,0))</f>
        <v/>
      </c>
      <c r="G197" s="20" t="str">
        <f>IF('1. Yixian'!G197="","",IF('1. Yixian'!G197='2. Nayoung'!G197,1,0))</f>
        <v/>
      </c>
      <c r="H197" s="20">
        <f>IF('1. Yixian'!J197="","",IF(RIGHT('1. Yixian'!J197,3)=RIGHT('2. Nayoung'!J197,3),1,0))</f>
        <v>0</v>
      </c>
      <c r="I197" s="20">
        <f>IF(H197="","",IF(OR('2. Nayoung'!K197="", '1. Yixian'!K197 = ""),0,1))</f>
        <v>1</v>
      </c>
      <c r="J197" s="20">
        <f>IF('1. Yixian'!L197="","",IF('1. Yixian'!L197='2. Nayoung'!L197,1,0))</f>
        <v>1</v>
      </c>
      <c r="K197" s="20">
        <f>IF('1. Yixian'!M197="","",IF('1. Yixian'!M197='2. Nayoung'!M197,1,0))</f>
        <v>1</v>
      </c>
      <c r="L197" s="20">
        <f>IF('1. Yixian'!N197="","",IF('1. Yixian'!N197='2. Nayoung'!N197,1,0))</f>
        <v>1</v>
      </c>
      <c r="M197" s="20">
        <f>IF('1. Yixian'!O197="","",IF('1. Yixian'!O197='2. Nayoung'!O197,1,0))</f>
        <v>1</v>
      </c>
      <c r="N197" s="20">
        <f>IF('1. Yixian'!P197="","",IF('1. Yixian'!P197='2. Nayoung'!P197,1,0))</f>
        <v>1</v>
      </c>
      <c r="O197" s="20">
        <f>IF('1. Yixian'!Q197="","",IF('1. Yixian'!Q197='2. Nayoung'!Q197,1,0))</f>
        <v>1</v>
      </c>
      <c r="P197" s="20">
        <f>IF('1. Yixian'!R197="","",IF('1. Yixian'!R197='2. Nayoung'!R197,1,0))</f>
        <v>1</v>
      </c>
      <c r="Q197" s="20">
        <f>IF('1. Yixian'!S197="","",IF('1. Yixian'!S197='2. Nayoung'!S197,1,0))</f>
        <v>1</v>
      </c>
      <c r="R197" s="20">
        <f>IF('1. Yixian'!T197="","",IF('1. Yixian'!T197='2. Nayoung'!T197,1,0))</f>
        <v>1</v>
      </c>
      <c r="S197" s="20">
        <f>IF(R197="","",IF(OR('2. Nayoung'!U197="", '1. Yixian'!U197 = ""),0,1))</f>
        <v>1</v>
      </c>
      <c r="T197" s="20">
        <f>IF('1. Yixian'!V197="","",IF('1. Yixian'!V197='2. Nayoung'!V197,1,0))</f>
        <v>1</v>
      </c>
      <c r="U197" s="20">
        <f>IF('1. Yixian'!W197="","",IF('1. Yixian'!W197='2. Nayoung'!W197,1,0))</f>
        <v>1</v>
      </c>
      <c r="V197" s="20">
        <f>IF('1. Yixian'!X197="","",IF('1. Yixian'!X197='2. Nayoung'!X197,1,0))</f>
        <v>1</v>
      </c>
      <c r="W197" s="20">
        <f>IF('1. Yixian'!Y197="","",IF('1. Yixian'!Y197='2. Nayoung'!Y197,1,0))</f>
        <v>1</v>
      </c>
      <c r="X197" s="20">
        <f>IF('1. Yixian'!Z197="","",IF('1. Yixian'!Z197='2. Nayoung'!Z197,1,0))</f>
        <v>1</v>
      </c>
      <c r="Y197" s="20">
        <f>IF('1. Yixian'!AA197="","",IF('1. Yixian'!AA197='2. Nayoung'!AA197,1,0))</f>
        <v>1</v>
      </c>
      <c r="Z197" s="20">
        <f>IF('1. Yixian'!AB197="","",IF('1. Yixian'!AB197='2. Nayoung'!AB197,1,0))</f>
        <v>1</v>
      </c>
      <c r="AA197" s="20">
        <f>IF('1. Yixian'!AC197="","",IF('1. Yixian'!AC197='2. Nayoung'!AC197,1,0))</f>
        <v>1</v>
      </c>
      <c r="AB197" s="20">
        <f>IF(OR('2. Nayoung'!AD196="", '1. Yixian'!AD197 = ""),0,1)</f>
        <v>1</v>
      </c>
      <c r="AC197" s="20">
        <f>IF('1. Yixian'!AE197="","",IF('1. Yixian'!AE197='2. Nayoung'!AE197,1,0))</f>
        <v>1</v>
      </c>
      <c r="AD197" s="20">
        <f>IF(OR('2. Nayoung'!AF196="", '1. Yixian'!AF197 = ""),0,1)</f>
        <v>1</v>
      </c>
      <c r="AF197" s="20">
        <f>IF('1. Yixian'!AH197="","",IF('1. Yixian'!AH197='2. Nayoung'!AH197,1,0))</f>
        <v>1</v>
      </c>
      <c r="AG197" s="20">
        <f>IF('1. Yixian'!AI197="","",IF('1. Yixian'!AI197='2. Nayoung'!AI197,1,0))</f>
        <v>1</v>
      </c>
      <c r="AH197" s="20">
        <f>IF('1. Yixian'!AJ197="","",IF('1. Yixian'!AJ197='2. Nayoung'!AJ197,1,0))</f>
        <v>1</v>
      </c>
      <c r="AI197" s="20">
        <f>IF('1. Yixian'!AK197="","",IF('1. Yixian'!AK197='2. Nayoung'!AK197,1,0))</f>
        <v>1</v>
      </c>
      <c r="AJ197" s="20">
        <f>IF('1. Yixian'!AL197="","",IF('1. Yixian'!AL197='2. Nayoung'!AL197,1,0))</f>
        <v>1</v>
      </c>
      <c r="AK197" s="20">
        <f>IF('1. Yixian'!AM197="","",IF('1. Yixian'!AM197='2. Nayoung'!AM197,1,0))</f>
        <v>1</v>
      </c>
      <c r="AL197" s="20" t="str">
        <f>IF('1. Yixian'!AT197="","",IF('1. Yixian'!AT197='2. Nayoung'!AT197,1,0))</f>
        <v/>
      </c>
      <c r="AM197" s="20" t="str">
        <f>IF('1. Yixian'!AU197="","",IF('1. Yixian'!AU197='2. Nayoung'!AU197,1,0))</f>
        <v/>
      </c>
      <c r="AN197" s="2"/>
    </row>
    <row r="198" spans="1:40" s="20" customFormat="1" ht="17" customHeight="1">
      <c r="A198" s="20">
        <f>IF('1. Yixian'!A198="","",IF('1. Yixian'!A198='2. Nayoung'!A198,1,0))</f>
        <v>1</v>
      </c>
      <c r="B198" s="20">
        <f>IF('1. Yixian'!B198="","",IF(RIGHT('1. Yixian'!B198,2)=RIGHT('2. Nayoung'!B198,2),1,0))</f>
        <v>1</v>
      </c>
      <c r="C198" s="20">
        <f>IF('1. Yixian'!C198="","",IF('1. Yixian'!C198='2. Nayoung'!C198,1,0))</f>
        <v>1</v>
      </c>
      <c r="E198" s="20">
        <f>IF('1. Yixian'!E198="","",IF('1. Yixian'!E198='2. Nayoung'!E198,1,0))</f>
        <v>1</v>
      </c>
      <c r="F198" s="20">
        <f>IF('1. Yixian'!F198="","",IF('1. Yixian'!F198='2. Nayoung'!F198,1,0))</f>
        <v>1</v>
      </c>
      <c r="G198" s="20">
        <f>IF('1. Yixian'!G198="","",IF('1. Yixian'!G198='2. Nayoung'!G198,1,0))</f>
        <v>1</v>
      </c>
      <c r="H198" s="20">
        <f>IF('1. Yixian'!J198="","",IF(RIGHT('1. Yixian'!J198,3)=RIGHT('2. Nayoung'!J198,3),1,0))</f>
        <v>1</v>
      </c>
      <c r="I198" s="20">
        <f>IF(H198="","",IF(OR('2. Nayoung'!K198="", '1. Yixian'!K198 = ""),0,1))</f>
        <v>1</v>
      </c>
      <c r="J198" s="20">
        <f>IF('1. Yixian'!L198="","",IF('1. Yixian'!L198='2. Nayoung'!L198,1,0))</f>
        <v>1</v>
      </c>
      <c r="K198" s="20">
        <f>IF('1. Yixian'!M198="","",IF('1. Yixian'!M198='2. Nayoung'!M198,1,0))</f>
        <v>1</v>
      </c>
      <c r="L198" s="20">
        <f>IF('1. Yixian'!N198="","",IF('1. Yixian'!N198='2. Nayoung'!N198,1,0))</f>
        <v>1</v>
      </c>
      <c r="M198" s="20">
        <f>IF('1. Yixian'!O198="","",IF('1. Yixian'!O198='2. Nayoung'!O198,1,0))</f>
        <v>1</v>
      </c>
      <c r="N198" s="20">
        <f>IF('1. Yixian'!P198="","",IF('1. Yixian'!P198='2. Nayoung'!P198,1,0))</f>
        <v>1</v>
      </c>
      <c r="O198" s="20">
        <f>IF('1. Yixian'!Q198="","",IF('1. Yixian'!Q198='2. Nayoung'!Q198,1,0))</f>
        <v>1</v>
      </c>
      <c r="P198" s="20">
        <f>IF('1. Yixian'!R198="","",IF('1. Yixian'!R198='2. Nayoung'!R198,1,0))</f>
        <v>1</v>
      </c>
      <c r="Q198" s="20">
        <f>IF('1. Yixian'!S198="","",IF('1. Yixian'!S198='2. Nayoung'!S198,1,0))</f>
        <v>1</v>
      </c>
      <c r="R198" s="20">
        <f>IF('1. Yixian'!T198="","",IF('1. Yixian'!T198='2. Nayoung'!T198,1,0))</f>
        <v>1</v>
      </c>
      <c r="S198" s="20">
        <f>IF(R198="","",IF(OR('2. Nayoung'!U198="", '1. Yixian'!U198 = ""),0,1))</f>
        <v>1</v>
      </c>
      <c r="T198" s="20">
        <f>IF('1. Yixian'!V198="","",IF('1. Yixian'!V198='2. Nayoung'!V198,1,0))</f>
        <v>1</v>
      </c>
      <c r="U198" s="20">
        <f>IF('1. Yixian'!W198="","",IF('1. Yixian'!W198='2. Nayoung'!W198,1,0))</f>
        <v>1</v>
      </c>
      <c r="V198" s="20">
        <f>IF('1. Yixian'!X198="","",IF('1. Yixian'!X198='2. Nayoung'!X198,1,0))</f>
        <v>0</v>
      </c>
      <c r="W198" s="20">
        <f>IF('1. Yixian'!Y198="","",IF('1. Yixian'!Y198='2. Nayoung'!Y198,1,0))</f>
        <v>1</v>
      </c>
      <c r="X198" s="20">
        <f>IF('1. Yixian'!Z198="","",IF('1. Yixian'!Z198='2. Nayoung'!Z198,1,0))</f>
        <v>1</v>
      </c>
      <c r="Y198" s="20">
        <f>IF('1. Yixian'!AA198="","",IF('1. Yixian'!AA198='2. Nayoung'!AA198,1,0))</f>
        <v>1</v>
      </c>
      <c r="Z198" s="20">
        <f>IF('1. Yixian'!AB198="","",IF('1. Yixian'!AB198='2. Nayoung'!AB198,1,0))</f>
        <v>1</v>
      </c>
      <c r="AA198" s="20">
        <f>IF('1. Yixian'!AC198="","",IF('1. Yixian'!AC198='2. Nayoung'!AC198,1,0))</f>
        <v>1</v>
      </c>
      <c r="AB198" s="20">
        <f>IF(OR('2. Nayoung'!AD197="", '1. Yixian'!AD198 = ""),0,1)</f>
        <v>1</v>
      </c>
      <c r="AC198" s="20">
        <f>IF('1. Yixian'!AE198="","",IF('1. Yixian'!AE198='2. Nayoung'!AE198,1,0))</f>
        <v>1</v>
      </c>
      <c r="AD198" s="20">
        <f>IF(OR('2. Nayoung'!AF197="", '1. Yixian'!AF198 = ""),0,1)</f>
        <v>1</v>
      </c>
      <c r="AF198" s="20">
        <f>IF('1. Yixian'!AH198="","",IF('1. Yixian'!AH198='2. Nayoung'!AH198,1,0))</f>
        <v>1</v>
      </c>
      <c r="AG198" s="20">
        <f>IF('1. Yixian'!AI198="","",IF('1. Yixian'!AI198='2. Nayoung'!AI198,1,0))</f>
        <v>1</v>
      </c>
      <c r="AH198" s="20">
        <f>IF('1. Yixian'!AJ198="","",IF('1. Yixian'!AJ198='2. Nayoung'!AJ198,1,0))</f>
        <v>1</v>
      </c>
      <c r="AI198" s="20">
        <f>IF('1. Yixian'!AK198="","",IF('1. Yixian'!AK198='2. Nayoung'!AK198,1,0))</f>
        <v>1</v>
      </c>
      <c r="AJ198" s="20">
        <f>IF('1. Yixian'!AL198="","",IF('1. Yixian'!AL198='2. Nayoung'!AL198,1,0))</f>
        <v>1</v>
      </c>
      <c r="AK198" s="20">
        <f>IF('1. Yixian'!AM198="","",IF('1. Yixian'!AM198='2. Nayoung'!AM198,1,0))</f>
        <v>1</v>
      </c>
      <c r="AL198" s="20" t="str">
        <f>IF('1. Yixian'!AT198="","",IF('1. Yixian'!AT198='2. Nayoung'!AT198,1,0))</f>
        <v/>
      </c>
      <c r="AM198" s="20" t="str">
        <f>IF('1. Yixian'!AU198="","",IF('1. Yixian'!AU198='2. Nayoung'!AU198,1,0))</f>
        <v/>
      </c>
      <c r="AN198" s="2"/>
    </row>
    <row r="199" spans="1:40" s="20" customFormat="1" ht="17" customHeight="1">
      <c r="A199" s="20" t="str">
        <f>IF('1. Yixian'!A199="","",IF('1. Yixian'!A199='2. Nayoung'!A199,1,0))</f>
        <v/>
      </c>
      <c r="B199" s="20" t="str">
        <f>IF('1. Yixian'!B199="","",IF(RIGHT('1. Yixian'!B199,2)=RIGHT('2. Nayoung'!B199,2),1,0))</f>
        <v/>
      </c>
      <c r="C199" s="20" t="str">
        <f>IF('1. Yixian'!C199="","",IF('1. Yixian'!C199='2. Nayoung'!C199,1,0))</f>
        <v/>
      </c>
      <c r="E199" s="20" t="str">
        <f>IF('1. Yixian'!E199="","",IF('1. Yixian'!E199='2. Nayoung'!E199,1,0))</f>
        <v/>
      </c>
      <c r="F199" s="20" t="str">
        <f>IF('1. Yixian'!F199="","",IF('1. Yixian'!F199='2. Nayoung'!F199,1,0))</f>
        <v/>
      </c>
      <c r="G199" s="20" t="str">
        <f>IF('1. Yixian'!G199="","",IF('1. Yixian'!G199='2. Nayoung'!G199,1,0))</f>
        <v/>
      </c>
      <c r="H199" s="20">
        <f>IF('1. Yixian'!J199="","",IF(RIGHT('1. Yixian'!J199,3)=RIGHT('2. Nayoung'!J199,3),1,0))</f>
        <v>0</v>
      </c>
      <c r="I199" s="20">
        <f>IF(H199="","",IF(OR('2. Nayoung'!K199="", '1. Yixian'!K199 = ""),0,1))</f>
        <v>1</v>
      </c>
      <c r="J199" s="20">
        <f>IF('1. Yixian'!L199="","",IF('1. Yixian'!L199='2. Nayoung'!L199,1,0))</f>
        <v>1</v>
      </c>
      <c r="K199" s="20">
        <f>IF('1. Yixian'!M199="","",IF('1. Yixian'!M199='2. Nayoung'!M199,1,0))</f>
        <v>1</v>
      </c>
      <c r="L199" s="20">
        <f>IF('1. Yixian'!N199="","",IF('1. Yixian'!N199='2. Nayoung'!N199,1,0))</f>
        <v>1</v>
      </c>
      <c r="M199" s="20">
        <f>IF('1. Yixian'!O199="","",IF('1. Yixian'!O199='2. Nayoung'!O199,1,0))</f>
        <v>1</v>
      </c>
      <c r="N199" s="20">
        <f>IF('1. Yixian'!P199="","",IF('1. Yixian'!P199='2. Nayoung'!P199,1,0))</f>
        <v>1</v>
      </c>
      <c r="O199" s="20">
        <f>IF('1. Yixian'!Q199="","",IF('1. Yixian'!Q199='2. Nayoung'!Q199,1,0))</f>
        <v>1</v>
      </c>
      <c r="P199" s="20">
        <f>IF('1. Yixian'!R199="","",IF('1. Yixian'!R199='2. Nayoung'!R199,1,0))</f>
        <v>1</v>
      </c>
      <c r="Q199" s="20">
        <f>IF('1. Yixian'!S199="","",IF('1. Yixian'!S199='2. Nayoung'!S199,1,0))</f>
        <v>1</v>
      </c>
      <c r="R199" s="20">
        <f>IF('1. Yixian'!T199="","",IF('1. Yixian'!T199='2. Nayoung'!T199,1,0))</f>
        <v>0</v>
      </c>
      <c r="S199" s="20">
        <f>IF(R199="","",IF(OR('2. Nayoung'!U199="", '1. Yixian'!U199 = ""),0,1))</f>
        <v>1</v>
      </c>
      <c r="T199" s="20">
        <f>IF('1. Yixian'!V199="","",IF('1. Yixian'!V199='2. Nayoung'!V199,1,0))</f>
        <v>1</v>
      </c>
      <c r="U199" s="20">
        <f>IF('1. Yixian'!W199="","",IF('1. Yixian'!W199='2. Nayoung'!W199,1,0))</f>
        <v>1</v>
      </c>
      <c r="V199" s="20">
        <f>IF('1. Yixian'!X199="","",IF('1. Yixian'!X199='2. Nayoung'!X199,1,0))</f>
        <v>1</v>
      </c>
      <c r="W199" s="20">
        <f>IF('1. Yixian'!Y199="","",IF('1. Yixian'!Y199='2. Nayoung'!Y199,1,0))</f>
        <v>1</v>
      </c>
      <c r="X199" s="20">
        <f>IF('1. Yixian'!Z199="","",IF('1. Yixian'!Z199='2. Nayoung'!Z199,1,0))</f>
        <v>1</v>
      </c>
      <c r="Y199" s="20">
        <f>IF('1. Yixian'!AA199="","",IF('1. Yixian'!AA199='2. Nayoung'!AA199,1,0))</f>
        <v>1</v>
      </c>
      <c r="Z199" s="20">
        <f>IF('1. Yixian'!AB199="","",IF('1. Yixian'!AB199='2. Nayoung'!AB199,1,0))</f>
        <v>1</v>
      </c>
      <c r="AA199" s="20">
        <f>IF('1. Yixian'!AC199="","",IF('1. Yixian'!AC199='2. Nayoung'!AC199,1,0))</f>
        <v>1</v>
      </c>
      <c r="AB199" s="20">
        <f>IF(OR('2. Nayoung'!AD198="", '1. Yixian'!AD199 = ""),0,1)</f>
        <v>1</v>
      </c>
      <c r="AC199" s="20">
        <f>IF('1. Yixian'!AE199="","",IF('1. Yixian'!AE199='2. Nayoung'!AE199,1,0))</f>
        <v>1</v>
      </c>
      <c r="AD199" s="20">
        <f>IF(OR('2. Nayoung'!AF198="", '1. Yixian'!AF199 = ""),0,1)</f>
        <v>1</v>
      </c>
      <c r="AF199" s="20">
        <f>IF('1. Yixian'!AH199="","",IF('1. Yixian'!AH199='2. Nayoung'!AH199,1,0))</f>
        <v>1</v>
      </c>
      <c r="AG199" s="20">
        <f>IF('1. Yixian'!AI199="","",IF('1. Yixian'!AI199='2. Nayoung'!AI199,1,0))</f>
        <v>1</v>
      </c>
      <c r="AH199" s="20">
        <f>IF('1. Yixian'!AJ199="","",IF('1. Yixian'!AJ199='2. Nayoung'!AJ199,1,0))</f>
        <v>1</v>
      </c>
      <c r="AI199" s="20">
        <f>IF('1. Yixian'!AK199="","",IF('1. Yixian'!AK199='2. Nayoung'!AK199,1,0))</f>
        <v>1</v>
      </c>
      <c r="AJ199" s="20">
        <f>IF('1. Yixian'!AL199="","",IF('1. Yixian'!AL199='2. Nayoung'!AL199,1,0))</f>
        <v>1</v>
      </c>
      <c r="AK199" s="20">
        <f>IF('1. Yixian'!AM199="","",IF('1. Yixian'!AM199='2. Nayoung'!AM199,1,0))</f>
        <v>1</v>
      </c>
      <c r="AL199" s="20" t="str">
        <f>IF('1. Yixian'!AT199="","",IF('1. Yixian'!AT199='2. Nayoung'!AT199,1,0))</f>
        <v/>
      </c>
      <c r="AM199" s="20" t="str">
        <f>IF('1. Yixian'!AU199="","",IF('1. Yixian'!AU199='2. Nayoung'!AU199,1,0))</f>
        <v/>
      </c>
      <c r="AN199" s="2"/>
    </row>
    <row r="200" spans="1:40" s="20" customFormat="1" ht="17" customHeight="1">
      <c r="A200" s="20">
        <f>IF('1. Yixian'!A200="","",IF('1. Yixian'!A200='2. Nayoung'!A200,1,0))</f>
        <v>1</v>
      </c>
      <c r="B200" s="20">
        <f>IF('1. Yixian'!B200="","",IF(RIGHT('1. Yixian'!B200,2)=RIGHT('2. Nayoung'!B200,2),1,0))</f>
        <v>1</v>
      </c>
      <c r="C200" s="20">
        <f>IF('1. Yixian'!C200="","",IF('1. Yixian'!C200='2. Nayoung'!C200,1,0))</f>
        <v>1</v>
      </c>
      <c r="E200" s="20">
        <f>IF('1. Yixian'!E200="","",IF('1. Yixian'!E200='2. Nayoung'!E200,1,0))</f>
        <v>1</v>
      </c>
      <c r="F200" s="20">
        <f>IF('1. Yixian'!F200="","",IF('1. Yixian'!F200='2. Nayoung'!F200,1,0))</f>
        <v>1</v>
      </c>
      <c r="G200" s="20">
        <f>IF('1. Yixian'!G200="","",IF('1. Yixian'!G200='2. Nayoung'!G200,1,0))</f>
        <v>1</v>
      </c>
      <c r="H200" s="20">
        <f>IF('1. Yixian'!J200="","",IF(RIGHT('1. Yixian'!J200,3)=RIGHT('2. Nayoung'!J200,3),1,0))</f>
        <v>1</v>
      </c>
      <c r="I200" s="20">
        <f>IF(H200="","",IF(OR('2. Nayoung'!K200="", '1. Yixian'!K200 = ""),0,1))</f>
        <v>1</v>
      </c>
      <c r="J200" s="20">
        <f>IF('1. Yixian'!L200="","",IF('1. Yixian'!L200='2. Nayoung'!L200,1,0))</f>
        <v>1</v>
      </c>
      <c r="K200" s="20">
        <f>IF('1. Yixian'!M200="","",IF('1. Yixian'!M200='2. Nayoung'!M200,1,0))</f>
        <v>0</v>
      </c>
      <c r="L200" s="20">
        <f>IF('1. Yixian'!N200="","",IF('1. Yixian'!N200='2. Nayoung'!N200,1,0))</f>
        <v>1</v>
      </c>
      <c r="M200" s="20">
        <f>IF('1. Yixian'!O200="","",IF('1. Yixian'!O200='2. Nayoung'!O200,1,0))</f>
        <v>1</v>
      </c>
      <c r="N200" s="20">
        <f>IF('1. Yixian'!P200="","",IF('1. Yixian'!P200='2. Nayoung'!P200,1,0))</f>
        <v>1</v>
      </c>
      <c r="O200" s="20">
        <f>IF('1. Yixian'!Q200="","",IF('1. Yixian'!Q200='2. Nayoung'!Q200,1,0))</f>
        <v>1</v>
      </c>
      <c r="P200" s="20">
        <f>IF('1. Yixian'!R200="","",IF('1. Yixian'!R200='2. Nayoung'!R200,1,0))</f>
        <v>1</v>
      </c>
      <c r="Q200" s="20">
        <f>IF('1. Yixian'!S200="","",IF('1. Yixian'!S200='2. Nayoung'!S200,1,0))</f>
        <v>1</v>
      </c>
      <c r="R200" s="20">
        <f>IF('1. Yixian'!T200="","",IF('1. Yixian'!T200='2. Nayoung'!T200,1,0))</f>
        <v>1</v>
      </c>
      <c r="S200" s="20">
        <f>IF(R200="","",IF(OR('2. Nayoung'!U200="", '1. Yixian'!U200 = ""),0,1))</f>
        <v>1</v>
      </c>
      <c r="T200" s="20">
        <f>IF('1. Yixian'!V200="","",IF('1. Yixian'!V200='2. Nayoung'!V200,1,0))</f>
        <v>0</v>
      </c>
      <c r="U200" s="20">
        <f>IF('1. Yixian'!W200="","",IF('1. Yixian'!W200='2. Nayoung'!W200,1,0))</f>
        <v>0</v>
      </c>
      <c r="V200" s="20">
        <f>IF('1. Yixian'!X200="","",IF('1. Yixian'!X200='2. Nayoung'!X200,1,0))</f>
        <v>1</v>
      </c>
      <c r="W200" s="20">
        <f>IF('1. Yixian'!Y200="","",IF('1. Yixian'!Y200='2. Nayoung'!Y200,1,0))</f>
        <v>1</v>
      </c>
      <c r="X200" s="20">
        <f>IF('1. Yixian'!Z200="","",IF('1. Yixian'!Z200='2. Nayoung'!Z200,1,0))</f>
        <v>1</v>
      </c>
      <c r="Y200" s="20">
        <f>IF('1. Yixian'!AA200="","",IF('1. Yixian'!AA200='2. Nayoung'!AA200,1,0))</f>
        <v>1</v>
      </c>
      <c r="Z200" s="20">
        <f>IF('1. Yixian'!AB200="","",IF('1. Yixian'!AB200='2. Nayoung'!AB200,1,0))</f>
        <v>1</v>
      </c>
      <c r="AA200" s="20">
        <f>IF('1. Yixian'!AC200="","",IF('1. Yixian'!AC200='2. Nayoung'!AC200,1,0))</f>
        <v>1</v>
      </c>
      <c r="AB200" s="20">
        <f>IF(OR('2. Nayoung'!AD199="", '1. Yixian'!AD200 = ""),0,1)</f>
        <v>1</v>
      </c>
      <c r="AC200" s="20">
        <f>IF('1. Yixian'!AE200="","",IF('1. Yixian'!AE200='2. Nayoung'!AE200,1,0))</f>
        <v>1</v>
      </c>
      <c r="AD200" s="20">
        <f>IF(OR('2. Nayoung'!AF199="", '1. Yixian'!AF200 = ""),0,1)</f>
        <v>1</v>
      </c>
      <c r="AF200" s="20">
        <f>IF('1. Yixian'!AH200="","",IF('1. Yixian'!AH200='2. Nayoung'!AH200,1,0))</f>
        <v>1</v>
      </c>
      <c r="AG200" s="20">
        <f>IF('1. Yixian'!AI200="","",IF('1. Yixian'!AI200='2. Nayoung'!AI200,1,0))</f>
        <v>1</v>
      </c>
      <c r="AH200" s="20">
        <f>IF('1. Yixian'!AJ200="","",IF('1. Yixian'!AJ200='2. Nayoung'!AJ200,1,0))</f>
        <v>1</v>
      </c>
      <c r="AI200" s="20">
        <f>IF('1. Yixian'!AK200="","",IF('1. Yixian'!AK200='2. Nayoung'!AK200,1,0))</f>
        <v>1</v>
      </c>
      <c r="AJ200" s="20">
        <f>IF('1. Yixian'!AL200="","",IF('1. Yixian'!AL200='2. Nayoung'!AL200,1,0))</f>
        <v>1</v>
      </c>
      <c r="AK200" s="20">
        <f>IF('1. Yixian'!AM200="","",IF('1. Yixian'!AM200='2. Nayoung'!AM200,1,0))</f>
        <v>1</v>
      </c>
      <c r="AL200" s="20" t="str">
        <f>IF('1. Yixian'!AT200="","",IF('1. Yixian'!AT200='2. Nayoung'!AT200,1,0))</f>
        <v/>
      </c>
      <c r="AM200" s="20" t="str">
        <f>IF('1. Yixian'!AU200="","",IF('1. Yixian'!AU200='2. Nayoung'!AU200,1,0))</f>
        <v/>
      </c>
      <c r="AN200" s="2"/>
    </row>
    <row r="201" spans="1:40" s="20" customFormat="1" ht="17" customHeight="1">
      <c r="A201" s="20" t="str">
        <f>IF('1. Yixian'!A201="","",IF('1. Yixian'!A201='2. Nayoung'!A201,1,0))</f>
        <v/>
      </c>
      <c r="B201" s="20" t="str">
        <f>IF('1. Yixian'!B201="","",IF(RIGHT('1. Yixian'!B201,2)=RIGHT('2. Nayoung'!B201,2),1,0))</f>
        <v/>
      </c>
      <c r="C201" s="20" t="str">
        <f>IF('1. Yixian'!C201="","",IF('1. Yixian'!C201='2. Nayoung'!C201,1,0))</f>
        <v/>
      </c>
      <c r="E201" s="20" t="str">
        <f>IF('1. Yixian'!E201="","",IF('1. Yixian'!E201='2. Nayoung'!E201,1,0))</f>
        <v/>
      </c>
      <c r="F201" s="20" t="str">
        <f>IF('1. Yixian'!F201="","",IF('1. Yixian'!F201='2. Nayoung'!F201,1,0))</f>
        <v/>
      </c>
      <c r="G201" s="20" t="str">
        <f>IF('1. Yixian'!G201="","",IF('1. Yixian'!G201='2. Nayoung'!G201,1,0))</f>
        <v/>
      </c>
      <c r="H201" s="20" t="str">
        <f>IF('1. Yixian'!J201="","",IF(RIGHT('1. Yixian'!J201,3)=RIGHT('2. Nayoung'!J201,3),1,0))</f>
        <v/>
      </c>
      <c r="I201" s="20" t="str">
        <f>IF(H201="","",IF(OR('2. Nayoung'!K201="", '1. Yixian'!K201 = ""),0,1))</f>
        <v/>
      </c>
      <c r="J201" s="20" t="str">
        <f>IF('1. Yixian'!L201="","",IF('1. Yixian'!L201='2. Nayoung'!L201,1,0))</f>
        <v/>
      </c>
      <c r="K201" s="20" t="str">
        <f>IF('1. Yixian'!M201="","",IF('1. Yixian'!M201='2. Nayoung'!M201,1,0))</f>
        <v/>
      </c>
      <c r="L201" s="20" t="str">
        <f>IF('1. Yixian'!N201="","",IF('1. Yixian'!N201='2. Nayoung'!N201,1,0))</f>
        <v/>
      </c>
      <c r="M201" s="20" t="str">
        <f>IF('1. Yixian'!O201="","",IF('1. Yixian'!O201='2. Nayoung'!O201,1,0))</f>
        <v/>
      </c>
      <c r="N201" s="20" t="str">
        <f>IF('1. Yixian'!P201="","",IF('1. Yixian'!P201='2. Nayoung'!P201,1,0))</f>
        <v/>
      </c>
      <c r="O201" s="20" t="str">
        <f>IF('1. Yixian'!Q201="","",IF('1. Yixian'!Q201='2. Nayoung'!Q201,1,0))</f>
        <v/>
      </c>
      <c r="P201" s="20" t="str">
        <f>IF('1. Yixian'!R201="","",IF('1. Yixian'!R201='2. Nayoung'!R201,1,0))</f>
        <v/>
      </c>
      <c r="Q201" s="20" t="str">
        <f>IF('1. Yixian'!S201="","",IF('1. Yixian'!S201='2. Nayoung'!S201,1,0))</f>
        <v/>
      </c>
      <c r="R201" s="20" t="str">
        <f>IF('1. Yixian'!T201="","",IF('1. Yixian'!T201='2. Nayoung'!T201,1,0))</f>
        <v/>
      </c>
      <c r="S201" s="20" t="str">
        <f>IF(R201="","",IF(OR('2. Nayoung'!U201="", '1. Yixian'!U201 = ""),0,1))</f>
        <v/>
      </c>
      <c r="T201" s="20" t="str">
        <f>IF('1. Yixian'!V201="","",IF('1. Yixian'!V201='2. Nayoung'!V201,1,0))</f>
        <v/>
      </c>
      <c r="U201" s="20" t="str">
        <f>IF('1. Yixian'!W201="","",IF('1. Yixian'!W201='2. Nayoung'!W201,1,0))</f>
        <v/>
      </c>
      <c r="V201" s="20" t="str">
        <f>IF('1. Yixian'!X201="","",IF('1. Yixian'!X201='2. Nayoung'!X201,1,0))</f>
        <v/>
      </c>
      <c r="W201" s="20" t="str">
        <f>IF('1. Yixian'!Y201="","",IF('1. Yixian'!Y201='2. Nayoung'!Y201,1,0))</f>
        <v/>
      </c>
      <c r="X201" s="20" t="str">
        <f>IF('1. Yixian'!Z201="","",IF('1. Yixian'!Z201='2. Nayoung'!Z201,1,0))</f>
        <v/>
      </c>
      <c r="Y201" s="20" t="str">
        <f>IF('1. Yixian'!AA201="","",IF('1. Yixian'!AA201='2. Nayoung'!AA201,1,0))</f>
        <v/>
      </c>
      <c r="Z201" s="20" t="str">
        <f>IF('1. Yixian'!AB201="","",IF('1. Yixian'!AB201='2. Nayoung'!AB201,1,0))</f>
        <v/>
      </c>
      <c r="AA201" s="20" t="str">
        <f>IF('1. Yixian'!AC201="","",IF('1. Yixian'!AC201='2. Nayoung'!AC201,1,0))</f>
        <v/>
      </c>
      <c r="AB201" s="20">
        <f>IF(OR('2. Nayoung'!AD200="", '1. Yixian'!AD201 = ""),0,1)</f>
        <v>1</v>
      </c>
      <c r="AC201" s="20">
        <f>IF('1. Yixian'!AE201="","",IF('1. Yixian'!AE201='2. Nayoung'!AE201,1,0))</f>
        <v>1</v>
      </c>
      <c r="AD201" s="20">
        <f>IF(OR('2. Nayoung'!AF200="", '1. Yixian'!AF201 = ""),0,1)</f>
        <v>1</v>
      </c>
      <c r="AF201" s="20">
        <f>IF('1. Yixian'!AH201="","",IF('1. Yixian'!AH201='2. Nayoung'!AH201,1,0))</f>
        <v>1</v>
      </c>
      <c r="AG201" s="20">
        <f>IF('1. Yixian'!AI201="","",IF('1. Yixian'!AI201='2. Nayoung'!AI201,1,0))</f>
        <v>1</v>
      </c>
      <c r="AH201" s="20">
        <f>IF('1. Yixian'!AJ201="","",IF('1. Yixian'!AJ201='2. Nayoung'!AJ201,1,0))</f>
        <v>1</v>
      </c>
      <c r="AI201" s="20">
        <f>IF('1. Yixian'!AK201="","",IF('1. Yixian'!AK201='2. Nayoung'!AK201,1,0))</f>
        <v>1</v>
      </c>
      <c r="AJ201" s="20">
        <f>IF('1. Yixian'!AL201="","",IF('1. Yixian'!AL201='2. Nayoung'!AL201,1,0))</f>
        <v>1</v>
      </c>
      <c r="AK201" s="20">
        <f>IF('1. Yixian'!AM201="","",IF('1. Yixian'!AM201='2. Nayoung'!AM201,1,0))</f>
        <v>1</v>
      </c>
      <c r="AL201" s="20" t="str">
        <f>IF('1. Yixian'!AT201="","",IF('1. Yixian'!AT201='2. Nayoung'!AT201,1,0))</f>
        <v/>
      </c>
      <c r="AM201" s="20" t="str">
        <f>IF('1. Yixian'!AU201="","",IF('1. Yixian'!AU201='2. Nayoung'!AU201,1,0))</f>
        <v/>
      </c>
      <c r="AN201" s="2"/>
    </row>
    <row r="202" spans="1:40" s="20" customFormat="1" ht="17" customHeight="1">
      <c r="A202" s="20" t="str">
        <f>IF('1. Yixian'!A202="","",IF('1. Yixian'!A202='2. Nayoung'!A202,1,0))</f>
        <v/>
      </c>
      <c r="B202" s="20" t="str">
        <f>IF('1. Yixian'!B202="","",IF(RIGHT('1. Yixian'!B202,2)=RIGHT('2. Nayoung'!B202,2),1,0))</f>
        <v/>
      </c>
      <c r="C202" s="20" t="str">
        <f>IF('1. Yixian'!C202="","",IF('1. Yixian'!C202='2. Nayoung'!C202,1,0))</f>
        <v/>
      </c>
      <c r="E202" s="20" t="str">
        <f>IF('1. Yixian'!E202="","",IF('1. Yixian'!E202='2. Nayoung'!E202,1,0))</f>
        <v/>
      </c>
      <c r="F202" s="20" t="str">
        <f>IF('1. Yixian'!F202="","",IF('1. Yixian'!F202='2. Nayoung'!F202,1,0))</f>
        <v/>
      </c>
      <c r="G202" s="20" t="str">
        <f>IF('1. Yixian'!G202="","",IF('1. Yixian'!G202='2. Nayoung'!G202,1,0))</f>
        <v/>
      </c>
      <c r="H202" s="20" t="str">
        <f>IF('1. Yixian'!J202="","",IF(RIGHT('1. Yixian'!J202,3)=RIGHT('2. Nayoung'!J202,3),1,0))</f>
        <v/>
      </c>
      <c r="I202" s="20" t="str">
        <f>IF(H202="","",IF(OR('2. Nayoung'!K202="", '1. Yixian'!K202 = ""),0,1))</f>
        <v/>
      </c>
      <c r="J202" s="20" t="str">
        <f>IF('1. Yixian'!L202="","",IF('1. Yixian'!L202='2. Nayoung'!L202,1,0))</f>
        <v/>
      </c>
      <c r="K202" s="20" t="str">
        <f>IF('1. Yixian'!M202="","",IF('1. Yixian'!M202='2. Nayoung'!M202,1,0))</f>
        <v/>
      </c>
      <c r="L202" s="20" t="str">
        <f>IF('1. Yixian'!N202="","",IF('1. Yixian'!N202='2. Nayoung'!N202,1,0))</f>
        <v/>
      </c>
      <c r="M202" s="20" t="str">
        <f>IF('1. Yixian'!O202="","",IF('1. Yixian'!O202='2. Nayoung'!O202,1,0))</f>
        <v/>
      </c>
      <c r="N202" s="20" t="str">
        <f>IF('1. Yixian'!P202="","",IF('1. Yixian'!P202='2. Nayoung'!P202,1,0))</f>
        <v/>
      </c>
      <c r="O202" s="20" t="str">
        <f>IF('1. Yixian'!Q202="","",IF('1. Yixian'!Q202='2. Nayoung'!Q202,1,0))</f>
        <v/>
      </c>
      <c r="P202" s="20" t="str">
        <f>IF('1. Yixian'!R202="","",IF('1. Yixian'!R202='2. Nayoung'!R202,1,0))</f>
        <v/>
      </c>
      <c r="Q202" s="20" t="str">
        <f>IF('1. Yixian'!S202="","",IF('1. Yixian'!S202='2. Nayoung'!S202,1,0))</f>
        <v/>
      </c>
      <c r="R202" s="20" t="str">
        <f>IF('1. Yixian'!T202="","",IF('1. Yixian'!T202='2. Nayoung'!T202,1,0))</f>
        <v/>
      </c>
      <c r="S202" s="20" t="str">
        <f>IF(R202="","",IF(OR('2. Nayoung'!U202="", '1. Yixian'!U202 = ""),0,1))</f>
        <v/>
      </c>
      <c r="T202" s="20" t="str">
        <f>IF('1. Yixian'!V202="","",IF('1. Yixian'!V202='2. Nayoung'!V202,1,0))</f>
        <v/>
      </c>
      <c r="U202" s="20" t="str">
        <f>IF('1. Yixian'!W202="","",IF('1. Yixian'!W202='2. Nayoung'!W202,1,0))</f>
        <v/>
      </c>
      <c r="V202" s="20" t="str">
        <f>IF('1. Yixian'!X202="","",IF('1. Yixian'!X202='2. Nayoung'!X202,1,0))</f>
        <v/>
      </c>
      <c r="W202" s="20" t="str">
        <f>IF('1. Yixian'!Y202="","",IF('1. Yixian'!Y202='2. Nayoung'!Y202,1,0))</f>
        <v/>
      </c>
      <c r="X202" s="20" t="str">
        <f>IF('1. Yixian'!Z202="","",IF('1. Yixian'!Z202='2. Nayoung'!Z202,1,0))</f>
        <v/>
      </c>
      <c r="Y202" s="20" t="str">
        <f>IF('1. Yixian'!AA202="","",IF('1. Yixian'!AA202='2. Nayoung'!AA202,1,0))</f>
        <v/>
      </c>
      <c r="Z202" s="20" t="str">
        <f>IF('1. Yixian'!AB202="","",IF('1. Yixian'!AB202='2. Nayoung'!AB202,1,0))</f>
        <v/>
      </c>
      <c r="AA202" s="20" t="str">
        <f>IF('1. Yixian'!AC202="","",IF('1. Yixian'!AC202='2. Nayoung'!AC202,1,0))</f>
        <v/>
      </c>
      <c r="AB202" s="20">
        <f>IF(OR('2. Nayoung'!AD201="", '1. Yixian'!AD202 = ""),0,1)</f>
        <v>1</v>
      </c>
      <c r="AC202" s="20">
        <f>IF('1. Yixian'!AE202="","",IF('1. Yixian'!AE202='2. Nayoung'!AE202,1,0))</f>
        <v>1</v>
      </c>
      <c r="AD202" s="20">
        <f>IF(OR('2. Nayoung'!AF201="", '1. Yixian'!AF202 = ""),0,1)</f>
        <v>1</v>
      </c>
      <c r="AF202" s="20">
        <f>IF('1. Yixian'!AH202="","",IF('1. Yixian'!AH202='2. Nayoung'!AH202,1,0))</f>
        <v>1</v>
      </c>
      <c r="AG202" s="20">
        <f>IF('1. Yixian'!AI202="","",IF('1. Yixian'!AI202='2. Nayoung'!AI202,1,0))</f>
        <v>1</v>
      </c>
      <c r="AH202" s="20">
        <f>IF('1. Yixian'!AJ202="","",IF('1. Yixian'!AJ202='2. Nayoung'!AJ202,1,0))</f>
        <v>1</v>
      </c>
      <c r="AI202" s="20">
        <f>IF('1. Yixian'!AK202="","",IF('1. Yixian'!AK202='2. Nayoung'!AK202,1,0))</f>
        <v>1</v>
      </c>
      <c r="AJ202" s="20">
        <f>IF('1. Yixian'!AL202="","",IF('1. Yixian'!AL202='2. Nayoung'!AL202,1,0))</f>
        <v>1</v>
      </c>
      <c r="AK202" s="20">
        <f>IF('1. Yixian'!AM202="","",IF('1. Yixian'!AM202='2. Nayoung'!AM202,1,0))</f>
        <v>1</v>
      </c>
      <c r="AL202" s="20" t="str">
        <f>IF('1. Yixian'!AT202="","",IF('1. Yixian'!AT202='2. Nayoung'!AT202,1,0))</f>
        <v/>
      </c>
      <c r="AM202" s="20" t="str">
        <f>IF('1. Yixian'!AU202="","",IF('1. Yixian'!AU202='2. Nayoung'!AU202,1,0))</f>
        <v/>
      </c>
      <c r="AN202" s="2"/>
    </row>
    <row r="203" spans="1:40" s="20" customFormat="1" ht="17" customHeight="1">
      <c r="A203" s="20" t="str">
        <f>IF('1. Yixian'!A203="","",IF('1. Yixian'!A203='2. Nayoung'!A203,1,0))</f>
        <v/>
      </c>
      <c r="B203" s="20" t="str">
        <f>IF('1. Yixian'!B203="","",IF(RIGHT('1. Yixian'!B203,2)=RIGHT('2. Nayoung'!B203,2),1,0))</f>
        <v/>
      </c>
      <c r="C203" s="20" t="str">
        <f>IF('1. Yixian'!C203="","",IF('1. Yixian'!C203='2. Nayoung'!C203,1,0))</f>
        <v/>
      </c>
      <c r="E203" s="20" t="str">
        <f>IF('1. Yixian'!E203="","",IF('1. Yixian'!E203='2. Nayoung'!E203,1,0))</f>
        <v/>
      </c>
      <c r="F203" s="20" t="str">
        <f>IF('1. Yixian'!F203="","",IF('1. Yixian'!F203='2. Nayoung'!F203,1,0))</f>
        <v/>
      </c>
      <c r="G203" s="20" t="str">
        <f>IF('1. Yixian'!G203="","",IF('1. Yixian'!G203='2. Nayoung'!G203,1,0))</f>
        <v/>
      </c>
      <c r="H203" s="20">
        <f>IF('1. Yixian'!J203="","",IF(RIGHT('1. Yixian'!J203,3)=RIGHT('2. Nayoung'!J203,3),1,0))</f>
        <v>0</v>
      </c>
      <c r="I203" s="20">
        <f>IF(H203="","",IF(OR('2. Nayoung'!K203="", '1. Yixian'!K203 = ""),0,1))</f>
        <v>1</v>
      </c>
      <c r="J203" s="20">
        <f>IF('1. Yixian'!L203="","",IF('1. Yixian'!L203='2. Nayoung'!L203,1,0))</f>
        <v>1</v>
      </c>
      <c r="K203" s="20">
        <f>IF('1. Yixian'!M203="","",IF('1. Yixian'!M203='2. Nayoung'!M203,1,0))</f>
        <v>0</v>
      </c>
      <c r="L203" s="20">
        <f>IF('1. Yixian'!N203="","",IF('1. Yixian'!N203='2. Nayoung'!N203,1,0))</f>
        <v>1</v>
      </c>
      <c r="M203" s="20">
        <f>IF('1. Yixian'!O203="","",IF('1. Yixian'!O203='2. Nayoung'!O203,1,0))</f>
        <v>1</v>
      </c>
      <c r="N203" s="20">
        <f>IF('1. Yixian'!P203="","",IF('1. Yixian'!P203='2. Nayoung'!P203,1,0))</f>
        <v>1</v>
      </c>
      <c r="O203" s="20">
        <f>IF('1. Yixian'!Q203="","",IF('1. Yixian'!Q203='2. Nayoung'!Q203,1,0))</f>
        <v>1</v>
      </c>
      <c r="P203" s="20">
        <f>IF('1. Yixian'!R203="","",IF('1. Yixian'!R203='2. Nayoung'!R203,1,0))</f>
        <v>1</v>
      </c>
      <c r="Q203" s="20">
        <f>IF('1. Yixian'!S203="","",IF('1. Yixian'!S203='2. Nayoung'!S203,1,0))</f>
        <v>1</v>
      </c>
      <c r="R203" s="20">
        <f>IF('1. Yixian'!T203="","",IF('1. Yixian'!T203='2. Nayoung'!T203,1,0))</f>
        <v>0</v>
      </c>
      <c r="S203" s="20">
        <f>IF(R203="","",IF(OR('2. Nayoung'!U203="", '1. Yixian'!U203 = ""),0,1))</f>
        <v>1</v>
      </c>
      <c r="T203" s="20">
        <f>IF('1. Yixian'!V203="","",IF('1. Yixian'!V203='2. Nayoung'!V203,1,0))</f>
        <v>0</v>
      </c>
      <c r="U203" s="20" t="str">
        <f>IF('1. Yixian'!W203="","",IF('1. Yixian'!W203='2. Nayoung'!W203,1,0))</f>
        <v/>
      </c>
      <c r="V203" s="20">
        <f>IF('1. Yixian'!X203="","",IF('1. Yixian'!X203='2. Nayoung'!X203,1,0))</f>
        <v>1</v>
      </c>
      <c r="W203" s="20">
        <f>IF('1. Yixian'!Y203="","",IF('1. Yixian'!Y203='2. Nayoung'!Y203,1,0))</f>
        <v>1</v>
      </c>
      <c r="X203" s="20">
        <f>IF('1. Yixian'!Z203="","",IF('1. Yixian'!Z203='2. Nayoung'!Z203,1,0))</f>
        <v>1</v>
      </c>
      <c r="Y203" s="20">
        <f>IF('1. Yixian'!AA203="","",IF('1. Yixian'!AA203='2. Nayoung'!AA203,1,0))</f>
        <v>1</v>
      </c>
      <c r="Z203" s="20">
        <f>IF('1. Yixian'!AB203="","",IF('1. Yixian'!AB203='2. Nayoung'!AB203,1,0))</f>
        <v>1</v>
      </c>
      <c r="AA203" s="20">
        <f>IF('1. Yixian'!AC203="","",IF('1. Yixian'!AC203='2. Nayoung'!AC203,1,0))</f>
        <v>1</v>
      </c>
      <c r="AB203" s="20">
        <f>IF(OR('2. Nayoung'!AD202="", '1. Yixian'!AD203 = ""),0,1)</f>
        <v>1</v>
      </c>
      <c r="AC203" s="20">
        <f>IF('1. Yixian'!AE203="","",IF('1. Yixian'!AE203='2. Nayoung'!AE203,1,0))</f>
        <v>1</v>
      </c>
      <c r="AD203" s="20">
        <f>IF(OR('2. Nayoung'!AF202="", '1. Yixian'!AF203 = ""),0,1)</f>
        <v>1</v>
      </c>
      <c r="AF203" s="20">
        <f>IF('1. Yixian'!AH203="","",IF('1. Yixian'!AH203='2. Nayoung'!AH203,1,0))</f>
        <v>1</v>
      </c>
      <c r="AG203" s="20">
        <f>IF('1. Yixian'!AI203="","",IF('1. Yixian'!AI203='2. Nayoung'!AI203,1,0))</f>
        <v>1</v>
      </c>
      <c r="AH203" s="20">
        <f>IF('1. Yixian'!AJ203="","",IF('1. Yixian'!AJ203='2. Nayoung'!AJ203,1,0))</f>
        <v>1</v>
      </c>
      <c r="AI203" s="20">
        <f>IF('1. Yixian'!AK203="","",IF('1. Yixian'!AK203='2. Nayoung'!AK203,1,0))</f>
        <v>1</v>
      </c>
      <c r="AJ203" s="20">
        <f>IF('1. Yixian'!AL203="","",IF('1. Yixian'!AL203='2. Nayoung'!AL203,1,0))</f>
        <v>1</v>
      </c>
      <c r="AK203" s="20">
        <f>IF('1. Yixian'!AM203="","",IF('1. Yixian'!AM203='2. Nayoung'!AM203,1,0))</f>
        <v>1</v>
      </c>
      <c r="AL203" s="20" t="str">
        <f>IF('1. Yixian'!AT203="","",IF('1. Yixian'!AT203='2. Nayoung'!AT203,1,0))</f>
        <v/>
      </c>
      <c r="AM203" s="20" t="str">
        <f>IF('1. Yixian'!AU203="","",IF('1. Yixian'!AU203='2. Nayoung'!AU203,1,0))</f>
        <v/>
      </c>
      <c r="AN203" s="2"/>
    </row>
    <row r="204" spans="1:40" s="20" customFormat="1" ht="17" customHeight="1">
      <c r="A204" s="20" t="str">
        <f>IF('1. Yixian'!A204="","",IF('1. Yixian'!A204='2. Nayoung'!A204,1,0))</f>
        <v/>
      </c>
      <c r="B204" s="20" t="str">
        <f>IF('1. Yixian'!B204="","",IF(RIGHT('1. Yixian'!B204,2)=RIGHT('2. Nayoung'!B204,2),1,0))</f>
        <v/>
      </c>
      <c r="C204" s="20" t="str">
        <f>IF('1. Yixian'!C204="","",IF('1. Yixian'!C204='2. Nayoung'!C204,1,0))</f>
        <v/>
      </c>
      <c r="E204" s="20" t="str">
        <f>IF('1. Yixian'!E204="","",IF('1. Yixian'!E204='2. Nayoung'!E204,1,0))</f>
        <v/>
      </c>
      <c r="F204" s="20" t="str">
        <f>IF('1. Yixian'!F204="","",IF('1. Yixian'!F204='2. Nayoung'!F204,1,0))</f>
        <v/>
      </c>
      <c r="G204" s="20" t="str">
        <f>IF('1. Yixian'!G204="","",IF('1. Yixian'!G204='2. Nayoung'!G204,1,0))</f>
        <v/>
      </c>
      <c r="H204" s="20" t="str">
        <f>IF('1. Yixian'!J204="","",IF(RIGHT('1. Yixian'!J204,3)=RIGHT('2. Nayoung'!J204,3),1,0))</f>
        <v/>
      </c>
      <c r="I204" s="20" t="str">
        <f>IF(H204="","",IF(OR('2. Nayoung'!K204="", '1. Yixian'!K204 = ""),0,1))</f>
        <v/>
      </c>
      <c r="J204" s="20" t="str">
        <f>IF('1. Yixian'!L204="","",IF('1. Yixian'!L204='2. Nayoung'!L204,1,0))</f>
        <v/>
      </c>
      <c r="K204" s="20" t="str">
        <f>IF('1. Yixian'!M204="","",IF('1. Yixian'!M204='2. Nayoung'!M204,1,0))</f>
        <v/>
      </c>
      <c r="L204" s="20" t="str">
        <f>IF('1. Yixian'!N204="","",IF('1. Yixian'!N204='2. Nayoung'!N204,1,0))</f>
        <v/>
      </c>
      <c r="M204" s="20" t="str">
        <f>IF('1. Yixian'!O204="","",IF('1. Yixian'!O204='2. Nayoung'!O204,1,0))</f>
        <v/>
      </c>
      <c r="N204" s="20" t="str">
        <f>IF('1. Yixian'!P204="","",IF('1. Yixian'!P204='2. Nayoung'!P204,1,0))</f>
        <v/>
      </c>
      <c r="O204" s="20" t="str">
        <f>IF('1. Yixian'!Q204="","",IF('1. Yixian'!Q204='2. Nayoung'!Q204,1,0))</f>
        <v/>
      </c>
      <c r="P204" s="20" t="str">
        <f>IF('1. Yixian'!R204="","",IF('1. Yixian'!R204='2. Nayoung'!R204,1,0))</f>
        <v/>
      </c>
      <c r="Q204" s="20" t="str">
        <f>IF('1. Yixian'!S204="","",IF('1. Yixian'!S204='2. Nayoung'!S204,1,0))</f>
        <v/>
      </c>
      <c r="R204" s="20" t="str">
        <f>IF('1. Yixian'!T204="","",IF('1. Yixian'!T204='2. Nayoung'!T204,1,0))</f>
        <v/>
      </c>
      <c r="S204" s="20" t="str">
        <f>IF(R204="","",IF(OR('2. Nayoung'!U204="", '1. Yixian'!U204 = ""),0,1))</f>
        <v/>
      </c>
      <c r="T204" s="20" t="str">
        <f>IF('1. Yixian'!V204="","",IF('1. Yixian'!V204='2. Nayoung'!V204,1,0))</f>
        <v/>
      </c>
      <c r="U204" s="20" t="str">
        <f>IF('1. Yixian'!W204="","",IF('1. Yixian'!W204='2. Nayoung'!W204,1,0))</f>
        <v/>
      </c>
      <c r="V204" s="20" t="str">
        <f>IF('1. Yixian'!X204="","",IF('1. Yixian'!X204='2. Nayoung'!X204,1,0))</f>
        <v/>
      </c>
      <c r="W204" s="20" t="str">
        <f>IF('1. Yixian'!Y204="","",IF('1. Yixian'!Y204='2. Nayoung'!Y204,1,0))</f>
        <v/>
      </c>
      <c r="X204" s="20" t="str">
        <f>IF('1. Yixian'!Z204="","",IF('1. Yixian'!Z204='2. Nayoung'!Z204,1,0))</f>
        <v/>
      </c>
      <c r="Y204" s="20" t="str">
        <f>IF('1. Yixian'!AA204="","",IF('1. Yixian'!AA204='2. Nayoung'!AA204,1,0))</f>
        <v/>
      </c>
      <c r="Z204" s="20" t="str">
        <f>IF('1. Yixian'!AB204="","",IF('1. Yixian'!AB204='2. Nayoung'!AB204,1,0))</f>
        <v/>
      </c>
      <c r="AA204" s="20" t="str">
        <f>IF('1. Yixian'!AC204="","",IF('1. Yixian'!AC204='2. Nayoung'!AC204,1,0))</f>
        <v/>
      </c>
      <c r="AB204" s="20">
        <f>IF(OR('2. Nayoung'!AD203="", '1. Yixian'!AD204 = ""),0,1)</f>
        <v>1</v>
      </c>
      <c r="AC204" s="20">
        <f>IF('1. Yixian'!AE204="","",IF('1. Yixian'!AE204='2. Nayoung'!AE204,1,0))</f>
        <v>1</v>
      </c>
      <c r="AD204" s="20">
        <f>IF(OR('2. Nayoung'!AF203="", '1. Yixian'!AF204 = ""),0,1)</f>
        <v>1</v>
      </c>
      <c r="AF204" s="20">
        <f>IF('1. Yixian'!AH204="","",IF('1. Yixian'!AH204='2. Nayoung'!AH204,1,0))</f>
        <v>1</v>
      </c>
      <c r="AG204" s="20">
        <f>IF('1. Yixian'!AI204="","",IF('1. Yixian'!AI204='2. Nayoung'!AI204,1,0))</f>
        <v>1</v>
      </c>
      <c r="AH204" s="20">
        <f>IF('1. Yixian'!AJ204="","",IF('1. Yixian'!AJ204='2. Nayoung'!AJ204,1,0))</f>
        <v>1</v>
      </c>
      <c r="AI204" s="20">
        <f>IF('1. Yixian'!AK204="","",IF('1. Yixian'!AK204='2. Nayoung'!AK204,1,0))</f>
        <v>1</v>
      </c>
      <c r="AJ204" s="20">
        <f>IF('1. Yixian'!AL204="","",IF('1. Yixian'!AL204='2. Nayoung'!AL204,1,0))</f>
        <v>1</v>
      </c>
      <c r="AK204" s="20">
        <f>IF('1. Yixian'!AM204="","",IF('1. Yixian'!AM204='2. Nayoung'!AM204,1,0))</f>
        <v>1</v>
      </c>
      <c r="AL204" s="20" t="str">
        <f>IF('1. Yixian'!AT204="","",IF('1. Yixian'!AT204='2. Nayoung'!AT204,1,0))</f>
        <v/>
      </c>
      <c r="AM204" s="20" t="str">
        <f>IF('1. Yixian'!AU204="","",IF('1. Yixian'!AU204='2. Nayoung'!AU204,1,0))</f>
        <v/>
      </c>
      <c r="AN204" s="2"/>
    </row>
    <row r="205" spans="1:40" s="20" customFormat="1" ht="17" customHeight="1">
      <c r="A205" s="20" t="str">
        <f>IF('1. Yixian'!A205="","",IF('1. Yixian'!A205='2. Nayoung'!A205,1,0))</f>
        <v/>
      </c>
      <c r="B205" s="20" t="str">
        <f>IF('1. Yixian'!B205="","",IF(RIGHT('1. Yixian'!B205,2)=RIGHT('2. Nayoung'!B205,2),1,0))</f>
        <v/>
      </c>
      <c r="C205" s="20" t="str">
        <f>IF('1. Yixian'!C205="","",IF('1. Yixian'!C205='2. Nayoung'!C205,1,0))</f>
        <v/>
      </c>
      <c r="E205" s="20" t="str">
        <f>IF('1. Yixian'!E205="","",IF('1. Yixian'!E205='2. Nayoung'!E205,1,0))</f>
        <v/>
      </c>
      <c r="F205" s="20" t="str">
        <f>IF('1. Yixian'!F205="","",IF('1. Yixian'!F205='2. Nayoung'!F205,1,0))</f>
        <v/>
      </c>
      <c r="G205" s="20" t="str">
        <f>IF('1. Yixian'!G205="","",IF('1. Yixian'!G205='2. Nayoung'!G205,1,0))</f>
        <v/>
      </c>
      <c r="H205" s="20" t="str">
        <f>IF('1. Yixian'!J205="","",IF(RIGHT('1. Yixian'!J205,3)=RIGHT('2. Nayoung'!J205,3),1,0))</f>
        <v/>
      </c>
      <c r="I205" s="20" t="str">
        <f>IF(H205="","",IF(OR('2. Nayoung'!K205="", '1. Yixian'!K205 = ""),0,1))</f>
        <v/>
      </c>
      <c r="J205" s="20" t="str">
        <f>IF('1. Yixian'!L205="","",IF('1. Yixian'!L205='2. Nayoung'!L205,1,0))</f>
        <v/>
      </c>
      <c r="K205" s="20" t="str">
        <f>IF('1. Yixian'!M205="","",IF('1. Yixian'!M205='2. Nayoung'!M205,1,0))</f>
        <v/>
      </c>
      <c r="L205" s="20" t="str">
        <f>IF('1. Yixian'!N205="","",IF('1. Yixian'!N205='2. Nayoung'!N205,1,0))</f>
        <v/>
      </c>
      <c r="M205" s="20" t="str">
        <f>IF('1. Yixian'!O205="","",IF('1. Yixian'!O205='2. Nayoung'!O205,1,0))</f>
        <v/>
      </c>
      <c r="N205" s="20" t="str">
        <f>IF('1. Yixian'!P205="","",IF('1. Yixian'!P205='2. Nayoung'!P205,1,0))</f>
        <v/>
      </c>
      <c r="O205" s="20" t="str">
        <f>IF('1. Yixian'!Q205="","",IF('1. Yixian'!Q205='2. Nayoung'!Q205,1,0))</f>
        <v/>
      </c>
      <c r="P205" s="20" t="str">
        <f>IF('1. Yixian'!R205="","",IF('1. Yixian'!R205='2. Nayoung'!R205,1,0))</f>
        <v/>
      </c>
      <c r="Q205" s="20" t="str">
        <f>IF('1. Yixian'!S205="","",IF('1. Yixian'!S205='2. Nayoung'!S205,1,0))</f>
        <v/>
      </c>
      <c r="R205" s="20" t="str">
        <f>IF('1. Yixian'!T205="","",IF('1. Yixian'!T205='2. Nayoung'!T205,1,0))</f>
        <v/>
      </c>
      <c r="S205" s="20" t="str">
        <f>IF(R205="","",IF(OR('2. Nayoung'!U205="", '1. Yixian'!U205 = ""),0,1))</f>
        <v/>
      </c>
      <c r="T205" s="20" t="str">
        <f>IF('1. Yixian'!V205="","",IF('1. Yixian'!V205='2. Nayoung'!V205,1,0))</f>
        <v/>
      </c>
      <c r="U205" s="20" t="str">
        <f>IF('1. Yixian'!W205="","",IF('1. Yixian'!W205='2. Nayoung'!W205,1,0))</f>
        <v/>
      </c>
      <c r="V205" s="20" t="str">
        <f>IF('1. Yixian'!X205="","",IF('1. Yixian'!X205='2. Nayoung'!X205,1,0))</f>
        <v/>
      </c>
      <c r="W205" s="20" t="str">
        <f>IF('1. Yixian'!Y205="","",IF('1. Yixian'!Y205='2. Nayoung'!Y205,1,0))</f>
        <v/>
      </c>
      <c r="X205" s="20" t="str">
        <f>IF('1. Yixian'!Z205="","",IF('1. Yixian'!Z205='2. Nayoung'!Z205,1,0))</f>
        <v/>
      </c>
      <c r="Y205" s="20" t="str">
        <f>IF('1. Yixian'!AA205="","",IF('1. Yixian'!AA205='2. Nayoung'!AA205,1,0))</f>
        <v/>
      </c>
      <c r="Z205" s="20" t="str">
        <f>IF('1. Yixian'!AB205="","",IF('1. Yixian'!AB205='2. Nayoung'!AB205,1,0))</f>
        <v/>
      </c>
      <c r="AA205" s="20" t="str">
        <f>IF('1. Yixian'!AC205="","",IF('1. Yixian'!AC205='2. Nayoung'!AC205,1,0))</f>
        <v/>
      </c>
      <c r="AB205" s="20">
        <f>IF(OR('2. Nayoung'!AD204="", '1. Yixian'!AD205 = ""),0,1)</f>
        <v>1</v>
      </c>
      <c r="AC205" s="20">
        <f>IF('1. Yixian'!AE205="","",IF('1. Yixian'!AE205='2. Nayoung'!AE205,1,0))</f>
        <v>1</v>
      </c>
      <c r="AD205" s="20">
        <f>IF(OR('2. Nayoung'!AF204="", '1. Yixian'!AF205 = ""),0,1)</f>
        <v>1</v>
      </c>
      <c r="AF205" s="20">
        <f>IF('1. Yixian'!AH205="","",IF('1. Yixian'!AH205='2. Nayoung'!AH205,1,0))</f>
        <v>1</v>
      </c>
      <c r="AG205" s="20">
        <f>IF('1. Yixian'!AI205="","",IF('1. Yixian'!AI205='2. Nayoung'!AI205,1,0))</f>
        <v>1</v>
      </c>
      <c r="AH205" s="20">
        <f>IF('1. Yixian'!AJ205="","",IF('1. Yixian'!AJ205='2. Nayoung'!AJ205,1,0))</f>
        <v>1</v>
      </c>
      <c r="AI205" s="20">
        <f>IF('1. Yixian'!AK205="","",IF('1. Yixian'!AK205='2. Nayoung'!AK205,1,0))</f>
        <v>1</v>
      </c>
      <c r="AJ205" s="20">
        <f>IF('1. Yixian'!AL205="","",IF('1. Yixian'!AL205='2. Nayoung'!AL205,1,0))</f>
        <v>1</v>
      </c>
      <c r="AK205" s="20">
        <f>IF('1. Yixian'!AM205="","",IF('1. Yixian'!AM205='2. Nayoung'!AM205,1,0))</f>
        <v>1</v>
      </c>
      <c r="AL205" s="20" t="str">
        <f>IF('1. Yixian'!AT205="","",IF('1. Yixian'!AT205='2. Nayoung'!AT205,1,0))</f>
        <v/>
      </c>
      <c r="AM205" s="20" t="str">
        <f>IF('1. Yixian'!AU205="","",IF('1. Yixian'!AU205='2. Nayoung'!AU205,1,0))</f>
        <v/>
      </c>
      <c r="AN205" s="2"/>
    </row>
  </sheetData>
  <dataConsolidate/>
  <mergeCells count="7">
    <mergeCell ref="AF1:AK1"/>
    <mergeCell ref="A1:G1"/>
    <mergeCell ref="H1:Q1"/>
    <mergeCell ref="R1:T1"/>
    <mergeCell ref="U1:AA1"/>
    <mergeCell ref="AB1:AC1"/>
    <mergeCell ref="AE1:AE2"/>
  </mergeCells>
  <conditionalFormatting sqref="A2:C2 E2:Q2 U2:W2 AA2:AC2">
    <cfRule type="cellIs" dxfId="32" priority="12" operator="notEqual">
      <formula>#REF!</formula>
    </cfRule>
    <cfRule type="cellIs" dxfId="31" priority="13" operator="notEqual">
      <formula>#REF!+#REF!</formula>
    </cfRule>
  </conditionalFormatting>
  <conditionalFormatting sqref="A1:AC1 AF1:XFD2 A2:C2 E2:W2 AA2:AC2 A3:XFD1048576">
    <cfRule type="containsText" dxfId="30" priority="7" operator="containsText" text="0">
      <formula>NOT(ISERROR(SEARCH("0",A1)))</formula>
    </cfRule>
  </conditionalFormatting>
  <conditionalFormatting sqref="D2">
    <cfRule type="cellIs" dxfId="29" priority="3" operator="notEqual">
      <formula>#REF!</formula>
    </cfRule>
    <cfRule type="cellIs" dxfId="28" priority="4" operator="notEqual">
      <formula>#REF!+#REF!</formula>
    </cfRule>
  </conditionalFormatting>
  <conditionalFormatting sqref="X2:Z2">
    <cfRule type="cellIs" dxfId="27" priority="5" operator="notEqual">
      <formula>#REF!</formula>
    </cfRule>
    <cfRule type="cellIs" dxfId="26" priority="6" operator="notEqual">
      <formula>#REF!+#REF!</formula>
    </cfRule>
  </conditionalFormatting>
  <conditionalFormatting sqref="AE1 AD2">
    <cfRule type="cellIs" dxfId="25" priority="1" operator="notEqual">
      <formula>#REF!</formula>
    </cfRule>
    <cfRule type="cellIs" dxfId="24" priority="2" operator="notEqual">
      <formula>#REF!+#REF!</formula>
    </cfRule>
  </conditionalFormatting>
  <conditionalFormatting sqref="AI2:AM2">
    <cfRule type="cellIs" dxfId="23" priority="8" operator="notEqual">
      <formula>#REF!</formula>
    </cfRule>
    <cfRule type="cellIs" dxfId="22" priority="9" operator="notEqual">
      <formula>#REF!+#REF!</formula>
    </cfRule>
  </conditionalFormatting>
  <dataValidations count="12">
    <dataValidation type="list" allowBlank="1" showInputMessage="1" showErrorMessage="1" sqref="F206:F1048576" xr:uid="{6FCC6AB3-3212-9848-BFBD-EA687ED022B2}">
      <formula1>" 0 = peer reviewed paper,   1 = disseration,   2 = report/chapter/others"</formula1>
    </dataValidation>
    <dataValidation type="list" allowBlank="1" showInputMessage="1" showErrorMessage="1" sqref="G206:G1048576" xr:uid="{E9713301-4852-3E4A-A40D-37DC7FA1E60F}">
      <formula1>" 0 = RCT,   1 = QED with matched group  "</formula1>
    </dataValidation>
    <dataValidation type="list" allowBlank="1" showInputMessage="1" showErrorMessage="1" sqref="V206:V1048576" xr:uid="{91F944F2-D0A1-A341-856E-929DC357AC78}">
      <formula1>"BAU, NA, 0 = classroom/ large group,  1 = small group (3–7 students),  2 = individual  (1–2 students)"</formula1>
    </dataValidation>
    <dataValidation type="list" allowBlank="1" showInputMessage="1" showErrorMessage="1" sqref="W206:W1048576" xr:uid="{7D2B32AE-C60D-5647-A5CB-F6F023B9F213}">
      <formula1>"BAU, NA, 0 = Research Staff,  1 = School Staff,  2 =  CAI,  3 = 50% T and 50% R"</formula1>
    </dataValidation>
    <dataValidation type="list" allowBlank="1" showInputMessage="1" showErrorMessage="1" sqref="U206:V1048576" xr:uid="{EBEBDF77-B99A-7F47-949E-36B0455FE87A}">
      <formula1>"BAU, 0 = No / Not reported,  1 = Yes (Including CAI)"</formula1>
    </dataValidation>
    <dataValidation type="list" allowBlank="1" showInputMessage="1" showErrorMessage="1" sqref="AA206:AA1048576" xr:uid="{E946A633-40F2-AF41-96D9-4735E9F0D63A}">
      <formula1>"BAU, 0 = Not reported , 1 = Reported"</formula1>
    </dataValidation>
    <dataValidation type="list" allowBlank="1" showInputMessage="1" showErrorMessage="1" sqref="AC206:AC1048576" xr:uid="{EEEB5529-41DB-F448-AF93-D32CBA967F5C}">
      <formula1>"0 = NO - Not standardized,  1 = YES - standardized"</formula1>
    </dataValidation>
    <dataValidation type="list" allowBlank="1" showInputMessage="1" showErrorMessage="1" sqref="AL206:AL1048576" xr:uid="{C75F54E0-1145-214F-B3CE-6D4E87CB5912}">
      <formula1>"cohen's d,  Hedges' g,  T test,  F test , z score,  Other types"</formula1>
    </dataValidation>
    <dataValidation type="list" allowBlank="1" showInputMessage="1" showErrorMessage="1" sqref="AM206:AM1048576" xr:uid="{4A55ABAA-3ACB-5342-BEFB-E809FD4FC0C7}">
      <formula1>"0,1,2,3,4,5"</formula1>
    </dataValidation>
    <dataValidation type="list" allowBlank="1" showInputMessage="1" showErrorMessage="1" sqref="R206:R1048576" xr:uid="{5235F92C-9F1F-274C-A504-A582AD1007E5}">
      <formula1>"BAU, AC (other area),... ,c = code-based,  m = meaning-based, cm = combined coding + meaning "</formula1>
    </dataValidation>
    <dataValidation type="list" allowBlank="1" showInputMessage="1" showErrorMessage="1" sqref="T206:T1048576" xr:uid="{C23C9E61-91A2-BB44-A2DF-2B4566213A20}">
      <formula1>"0 = Researcher-developed curriculum,   1 = Published or Commercially available curriculum,  2 = District/State curriculum, 3 = NA or Cannot determine  "</formula1>
    </dataValidation>
    <dataValidation type="list" allowBlank="1" showInputMessage="1" showErrorMessage="1" sqref="E206:E1048576" xr:uid="{5CCCA2F9-B9D7-E94D-BB0E-C5FBFB70955C}">
      <formula1>"0=School Environment, 1=After school Program"</formula1>
    </dataValidation>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98B7-D815-214F-BB24-5A54DE661DA4}">
  <dimension ref="A1:AR206"/>
  <sheetViews>
    <sheetView zoomScaleNormal="125" workbookViewId="0">
      <pane xSplit="9" ySplit="2" topLeftCell="J3" activePane="bottomRight" state="frozen"/>
      <selection pane="topRight" activeCell="H1" sqref="H1"/>
      <selection pane="bottomLeft" activeCell="A3" sqref="A3"/>
      <selection pane="bottomRight" activeCell="J215" sqref="J215"/>
    </sheetView>
  </sheetViews>
  <sheetFormatPr baseColWidth="10" defaultColWidth="11.5" defaultRowHeight="15"/>
  <cols>
    <col min="1" max="1" width="17.83203125" style="11" customWidth="1"/>
    <col min="2" max="2" width="6.1640625" style="11" customWidth="1"/>
    <col min="3" max="4" width="6" style="11" customWidth="1"/>
    <col min="5" max="5" width="5.5" style="11" customWidth="1"/>
    <col min="6" max="6" width="4.5" style="11" customWidth="1"/>
    <col min="7" max="7" width="7.33203125" style="11" customWidth="1"/>
    <col min="8" max="8" width="9.33203125" style="11" customWidth="1"/>
    <col min="9" max="9" width="12.6640625" style="11" customWidth="1"/>
    <col min="10" max="10" width="11.5" style="11"/>
    <col min="11" max="11" width="11.5" style="17"/>
    <col min="12" max="12" width="14.33203125" style="17" customWidth="1"/>
    <col min="13" max="17" width="9.83203125" style="17" customWidth="1"/>
    <col min="18" max="18" width="15.6640625" style="11" customWidth="1"/>
    <col min="19" max="19" width="10.33203125" style="12" customWidth="1"/>
    <col min="20" max="20" width="16.33203125" style="11" customWidth="1"/>
    <col min="21" max="21" width="11.5" style="11"/>
    <col min="22" max="22" width="13.83203125" style="11" customWidth="1"/>
    <col min="23" max="23" width="16.5" style="11" customWidth="1"/>
    <col min="24" max="25" width="13" style="11" customWidth="1"/>
    <col min="26" max="26" width="13.5" style="11" customWidth="1"/>
    <col min="27" max="27" width="11.5" style="11"/>
    <col min="28" max="28" width="20.1640625" style="11" customWidth="1"/>
    <col min="29" max="29" width="12.5" style="11" customWidth="1"/>
    <col min="30" max="31" width="18.33203125" style="11" customWidth="1"/>
    <col min="32" max="34" width="12.33203125" style="11" customWidth="1"/>
    <col min="35" max="37" width="11.5" style="11"/>
    <col min="38" max="38" width="13.83203125" style="11" customWidth="1"/>
    <col min="39" max="39" width="20" style="11" customWidth="1"/>
    <col min="40" max="40" width="23.83203125" style="1" customWidth="1"/>
    <col min="41" max="41" width="11.5" style="11"/>
    <col min="42" max="43" width="11.5" style="52"/>
    <col min="44" max="16384" width="11.5" style="11"/>
  </cols>
  <sheetData>
    <row r="1" spans="1:44" ht="21" customHeight="1">
      <c r="A1" s="354" t="s">
        <v>0</v>
      </c>
      <c r="B1" s="354"/>
      <c r="C1" s="354"/>
      <c r="D1" s="354"/>
      <c r="E1" s="354"/>
      <c r="F1" s="354"/>
      <c r="G1" s="354"/>
      <c r="H1" s="355" t="s">
        <v>1</v>
      </c>
      <c r="I1" s="355"/>
      <c r="J1" s="355"/>
      <c r="K1" s="355"/>
      <c r="L1" s="355"/>
      <c r="M1" s="355"/>
      <c r="N1" s="355"/>
      <c r="O1" s="355"/>
      <c r="P1" s="355"/>
      <c r="Q1" s="355"/>
      <c r="R1" s="356" t="s">
        <v>2</v>
      </c>
      <c r="S1" s="356"/>
      <c r="T1" s="356"/>
      <c r="U1" s="357" t="s">
        <v>3</v>
      </c>
      <c r="V1" s="357"/>
      <c r="W1" s="357"/>
      <c r="X1" s="357"/>
      <c r="Y1" s="357"/>
      <c r="Z1" s="357"/>
      <c r="AA1" s="357"/>
      <c r="AB1" s="353" t="s">
        <v>4</v>
      </c>
      <c r="AC1" s="353"/>
      <c r="AD1" s="57"/>
      <c r="AE1" s="346" t="s">
        <v>451</v>
      </c>
      <c r="AF1" s="353" t="s">
        <v>5</v>
      </c>
      <c r="AG1" s="353"/>
      <c r="AH1" s="353"/>
      <c r="AI1" s="353"/>
      <c r="AJ1" s="353"/>
      <c r="AK1" s="353"/>
      <c r="AL1" s="14" t="s">
        <v>6</v>
      </c>
      <c r="AM1" s="14" t="s">
        <v>7</v>
      </c>
    </row>
    <row r="2" spans="1:44" ht="38" customHeight="1">
      <c r="A2" s="4" t="s">
        <v>10</v>
      </c>
      <c r="B2" s="4" t="s">
        <v>11</v>
      </c>
      <c r="C2" s="4" t="s">
        <v>12</v>
      </c>
      <c r="D2" s="159" t="s">
        <v>452</v>
      </c>
      <c r="E2" s="5" t="s">
        <v>13</v>
      </c>
      <c r="F2" s="5" t="s">
        <v>14</v>
      </c>
      <c r="G2" s="5" t="s">
        <v>15</v>
      </c>
      <c r="H2" s="6" t="s">
        <v>16</v>
      </c>
      <c r="I2" s="6" t="s">
        <v>17</v>
      </c>
      <c r="J2" s="6" t="s">
        <v>18</v>
      </c>
      <c r="K2" s="16" t="s">
        <v>19</v>
      </c>
      <c r="L2" s="6" t="s">
        <v>20</v>
      </c>
      <c r="M2" s="3" t="s">
        <v>21</v>
      </c>
      <c r="N2" s="3" t="s">
        <v>22</v>
      </c>
      <c r="O2" s="3" t="s">
        <v>23</v>
      </c>
      <c r="P2" s="3" t="s">
        <v>24</v>
      </c>
      <c r="Q2" s="3" t="s">
        <v>25</v>
      </c>
      <c r="R2" s="36" t="s">
        <v>26</v>
      </c>
      <c r="S2" s="37" t="s">
        <v>27</v>
      </c>
      <c r="T2" s="35" t="s">
        <v>28</v>
      </c>
      <c r="U2" s="8" t="s">
        <v>29</v>
      </c>
      <c r="V2" s="8" t="s">
        <v>30</v>
      </c>
      <c r="W2" s="8" t="s">
        <v>31</v>
      </c>
      <c r="X2" s="9" t="s">
        <v>32</v>
      </c>
      <c r="Y2" s="9" t="s">
        <v>445</v>
      </c>
      <c r="Z2" s="9" t="s">
        <v>33</v>
      </c>
      <c r="AA2" s="8" t="s">
        <v>34</v>
      </c>
      <c r="AB2" s="4" t="s">
        <v>35</v>
      </c>
      <c r="AC2" s="5" t="s">
        <v>36</v>
      </c>
      <c r="AD2" s="115" t="s">
        <v>453</v>
      </c>
      <c r="AE2" s="347"/>
      <c r="AF2" s="7" t="s">
        <v>38</v>
      </c>
      <c r="AG2" s="7" t="s">
        <v>39</v>
      </c>
      <c r="AH2" s="7" t="s">
        <v>40</v>
      </c>
      <c r="AI2" s="10" t="s">
        <v>41</v>
      </c>
      <c r="AJ2" s="10" t="s">
        <v>42</v>
      </c>
      <c r="AK2" s="10" t="s">
        <v>43</v>
      </c>
      <c r="AL2" s="15" t="s">
        <v>44</v>
      </c>
      <c r="AM2" s="15" t="s">
        <v>45</v>
      </c>
    </row>
    <row r="3" spans="1:44" s="20" customFormat="1" ht="17" customHeight="1">
      <c r="A3" s="53">
        <v>1</v>
      </c>
      <c r="B3" s="53">
        <v>1</v>
      </c>
      <c r="C3" s="53">
        <v>1</v>
      </c>
      <c r="D3" s="53"/>
      <c r="E3" s="53">
        <v>1</v>
      </c>
      <c r="F3" s="53">
        <v>1</v>
      </c>
      <c r="G3" s="53">
        <v>1</v>
      </c>
      <c r="H3" s="53">
        <v>1</v>
      </c>
      <c r="I3" s="53">
        <v>1</v>
      </c>
      <c r="J3" s="53">
        <v>1</v>
      </c>
      <c r="K3" s="20">
        <v>0</v>
      </c>
      <c r="L3" s="53">
        <v>1</v>
      </c>
      <c r="M3" s="53">
        <v>1</v>
      </c>
      <c r="N3" s="53">
        <v>1</v>
      </c>
      <c r="O3" s="53">
        <v>1</v>
      </c>
      <c r="P3" s="53">
        <v>1</v>
      </c>
      <c r="Q3" s="53">
        <v>1</v>
      </c>
      <c r="R3" s="54">
        <v>1</v>
      </c>
      <c r="S3" s="54">
        <v>1</v>
      </c>
      <c r="T3" s="53">
        <v>1</v>
      </c>
      <c r="U3" s="53">
        <v>1</v>
      </c>
      <c r="V3" s="53">
        <v>1</v>
      </c>
      <c r="W3" s="53">
        <v>1</v>
      </c>
      <c r="X3" s="53">
        <v>1</v>
      </c>
      <c r="Z3" s="53">
        <v>1</v>
      </c>
      <c r="AA3" s="53">
        <v>1</v>
      </c>
      <c r="AB3" s="53">
        <v>1</v>
      </c>
      <c r="AC3" s="53">
        <v>1</v>
      </c>
      <c r="AD3" s="53">
        <v>1</v>
      </c>
      <c r="AE3" s="53"/>
      <c r="AF3" s="53">
        <v>1</v>
      </c>
      <c r="AG3" s="53">
        <v>1</v>
      </c>
      <c r="AH3" s="53">
        <v>1</v>
      </c>
      <c r="AI3" s="53">
        <v>1</v>
      </c>
      <c r="AJ3" s="53">
        <v>1</v>
      </c>
      <c r="AK3" s="53">
        <v>1</v>
      </c>
      <c r="AL3" s="53">
        <v>1</v>
      </c>
      <c r="AM3" s="53">
        <v>1</v>
      </c>
      <c r="AN3" s="2" t="s">
        <v>128</v>
      </c>
      <c r="AO3" s="20" t="s">
        <v>129</v>
      </c>
      <c r="AP3" s="20" t="s">
        <v>130</v>
      </c>
      <c r="AQ3" s="20" t="s">
        <v>131</v>
      </c>
      <c r="AR3" s="55" t="s">
        <v>132</v>
      </c>
    </row>
    <row r="4" spans="1:44" s="20" customFormat="1" ht="17" customHeight="1">
      <c r="A4" s="53"/>
      <c r="B4" s="53"/>
      <c r="C4" s="53"/>
      <c r="D4" s="53"/>
      <c r="E4" s="53"/>
      <c r="F4" s="53"/>
      <c r="G4" s="53"/>
      <c r="H4" s="53">
        <v>1</v>
      </c>
      <c r="I4" s="53">
        <v>1</v>
      </c>
      <c r="J4" s="53">
        <v>1</v>
      </c>
      <c r="K4" s="53">
        <v>1</v>
      </c>
      <c r="L4" s="53">
        <v>1</v>
      </c>
      <c r="M4" s="53">
        <v>1</v>
      </c>
      <c r="N4" s="53">
        <v>1</v>
      </c>
      <c r="O4" s="53">
        <v>1</v>
      </c>
      <c r="P4" s="53">
        <v>1</v>
      </c>
      <c r="Q4" s="53">
        <v>1</v>
      </c>
      <c r="R4" s="53">
        <v>1</v>
      </c>
      <c r="S4" s="54">
        <v>1</v>
      </c>
      <c r="T4" s="53">
        <v>1</v>
      </c>
      <c r="U4" s="53">
        <v>1</v>
      </c>
      <c r="V4" s="53">
        <v>1</v>
      </c>
      <c r="W4" s="53">
        <v>1</v>
      </c>
      <c r="X4" s="53">
        <v>1</v>
      </c>
      <c r="Z4" s="53">
        <v>1</v>
      </c>
      <c r="AA4" s="53">
        <v>1</v>
      </c>
      <c r="AB4" s="53">
        <v>1</v>
      </c>
      <c r="AC4" s="53">
        <v>1</v>
      </c>
      <c r="AD4" s="53">
        <v>1</v>
      </c>
      <c r="AE4" s="53"/>
      <c r="AF4" s="53">
        <v>1</v>
      </c>
      <c r="AG4" s="53">
        <v>1</v>
      </c>
      <c r="AH4" s="53">
        <v>1</v>
      </c>
      <c r="AI4" s="53">
        <v>1</v>
      </c>
      <c r="AJ4" s="53">
        <v>1</v>
      </c>
      <c r="AK4" s="53">
        <v>1</v>
      </c>
      <c r="AL4" s="53">
        <v>1</v>
      </c>
      <c r="AM4" s="53">
        <v>1</v>
      </c>
      <c r="AN4" s="2" t="s">
        <v>133</v>
      </c>
      <c r="AO4" s="20" t="s">
        <v>134</v>
      </c>
      <c r="AP4" s="54">
        <f>SUM(A3:G22)</f>
        <v>30</v>
      </c>
      <c r="AQ4" s="54">
        <f>COUNT(A3:G22)</f>
        <v>30</v>
      </c>
      <c r="AR4" s="55">
        <f>AP4/AQ4</f>
        <v>1</v>
      </c>
    </row>
    <row r="5" spans="1:44" s="20" customFormat="1" ht="17" customHeight="1">
      <c r="A5" s="53">
        <v>1</v>
      </c>
      <c r="B5" s="53">
        <v>1</v>
      </c>
      <c r="C5" s="53">
        <v>1</v>
      </c>
      <c r="D5" s="53"/>
      <c r="E5" s="53">
        <v>1</v>
      </c>
      <c r="F5" s="53">
        <v>1</v>
      </c>
      <c r="G5" s="53">
        <v>1</v>
      </c>
      <c r="H5" s="53">
        <v>1</v>
      </c>
      <c r="I5" s="53">
        <v>1</v>
      </c>
      <c r="J5" s="53">
        <v>1</v>
      </c>
      <c r="K5" s="53">
        <v>1</v>
      </c>
      <c r="L5" s="53">
        <v>1</v>
      </c>
      <c r="M5" s="53">
        <v>1</v>
      </c>
      <c r="N5" s="53">
        <v>1</v>
      </c>
      <c r="O5" s="53">
        <v>1</v>
      </c>
      <c r="P5" s="53">
        <v>1</v>
      </c>
      <c r="Q5" s="53">
        <v>1</v>
      </c>
      <c r="R5" s="54">
        <v>0</v>
      </c>
      <c r="S5" s="54">
        <v>1</v>
      </c>
      <c r="T5" s="53">
        <v>1</v>
      </c>
      <c r="U5" s="53">
        <v>1</v>
      </c>
      <c r="V5" s="53">
        <v>1</v>
      </c>
      <c r="W5" s="53">
        <v>1</v>
      </c>
      <c r="X5" s="53">
        <v>1</v>
      </c>
      <c r="Z5" s="53">
        <v>1</v>
      </c>
      <c r="AA5" s="53">
        <v>1</v>
      </c>
      <c r="AB5" s="53">
        <v>1</v>
      </c>
      <c r="AC5" s="53">
        <v>1</v>
      </c>
      <c r="AD5" s="53">
        <v>1</v>
      </c>
      <c r="AE5" s="53"/>
      <c r="AF5" s="53">
        <v>1</v>
      </c>
      <c r="AG5" s="53">
        <v>1</v>
      </c>
      <c r="AH5" s="53">
        <v>1</v>
      </c>
      <c r="AI5" s="53">
        <v>1</v>
      </c>
      <c r="AJ5" s="53">
        <v>1</v>
      </c>
      <c r="AK5" s="53">
        <v>1</v>
      </c>
      <c r="AL5" s="53">
        <v>1</v>
      </c>
      <c r="AM5" s="53">
        <v>1</v>
      </c>
      <c r="AN5" s="2" t="s">
        <v>135</v>
      </c>
      <c r="AO5" s="20" t="s">
        <v>136</v>
      </c>
      <c r="AP5" s="54">
        <f>SUM(H3:Q22)</f>
        <v>133</v>
      </c>
      <c r="AQ5" s="20">
        <f>COUNT(H3:Q22)</f>
        <v>140</v>
      </c>
      <c r="AR5" s="55">
        <f>AP5/AQ5</f>
        <v>0.95</v>
      </c>
    </row>
    <row r="6" spans="1:44" s="20" customFormat="1" ht="17" customHeight="1">
      <c r="A6" s="53"/>
      <c r="B6" s="53"/>
      <c r="C6" s="53"/>
      <c r="D6" s="53"/>
      <c r="E6" s="53"/>
      <c r="F6" s="53"/>
      <c r="G6" s="53"/>
      <c r="H6" s="53" t="s">
        <v>137</v>
      </c>
      <c r="I6" s="53" t="s">
        <v>137</v>
      </c>
      <c r="J6" s="53" t="s">
        <v>137</v>
      </c>
      <c r="K6" s="53" t="s">
        <v>137</v>
      </c>
      <c r="L6" s="53" t="s">
        <v>137</v>
      </c>
      <c r="M6" s="53" t="s">
        <v>137</v>
      </c>
      <c r="N6" s="53" t="s">
        <v>137</v>
      </c>
      <c r="O6" s="53" t="s">
        <v>137</v>
      </c>
      <c r="P6" s="53" t="s">
        <v>137</v>
      </c>
      <c r="Q6" s="53" t="s">
        <v>137</v>
      </c>
      <c r="R6" s="53" t="s">
        <v>137</v>
      </c>
      <c r="S6" s="54" t="s">
        <v>137</v>
      </c>
      <c r="T6" s="53" t="s">
        <v>137</v>
      </c>
      <c r="U6" s="53" t="s">
        <v>137</v>
      </c>
      <c r="V6" s="53" t="s">
        <v>137</v>
      </c>
      <c r="W6" s="53" t="s">
        <v>137</v>
      </c>
      <c r="X6" s="53" t="s">
        <v>137</v>
      </c>
      <c r="Z6" s="53" t="s">
        <v>137</v>
      </c>
      <c r="AA6" s="53" t="s">
        <v>137</v>
      </c>
      <c r="AB6" s="53">
        <v>1</v>
      </c>
      <c r="AC6" s="53">
        <v>1</v>
      </c>
      <c r="AD6" s="53">
        <v>1</v>
      </c>
      <c r="AE6" s="53"/>
      <c r="AF6" s="53">
        <v>1</v>
      </c>
      <c r="AG6" s="53">
        <v>1</v>
      </c>
      <c r="AH6" s="53">
        <v>1</v>
      </c>
      <c r="AI6" s="53">
        <v>1</v>
      </c>
      <c r="AJ6" s="53">
        <v>1</v>
      </c>
      <c r="AK6" s="53">
        <v>1</v>
      </c>
      <c r="AL6" s="53">
        <v>1</v>
      </c>
      <c r="AM6" s="53">
        <v>1</v>
      </c>
      <c r="AN6" s="2" t="s">
        <v>138</v>
      </c>
      <c r="AO6" s="20" t="s">
        <v>139</v>
      </c>
      <c r="AP6" s="54">
        <f>SUM(R3:AA22)</f>
        <v>109</v>
      </c>
      <c r="AQ6" s="20">
        <f>COUNT(R3:AA22)</f>
        <v>127</v>
      </c>
      <c r="AR6" s="55">
        <f>AP6/AQ6</f>
        <v>0.8582677165354331</v>
      </c>
    </row>
    <row r="7" spans="1:44" s="20" customFormat="1" ht="17" customHeight="1">
      <c r="A7" s="53"/>
      <c r="B7" s="53"/>
      <c r="C7" s="53"/>
      <c r="D7" s="53"/>
      <c r="E7" s="53"/>
      <c r="F7" s="53"/>
      <c r="G7" s="53"/>
      <c r="H7" s="53">
        <v>1</v>
      </c>
      <c r="I7" s="53">
        <v>1</v>
      </c>
      <c r="J7" s="53">
        <v>1</v>
      </c>
      <c r="K7" s="53">
        <v>1</v>
      </c>
      <c r="L7" s="53">
        <v>1</v>
      </c>
      <c r="M7" s="53">
        <v>1</v>
      </c>
      <c r="N7" s="53">
        <v>1</v>
      </c>
      <c r="O7" s="53">
        <v>1</v>
      </c>
      <c r="P7" s="53">
        <v>1</v>
      </c>
      <c r="Q7" s="53">
        <v>1</v>
      </c>
      <c r="R7" s="54">
        <v>0</v>
      </c>
      <c r="S7" s="54">
        <v>1</v>
      </c>
      <c r="T7" s="53">
        <v>1</v>
      </c>
      <c r="U7" s="53">
        <v>1</v>
      </c>
      <c r="V7" s="53">
        <v>1</v>
      </c>
      <c r="W7" s="53">
        <v>1</v>
      </c>
      <c r="X7" s="53">
        <v>1</v>
      </c>
      <c r="Z7" s="53">
        <v>1</v>
      </c>
      <c r="AA7" s="53">
        <v>1</v>
      </c>
      <c r="AB7" s="53">
        <v>1</v>
      </c>
      <c r="AC7" s="53">
        <v>1</v>
      </c>
      <c r="AD7" s="53">
        <v>1</v>
      </c>
      <c r="AE7" s="53"/>
      <c r="AF7" s="53">
        <v>1</v>
      </c>
      <c r="AG7" s="53">
        <v>1</v>
      </c>
      <c r="AH7" s="53">
        <v>1</v>
      </c>
      <c r="AI7" s="53">
        <v>1</v>
      </c>
      <c r="AJ7" s="53">
        <v>1</v>
      </c>
      <c r="AK7" s="53">
        <v>1</v>
      </c>
      <c r="AL7" s="53">
        <v>1</v>
      </c>
      <c r="AM7" s="53">
        <v>1</v>
      </c>
      <c r="AN7" s="2" t="s">
        <v>140</v>
      </c>
      <c r="AO7" s="20" t="s">
        <v>141</v>
      </c>
      <c r="AP7" s="54">
        <f>SUM(AB3:AM22)</f>
        <v>217</v>
      </c>
      <c r="AQ7" s="20">
        <f>COUNT(AB3:AM22)</f>
        <v>220</v>
      </c>
      <c r="AR7" s="55">
        <f>AP7/AQ7</f>
        <v>0.98636363636363633</v>
      </c>
    </row>
    <row r="8" spans="1:44" s="20" customFormat="1" ht="17" customHeight="1">
      <c r="A8" s="53"/>
      <c r="B8" s="53"/>
      <c r="C8" s="53"/>
      <c r="D8" s="53"/>
      <c r="E8" s="53"/>
      <c r="F8" s="53"/>
      <c r="G8" s="53"/>
      <c r="H8" s="53" t="s">
        <v>137</v>
      </c>
      <c r="I8" s="53" t="s">
        <v>137</v>
      </c>
      <c r="J8" s="53" t="s">
        <v>137</v>
      </c>
      <c r="K8" s="53" t="s">
        <v>137</v>
      </c>
      <c r="L8" s="53" t="s">
        <v>137</v>
      </c>
      <c r="M8" s="53" t="s">
        <v>137</v>
      </c>
      <c r="N8" s="53" t="s">
        <v>137</v>
      </c>
      <c r="O8" s="53" t="s">
        <v>137</v>
      </c>
      <c r="P8" s="53" t="s">
        <v>137</v>
      </c>
      <c r="Q8" s="53" t="s">
        <v>137</v>
      </c>
      <c r="R8" s="53" t="s">
        <v>137</v>
      </c>
      <c r="S8" s="54" t="s">
        <v>137</v>
      </c>
      <c r="T8" s="53" t="s">
        <v>137</v>
      </c>
      <c r="U8" s="53" t="s">
        <v>137</v>
      </c>
      <c r="V8" s="53" t="s">
        <v>137</v>
      </c>
      <c r="W8" s="53" t="s">
        <v>137</v>
      </c>
      <c r="X8" s="53" t="s">
        <v>137</v>
      </c>
      <c r="Z8" s="53" t="s">
        <v>137</v>
      </c>
      <c r="AA8" s="53" t="s">
        <v>137</v>
      </c>
      <c r="AB8" s="53">
        <v>1</v>
      </c>
      <c r="AC8" s="53">
        <v>1</v>
      </c>
      <c r="AD8" s="53">
        <v>1</v>
      </c>
      <c r="AE8" s="53"/>
      <c r="AF8" s="53">
        <v>1</v>
      </c>
      <c r="AG8" s="53">
        <v>1</v>
      </c>
      <c r="AH8" s="53">
        <v>1</v>
      </c>
      <c r="AI8" s="53">
        <v>1</v>
      </c>
      <c r="AJ8" s="53">
        <v>1</v>
      </c>
      <c r="AK8" s="53">
        <v>1</v>
      </c>
      <c r="AL8" s="53">
        <v>1</v>
      </c>
      <c r="AM8" s="53">
        <v>1</v>
      </c>
      <c r="AN8" s="2"/>
      <c r="AR8" s="55"/>
    </row>
    <row r="9" spans="1:44" s="20" customFormat="1" ht="17" customHeight="1">
      <c r="A9" s="53"/>
      <c r="B9" s="53"/>
      <c r="C9" s="53"/>
      <c r="D9" s="53"/>
      <c r="E9" s="53"/>
      <c r="F9" s="53"/>
      <c r="G9" s="53"/>
      <c r="H9" s="53">
        <v>1</v>
      </c>
      <c r="I9" s="53">
        <v>1</v>
      </c>
      <c r="J9" s="53">
        <v>1</v>
      </c>
      <c r="K9" s="53">
        <v>1</v>
      </c>
      <c r="L9" s="53">
        <v>1</v>
      </c>
      <c r="M9" s="53">
        <v>1</v>
      </c>
      <c r="N9" s="53">
        <v>1</v>
      </c>
      <c r="O9" s="53">
        <v>1</v>
      </c>
      <c r="P9" s="53">
        <v>1</v>
      </c>
      <c r="Q9" s="53">
        <v>1</v>
      </c>
      <c r="R9" s="53">
        <v>1</v>
      </c>
      <c r="S9" s="54">
        <v>1</v>
      </c>
      <c r="T9" s="53">
        <v>1</v>
      </c>
      <c r="U9" s="53">
        <v>1</v>
      </c>
      <c r="V9" s="53">
        <v>1</v>
      </c>
      <c r="W9" s="53">
        <v>1</v>
      </c>
      <c r="X9" s="53">
        <v>1</v>
      </c>
      <c r="Z9" s="53">
        <v>1</v>
      </c>
      <c r="AA9" s="53">
        <v>1</v>
      </c>
      <c r="AB9" s="53">
        <v>1</v>
      </c>
      <c r="AC9" s="53">
        <v>1</v>
      </c>
      <c r="AD9" s="53">
        <v>1</v>
      </c>
      <c r="AE9" s="53"/>
      <c r="AF9" s="53">
        <v>1</v>
      </c>
      <c r="AG9" s="53">
        <v>1</v>
      </c>
      <c r="AH9" s="53">
        <v>1</v>
      </c>
      <c r="AI9" s="53">
        <v>1</v>
      </c>
      <c r="AJ9" s="53">
        <v>1</v>
      </c>
      <c r="AK9" s="53">
        <v>1</v>
      </c>
      <c r="AL9" s="53">
        <v>1</v>
      </c>
      <c r="AM9" s="53">
        <v>1</v>
      </c>
      <c r="AN9" s="2" t="s">
        <v>142</v>
      </c>
      <c r="AO9" s="20" t="s">
        <v>143</v>
      </c>
      <c r="AP9" s="54">
        <f>SUM(A3:AM22)</f>
        <v>489</v>
      </c>
      <c r="AQ9" s="20">
        <f>COUNT(A3:AM22)</f>
        <v>517</v>
      </c>
      <c r="AR9" s="55">
        <f>AP9/AQ9</f>
        <v>0.9458413926499033</v>
      </c>
    </row>
    <row r="10" spans="1:44" s="20" customFormat="1" ht="17" customHeight="1">
      <c r="A10" s="53"/>
      <c r="B10" s="53"/>
      <c r="C10" s="53"/>
      <c r="D10" s="53"/>
      <c r="E10" s="53"/>
      <c r="F10" s="53"/>
      <c r="G10" s="53"/>
      <c r="H10" s="53" t="s">
        <v>137</v>
      </c>
      <c r="I10" s="53" t="s">
        <v>137</v>
      </c>
      <c r="J10" s="53" t="s">
        <v>137</v>
      </c>
      <c r="K10" s="53"/>
      <c r="L10" s="53" t="s">
        <v>137</v>
      </c>
      <c r="M10" s="53" t="s">
        <v>137</v>
      </c>
      <c r="N10" s="53" t="s">
        <v>137</v>
      </c>
      <c r="O10" s="53" t="s">
        <v>137</v>
      </c>
      <c r="P10" s="53" t="s">
        <v>137</v>
      </c>
      <c r="Q10" s="53" t="s">
        <v>137</v>
      </c>
      <c r="R10" s="53" t="s">
        <v>137</v>
      </c>
      <c r="S10" s="54" t="s">
        <v>137</v>
      </c>
      <c r="T10" s="53" t="s">
        <v>137</v>
      </c>
      <c r="U10" s="53" t="s">
        <v>137</v>
      </c>
      <c r="V10" s="53" t="s">
        <v>137</v>
      </c>
      <c r="W10" s="53" t="s">
        <v>137</v>
      </c>
      <c r="X10" s="53" t="s">
        <v>137</v>
      </c>
      <c r="Z10" s="53" t="s">
        <v>137</v>
      </c>
      <c r="AA10" s="53" t="s">
        <v>137</v>
      </c>
      <c r="AB10" s="53">
        <v>1</v>
      </c>
      <c r="AC10" s="53">
        <v>1</v>
      </c>
      <c r="AD10" s="53">
        <v>1</v>
      </c>
      <c r="AE10" s="53"/>
      <c r="AF10" s="53">
        <v>1</v>
      </c>
      <c r="AG10" s="53">
        <v>1</v>
      </c>
      <c r="AH10" s="53">
        <v>1</v>
      </c>
      <c r="AI10" s="53">
        <v>1</v>
      </c>
      <c r="AJ10" s="53">
        <v>1</v>
      </c>
      <c r="AK10" s="53">
        <v>1</v>
      </c>
      <c r="AL10" s="53">
        <v>1</v>
      </c>
      <c r="AM10" s="53">
        <v>1</v>
      </c>
      <c r="AN10" s="2" t="s">
        <v>144</v>
      </c>
      <c r="AP10" s="54">
        <f>SUM(AP4:AP7)</f>
        <v>489</v>
      </c>
      <c r="AQ10" s="54">
        <f>SUM(AQ4:AQ7)</f>
        <v>517</v>
      </c>
      <c r="AR10" s="55">
        <f>AP10/AQ10</f>
        <v>0.9458413926499033</v>
      </c>
    </row>
    <row r="11" spans="1:44" s="20" customFormat="1" ht="17" customHeight="1">
      <c r="A11" s="53">
        <v>1</v>
      </c>
      <c r="B11" s="53">
        <v>1</v>
      </c>
      <c r="C11" s="53">
        <v>1</v>
      </c>
      <c r="D11" s="53"/>
      <c r="E11" s="53">
        <v>1</v>
      </c>
      <c r="F11" s="53">
        <v>1</v>
      </c>
      <c r="G11" s="53">
        <v>1</v>
      </c>
      <c r="H11" s="53">
        <v>1</v>
      </c>
      <c r="I11" s="53">
        <v>1</v>
      </c>
      <c r="J11" s="53">
        <v>1</v>
      </c>
      <c r="K11" s="53">
        <v>1</v>
      </c>
      <c r="L11" s="53">
        <v>1</v>
      </c>
      <c r="M11" s="53">
        <v>1</v>
      </c>
      <c r="N11" s="20">
        <v>0</v>
      </c>
      <c r="O11" s="53">
        <v>1</v>
      </c>
      <c r="P11" s="53">
        <v>1</v>
      </c>
      <c r="Q11" s="53">
        <v>1</v>
      </c>
      <c r="R11" s="56">
        <v>1</v>
      </c>
      <c r="S11" s="54">
        <v>1</v>
      </c>
      <c r="T11" s="53">
        <v>1</v>
      </c>
      <c r="U11" s="53">
        <v>1</v>
      </c>
      <c r="V11" s="53">
        <v>1</v>
      </c>
      <c r="W11" s="53">
        <v>1</v>
      </c>
      <c r="X11" s="53">
        <v>0</v>
      </c>
      <c r="Z11" s="53">
        <v>0</v>
      </c>
      <c r="AA11" s="53">
        <v>1</v>
      </c>
      <c r="AB11" s="53">
        <v>1</v>
      </c>
      <c r="AC11" s="53">
        <v>1</v>
      </c>
      <c r="AD11" s="53">
        <v>1</v>
      </c>
      <c r="AE11" s="53"/>
      <c r="AF11" s="53">
        <v>1</v>
      </c>
      <c r="AG11" s="53">
        <v>1</v>
      </c>
      <c r="AH11" s="53">
        <v>1</v>
      </c>
      <c r="AI11" s="53">
        <v>1</v>
      </c>
      <c r="AJ11" s="53">
        <v>1</v>
      </c>
      <c r="AK11" s="53">
        <v>1</v>
      </c>
      <c r="AL11" s="53">
        <v>1</v>
      </c>
      <c r="AM11" s="53">
        <v>1</v>
      </c>
      <c r="AN11" s="2"/>
      <c r="AP11" s="55"/>
      <c r="AQ11" s="55"/>
    </row>
    <row r="12" spans="1:44" s="20" customFormat="1" ht="17" customHeight="1">
      <c r="A12" s="53"/>
      <c r="B12" s="53"/>
      <c r="C12" s="53"/>
      <c r="D12" s="53"/>
      <c r="E12" s="53"/>
      <c r="F12" s="53"/>
      <c r="G12" s="53"/>
      <c r="H12" s="53">
        <v>1</v>
      </c>
      <c r="I12" s="53">
        <v>1</v>
      </c>
      <c r="J12" s="53">
        <v>1</v>
      </c>
      <c r="K12" s="53">
        <v>1</v>
      </c>
      <c r="L12" s="53">
        <v>1</v>
      </c>
      <c r="M12" s="53">
        <v>1</v>
      </c>
      <c r="N12" s="20">
        <v>0</v>
      </c>
      <c r="O12" s="53">
        <v>1</v>
      </c>
      <c r="P12" s="53">
        <v>1</v>
      </c>
      <c r="Q12" s="53">
        <v>1</v>
      </c>
      <c r="R12" s="53">
        <v>1</v>
      </c>
      <c r="S12" s="54">
        <v>1</v>
      </c>
      <c r="T12" s="53">
        <v>1</v>
      </c>
      <c r="U12" s="53">
        <v>1</v>
      </c>
      <c r="V12" s="53">
        <v>1</v>
      </c>
      <c r="W12" s="53">
        <v>1</v>
      </c>
      <c r="X12" s="53">
        <v>1</v>
      </c>
      <c r="Z12" s="53">
        <v>1</v>
      </c>
      <c r="AA12" s="53">
        <v>1</v>
      </c>
      <c r="AB12" s="53">
        <v>1</v>
      </c>
      <c r="AC12" s="53">
        <v>1</v>
      </c>
      <c r="AD12" s="53">
        <v>1</v>
      </c>
      <c r="AE12" s="53"/>
      <c r="AF12" s="53">
        <v>1</v>
      </c>
      <c r="AG12" s="53">
        <v>1</v>
      </c>
      <c r="AH12" s="53">
        <v>1</v>
      </c>
      <c r="AI12" s="53">
        <v>1</v>
      </c>
      <c r="AJ12" s="53">
        <v>1</v>
      </c>
      <c r="AK12" s="53">
        <v>1</v>
      </c>
      <c r="AL12" s="53">
        <v>1</v>
      </c>
      <c r="AM12" s="53">
        <v>1</v>
      </c>
      <c r="AN12" s="2"/>
      <c r="AP12" s="55"/>
      <c r="AQ12" s="55"/>
    </row>
    <row r="13" spans="1:44" s="20" customFormat="1" ht="17" customHeight="1">
      <c r="A13" s="53"/>
      <c r="B13" s="53"/>
      <c r="C13" s="53"/>
      <c r="D13" s="53"/>
      <c r="E13" s="53"/>
      <c r="F13" s="53"/>
      <c r="G13" s="53"/>
      <c r="H13" s="53">
        <v>1</v>
      </c>
      <c r="I13" s="53">
        <v>1</v>
      </c>
      <c r="J13" s="53">
        <v>1</v>
      </c>
      <c r="K13" s="53">
        <v>1</v>
      </c>
      <c r="L13" s="53">
        <v>1</v>
      </c>
      <c r="M13" s="53">
        <v>1</v>
      </c>
      <c r="N13" s="20">
        <v>0</v>
      </c>
      <c r="O13" s="53">
        <v>1</v>
      </c>
      <c r="P13" s="53">
        <v>1</v>
      </c>
      <c r="Q13" s="53">
        <v>1</v>
      </c>
      <c r="R13" s="53">
        <v>1</v>
      </c>
      <c r="S13" s="54">
        <v>1</v>
      </c>
      <c r="T13" s="53">
        <v>0</v>
      </c>
      <c r="U13" s="53">
        <v>1</v>
      </c>
      <c r="V13" s="53">
        <v>1</v>
      </c>
      <c r="W13" s="53">
        <v>1</v>
      </c>
      <c r="X13" s="53">
        <v>1</v>
      </c>
      <c r="Z13" s="53">
        <v>1</v>
      </c>
      <c r="AA13" s="53">
        <v>1</v>
      </c>
      <c r="AB13" s="53">
        <v>1</v>
      </c>
      <c r="AC13" s="53">
        <v>1</v>
      </c>
      <c r="AD13" s="53">
        <v>1</v>
      </c>
      <c r="AE13" s="53"/>
      <c r="AF13" s="53">
        <v>1</v>
      </c>
      <c r="AG13" s="53">
        <v>1</v>
      </c>
      <c r="AH13" s="53">
        <v>1</v>
      </c>
      <c r="AI13" s="53">
        <v>1</v>
      </c>
      <c r="AJ13" s="53">
        <v>1</v>
      </c>
      <c r="AK13" s="53">
        <v>1</v>
      </c>
      <c r="AL13" s="53">
        <v>1</v>
      </c>
      <c r="AM13" s="53">
        <v>1</v>
      </c>
      <c r="AN13" s="2"/>
      <c r="AP13" s="55"/>
      <c r="AQ13" s="55"/>
    </row>
    <row r="14" spans="1:44" s="20" customFormat="1" ht="17" customHeight="1">
      <c r="A14" s="53">
        <v>1</v>
      </c>
      <c r="B14" s="53">
        <v>1</v>
      </c>
      <c r="C14" s="53">
        <v>1</v>
      </c>
      <c r="D14" s="53"/>
      <c r="E14" s="53">
        <v>1</v>
      </c>
      <c r="F14" s="53">
        <v>1</v>
      </c>
      <c r="G14" s="53">
        <v>1</v>
      </c>
      <c r="H14" s="53">
        <v>1</v>
      </c>
      <c r="I14" s="53">
        <v>1</v>
      </c>
      <c r="J14" s="53">
        <v>1</v>
      </c>
      <c r="K14" s="53">
        <v>1</v>
      </c>
      <c r="L14" s="53">
        <v>1</v>
      </c>
      <c r="M14" s="53">
        <v>1</v>
      </c>
      <c r="N14" s="53">
        <v>1</v>
      </c>
      <c r="O14" s="53">
        <v>1</v>
      </c>
      <c r="P14" s="53">
        <v>1</v>
      </c>
      <c r="Q14" s="53">
        <v>1</v>
      </c>
      <c r="R14" s="53">
        <v>1</v>
      </c>
      <c r="S14" s="54">
        <v>1</v>
      </c>
      <c r="T14" s="53">
        <v>1</v>
      </c>
      <c r="U14" s="53">
        <v>1</v>
      </c>
      <c r="V14" s="53">
        <v>0</v>
      </c>
      <c r="W14" s="53">
        <v>0</v>
      </c>
      <c r="X14" s="53">
        <v>1</v>
      </c>
      <c r="Z14" s="53">
        <v>1</v>
      </c>
      <c r="AA14" s="53">
        <v>1</v>
      </c>
      <c r="AB14" s="53">
        <v>1</v>
      </c>
      <c r="AC14" s="53">
        <v>1</v>
      </c>
      <c r="AD14" s="53">
        <v>1</v>
      </c>
      <c r="AE14" s="53"/>
      <c r="AF14" s="53">
        <v>1</v>
      </c>
      <c r="AG14" s="53">
        <v>1</v>
      </c>
      <c r="AH14" s="53">
        <v>1</v>
      </c>
      <c r="AI14" s="53">
        <v>1</v>
      </c>
      <c r="AJ14" s="53">
        <v>1</v>
      </c>
      <c r="AK14" s="53">
        <v>1</v>
      </c>
      <c r="AL14" s="53">
        <v>1</v>
      </c>
      <c r="AM14" s="53">
        <v>1</v>
      </c>
      <c r="AN14" s="2"/>
      <c r="AP14" s="55"/>
      <c r="AQ14" s="55"/>
    </row>
    <row r="15" spans="1:44" s="20" customFormat="1" ht="17" customHeight="1">
      <c r="A15" s="53" t="s">
        <v>137</v>
      </c>
      <c r="B15" s="53" t="s">
        <v>137</v>
      </c>
      <c r="C15" s="53" t="s">
        <v>137</v>
      </c>
      <c r="D15" s="53"/>
      <c r="E15" s="53" t="s">
        <v>137</v>
      </c>
      <c r="F15" s="53" t="s">
        <v>137</v>
      </c>
      <c r="G15" s="53"/>
      <c r="H15" s="53" t="s">
        <v>137</v>
      </c>
      <c r="I15" s="53" t="s">
        <v>137</v>
      </c>
      <c r="J15" s="53" t="s">
        <v>137</v>
      </c>
      <c r="K15" s="53" t="s">
        <v>137</v>
      </c>
      <c r="L15" s="53" t="s">
        <v>137</v>
      </c>
      <c r="M15" s="53" t="s">
        <v>137</v>
      </c>
      <c r="N15" s="53" t="s">
        <v>137</v>
      </c>
      <c r="O15" s="53" t="s">
        <v>137</v>
      </c>
      <c r="P15" s="53" t="s">
        <v>137</v>
      </c>
      <c r="Q15" s="53" t="s">
        <v>137</v>
      </c>
      <c r="R15" s="53" t="s">
        <v>137</v>
      </c>
      <c r="S15" s="54" t="s">
        <v>137</v>
      </c>
      <c r="T15" s="53" t="s">
        <v>137</v>
      </c>
      <c r="U15" s="53" t="s">
        <v>137</v>
      </c>
      <c r="V15" s="53" t="s">
        <v>137</v>
      </c>
      <c r="W15" s="53" t="s">
        <v>137</v>
      </c>
      <c r="X15" s="53" t="s">
        <v>137</v>
      </c>
      <c r="Z15" s="53" t="s">
        <v>137</v>
      </c>
      <c r="AA15" s="53" t="s">
        <v>137</v>
      </c>
      <c r="AB15" s="53">
        <v>1</v>
      </c>
      <c r="AC15" s="53">
        <v>1</v>
      </c>
      <c r="AD15" s="53">
        <v>1</v>
      </c>
      <c r="AE15" s="53"/>
      <c r="AF15" s="53">
        <v>1</v>
      </c>
      <c r="AG15" s="53">
        <v>1</v>
      </c>
      <c r="AH15" s="53">
        <v>1</v>
      </c>
      <c r="AI15" s="53">
        <v>1</v>
      </c>
      <c r="AJ15" s="53">
        <v>1</v>
      </c>
      <c r="AK15" s="53">
        <v>1</v>
      </c>
      <c r="AL15" s="53">
        <v>1</v>
      </c>
      <c r="AM15" s="53">
        <v>1</v>
      </c>
      <c r="AN15" s="2"/>
      <c r="AP15" s="55"/>
      <c r="AQ15" s="55"/>
    </row>
    <row r="16" spans="1:44" s="20" customFormat="1" ht="17" customHeight="1">
      <c r="A16" s="53" t="s">
        <v>137</v>
      </c>
      <c r="B16" s="53" t="s">
        <v>137</v>
      </c>
      <c r="C16" s="53" t="s">
        <v>137</v>
      </c>
      <c r="D16" s="53"/>
      <c r="E16" s="53" t="s">
        <v>137</v>
      </c>
      <c r="F16" s="53" t="s">
        <v>137</v>
      </c>
      <c r="G16" s="53"/>
      <c r="H16" s="53">
        <v>1</v>
      </c>
      <c r="I16" s="53">
        <v>1</v>
      </c>
      <c r="J16" s="53">
        <v>1</v>
      </c>
      <c r="K16" s="53">
        <v>1</v>
      </c>
      <c r="L16" s="53">
        <v>1</v>
      </c>
      <c r="M16" s="53">
        <v>1</v>
      </c>
      <c r="N16" s="53">
        <v>1</v>
      </c>
      <c r="O16" s="53">
        <v>1</v>
      </c>
      <c r="P16" s="53">
        <v>1</v>
      </c>
      <c r="Q16" s="53">
        <v>1</v>
      </c>
      <c r="R16" s="53">
        <v>1</v>
      </c>
      <c r="S16" s="54">
        <v>1</v>
      </c>
      <c r="T16" s="53">
        <v>1</v>
      </c>
      <c r="U16" s="53">
        <v>1</v>
      </c>
      <c r="V16" s="53">
        <v>0</v>
      </c>
      <c r="W16" s="53">
        <v>1</v>
      </c>
      <c r="X16" s="53">
        <v>1</v>
      </c>
      <c r="Z16" s="53">
        <v>1</v>
      </c>
      <c r="AA16" s="53">
        <v>1</v>
      </c>
      <c r="AB16" s="53">
        <v>1</v>
      </c>
      <c r="AC16" s="53">
        <v>1</v>
      </c>
      <c r="AD16" s="53">
        <v>1</v>
      </c>
      <c r="AE16" s="53"/>
      <c r="AF16" s="53">
        <v>1</v>
      </c>
      <c r="AG16" s="53">
        <v>1</v>
      </c>
      <c r="AH16" s="53">
        <v>1</v>
      </c>
      <c r="AI16" s="53">
        <v>1</v>
      </c>
      <c r="AJ16" s="53">
        <v>1</v>
      </c>
      <c r="AK16" s="53">
        <v>1</v>
      </c>
      <c r="AL16" s="53">
        <v>1</v>
      </c>
      <c r="AM16" s="53">
        <v>1</v>
      </c>
      <c r="AN16" s="2"/>
      <c r="AP16" s="55"/>
      <c r="AQ16" s="55"/>
    </row>
    <row r="17" spans="1:44" s="20" customFormat="1" ht="17" customHeight="1">
      <c r="A17" s="53" t="s">
        <v>137</v>
      </c>
      <c r="B17" s="53" t="s">
        <v>137</v>
      </c>
      <c r="C17" s="53" t="s">
        <v>137</v>
      </c>
      <c r="D17" s="53"/>
      <c r="E17" s="53" t="s">
        <v>137</v>
      </c>
      <c r="F17" s="53" t="s">
        <v>137</v>
      </c>
      <c r="G17" s="53"/>
      <c r="H17" s="53" t="s">
        <v>137</v>
      </c>
      <c r="I17" s="53" t="s">
        <v>137</v>
      </c>
      <c r="J17" s="53" t="s">
        <v>137</v>
      </c>
      <c r="K17" s="53" t="s">
        <v>137</v>
      </c>
      <c r="L17" s="53" t="s">
        <v>137</v>
      </c>
      <c r="M17" s="53" t="s">
        <v>137</v>
      </c>
      <c r="N17" s="53" t="s">
        <v>137</v>
      </c>
      <c r="O17" s="53" t="s">
        <v>137</v>
      </c>
      <c r="P17" s="53" t="s">
        <v>137</v>
      </c>
      <c r="Q17" s="53" t="s">
        <v>137</v>
      </c>
      <c r="R17" s="53" t="s">
        <v>137</v>
      </c>
      <c r="S17" s="54" t="s">
        <v>137</v>
      </c>
      <c r="T17" s="53" t="s">
        <v>137</v>
      </c>
      <c r="U17" s="53" t="s">
        <v>137</v>
      </c>
      <c r="V17" s="53" t="s">
        <v>137</v>
      </c>
      <c r="W17" s="53" t="s">
        <v>137</v>
      </c>
      <c r="X17" s="53" t="s">
        <v>137</v>
      </c>
      <c r="Z17" s="53" t="s">
        <v>137</v>
      </c>
      <c r="AA17" s="53" t="s">
        <v>137</v>
      </c>
      <c r="AB17" s="53">
        <v>1</v>
      </c>
      <c r="AC17" s="53">
        <v>1</v>
      </c>
      <c r="AD17" s="53">
        <v>1</v>
      </c>
      <c r="AE17" s="53"/>
      <c r="AF17" s="53">
        <v>1</v>
      </c>
      <c r="AG17" s="53">
        <v>1</v>
      </c>
      <c r="AH17" s="53">
        <v>1</v>
      </c>
      <c r="AI17" s="53">
        <v>1</v>
      </c>
      <c r="AJ17" s="53">
        <v>1</v>
      </c>
      <c r="AK17" s="53">
        <v>1</v>
      </c>
      <c r="AL17" s="53">
        <v>1</v>
      </c>
      <c r="AM17" s="53">
        <v>1</v>
      </c>
      <c r="AN17" s="2"/>
      <c r="AP17" s="55"/>
      <c r="AQ17" s="55"/>
    </row>
    <row r="18" spans="1:44" s="20" customFormat="1" ht="17" customHeight="1">
      <c r="A18" s="53" t="s">
        <v>137</v>
      </c>
      <c r="B18" s="53" t="s">
        <v>137</v>
      </c>
      <c r="C18" s="53" t="s">
        <v>137</v>
      </c>
      <c r="D18" s="53"/>
      <c r="E18" s="53" t="s">
        <v>137</v>
      </c>
      <c r="F18" s="53" t="s">
        <v>137</v>
      </c>
      <c r="G18" s="53" t="s">
        <v>137</v>
      </c>
      <c r="H18" s="53">
        <v>1</v>
      </c>
      <c r="I18" s="53">
        <v>1</v>
      </c>
      <c r="J18" s="53">
        <v>1</v>
      </c>
      <c r="K18" s="53">
        <v>1</v>
      </c>
      <c r="L18" s="53">
        <v>1</v>
      </c>
      <c r="M18" s="53">
        <v>1</v>
      </c>
      <c r="N18" s="53">
        <v>1</v>
      </c>
      <c r="O18" s="53">
        <v>1</v>
      </c>
      <c r="P18" s="53">
        <v>1</v>
      </c>
      <c r="Q18" s="53">
        <v>1</v>
      </c>
      <c r="R18" s="53">
        <v>0</v>
      </c>
      <c r="S18" s="54">
        <v>1</v>
      </c>
      <c r="T18" s="53">
        <v>0</v>
      </c>
      <c r="U18" s="53">
        <v>0</v>
      </c>
      <c r="V18" s="53">
        <v>0</v>
      </c>
      <c r="W18" s="53">
        <v>1</v>
      </c>
      <c r="X18" s="53">
        <v>1</v>
      </c>
      <c r="Z18" s="53">
        <v>1</v>
      </c>
      <c r="AA18" s="53">
        <v>1</v>
      </c>
      <c r="AB18" s="53">
        <v>1</v>
      </c>
      <c r="AC18" s="53">
        <v>1</v>
      </c>
      <c r="AD18" s="53">
        <v>1</v>
      </c>
      <c r="AE18" s="53"/>
      <c r="AF18" s="53">
        <v>1</v>
      </c>
      <c r="AG18" s="53">
        <v>1</v>
      </c>
      <c r="AH18" s="53">
        <v>1</v>
      </c>
      <c r="AI18" s="53">
        <v>1</v>
      </c>
      <c r="AJ18" s="53">
        <v>1</v>
      </c>
      <c r="AK18" s="53">
        <v>1</v>
      </c>
      <c r="AL18" s="53">
        <v>1</v>
      </c>
      <c r="AM18" s="53">
        <v>1</v>
      </c>
      <c r="AN18" s="2"/>
      <c r="AP18" s="55"/>
      <c r="AQ18" s="55"/>
    </row>
    <row r="19" spans="1:44" s="20" customFormat="1" ht="17" customHeight="1">
      <c r="A19" s="53" t="s">
        <v>137</v>
      </c>
      <c r="B19" s="53" t="s">
        <v>137</v>
      </c>
      <c r="C19" s="53" t="s">
        <v>137</v>
      </c>
      <c r="D19" s="53"/>
      <c r="E19" s="53" t="s">
        <v>137</v>
      </c>
      <c r="F19" s="53" t="s">
        <v>137</v>
      </c>
      <c r="G19" s="53" t="s">
        <v>137</v>
      </c>
      <c r="H19" s="53" t="s">
        <v>137</v>
      </c>
      <c r="I19" s="53" t="s">
        <v>137</v>
      </c>
      <c r="J19" s="53" t="s">
        <v>137</v>
      </c>
      <c r="K19" s="53" t="s">
        <v>137</v>
      </c>
      <c r="L19" s="53" t="s">
        <v>137</v>
      </c>
      <c r="M19" s="53" t="s">
        <v>137</v>
      </c>
      <c r="N19" s="53" t="s">
        <v>137</v>
      </c>
      <c r="O19" s="53" t="s">
        <v>137</v>
      </c>
      <c r="P19" s="53" t="s">
        <v>137</v>
      </c>
      <c r="Q19" s="53" t="s">
        <v>137</v>
      </c>
      <c r="R19" s="53" t="s">
        <v>137</v>
      </c>
      <c r="S19" s="54" t="s">
        <v>137</v>
      </c>
      <c r="T19" s="53" t="s">
        <v>137</v>
      </c>
      <c r="U19" s="53" t="s">
        <v>137</v>
      </c>
      <c r="V19" s="53" t="s">
        <v>137</v>
      </c>
      <c r="W19" s="20">
        <v>1</v>
      </c>
      <c r="X19" s="53" t="s">
        <v>137</v>
      </c>
      <c r="Z19" s="53" t="s">
        <v>137</v>
      </c>
      <c r="AA19" s="53" t="s">
        <v>137</v>
      </c>
      <c r="AB19" s="53">
        <v>1</v>
      </c>
      <c r="AC19" s="53">
        <v>1</v>
      </c>
      <c r="AD19" s="53">
        <v>1</v>
      </c>
      <c r="AE19" s="53"/>
      <c r="AF19" s="53">
        <v>1</v>
      </c>
      <c r="AG19" s="53">
        <v>1</v>
      </c>
      <c r="AH19" s="53">
        <v>1</v>
      </c>
      <c r="AI19" s="53">
        <v>1</v>
      </c>
      <c r="AJ19" s="53">
        <v>1</v>
      </c>
      <c r="AK19" s="53">
        <v>1</v>
      </c>
      <c r="AL19" s="53">
        <v>1</v>
      </c>
      <c r="AM19" s="53">
        <v>1</v>
      </c>
      <c r="AN19" s="2"/>
      <c r="AP19" s="55"/>
      <c r="AQ19" s="55"/>
    </row>
    <row r="20" spans="1:44" s="20" customFormat="1" ht="17" customHeight="1">
      <c r="A20" s="53">
        <v>1</v>
      </c>
      <c r="B20" s="53">
        <v>1</v>
      </c>
      <c r="C20" s="53">
        <v>1</v>
      </c>
      <c r="D20" s="53"/>
      <c r="E20" s="53">
        <v>1</v>
      </c>
      <c r="F20" s="53">
        <v>1</v>
      </c>
      <c r="G20" s="53">
        <v>1</v>
      </c>
      <c r="H20" s="53">
        <v>1</v>
      </c>
      <c r="I20" s="53">
        <v>1</v>
      </c>
      <c r="J20" s="53">
        <v>1</v>
      </c>
      <c r="K20" s="53">
        <v>1</v>
      </c>
      <c r="L20" s="53">
        <v>1</v>
      </c>
      <c r="M20" s="53">
        <v>1</v>
      </c>
      <c r="N20" s="53">
        <v>1</v>
      </c>
      <c r="O20" s="20">
        <v>0</v>
      </c>
      <c r="P20" s="53">
        <v>1</v>
      </c>
      <c r="Q20" s="53">
        <v>1</v>
      </c>
      <c r="R20" s="53">
        <v>1</v>
      </c>
      <c r="S20" s="54">
        <v>1</v>
      </c>
      <c r="T20" s="53">
        <v>1</v>
      </c>
      <c r="U20" s="53">
        <v>1</v>
      </c>
      <c r="V20" s="53">
        <v>1</v>
      </c>
      <c r="W20" s="20">
        <v>0</v>
      </c>
      <c r="X20" s="53">
        <v>1</v>
      </c>
      <c r="Z20" s="53">
        <v>1</v>
      </c>
      <c r="AA20" s="53">
        <v>0</v>
      </c>
      <c r="AB20" s="53">
        <v>1</v>
      </c>
      <c r="AC20" s="53">
        <v>0</v>
      </c>
      <c r="AD20" s="53">
        <v>1</v>
      </c>
      <c r="AE20" s="53"/>
      <c r="AF20" s="53">
        <v>1</v>
      </c>
      <c r="AG20" s="53">
        <v>1</v>
      </c>
      <c r="AH20" s="53">
        <v>1</v>
      </c>
      <c r="AI20" s="53">
        <v>1</v>
      </c>
      <c r="AJ20" s="53">
        <v>1</v>
      </c>
      <c r="AK20" s="53">
        <v>1</v>
      </c>
      <c r="AL20" s="53">
        <v>1</v>
      </c>
      <c r="AM20" s="53">
        <v>1</v>
      </c>
      <c r="AN20" s="2"/>
      <c r="AP20" s="55"/>
      <c r="AQ20" s="55"/>
    </row>
    <row r="21" spans="1:44" s="20" customFormat="1" ht="17" customHeight="1">
      <c r="A21" s="53" t="s">
        <v>137</v>
      </c>
      <c r="B21" s="53" t="s">
        <v>137</v>
      </c>
      <c r="C21" s="53" t="s">
        <v>137</v>
      </c>
      <c r="D21" s="53"/>
      <c r="E21" s="53" t="s">
        <v>137</v>
      </c>
      <c r="F21" s="53" t="s">
        <v>137</v>
      </c>
      <c r="G21" s="53" t="s">
        <v>137</v>
      </c>
      <c r="H21" s="53">
        <v>1</v>
      </c>
      <c r="I21" s="53">
        <v>1</v>
      </c>
      <c r="J21" s="53">
        <v>1</v>
      </c>
      <c r="K21" s="53">
        <v>1</v>
      </c>
      <c r="L21" s="53">
        <v>1</v>
      </c>
      <c r="M21" s="53">
        <v>1</v>
      </c>
      <c r="N21" s="53">
        <v>1</v>
      </c>
      <c r="O21" s="20">
        <v>0</v>
      </c>
      <c r="P21" s="53">
        <v>1</v>
      </c>
      <c r="Q21" s="53">
        <v>1</v>
      </c>
      <c r="R21" s="53">
        <v>1</v>
      </c>
      <c r="S21" s="54">
        <v>1</v>
      </c>
      <c r="T21" s="53">
        <v>1</v>
      </c>
      <c r="U21" s="53">
        <v>1</v>
      </c>
      <c r="V21" s="53">
        <v>1</v>
      </c>
      <c r="W21" s="20">
        <v>0</v>
      </c>
      <c r="X21" s="53">
        <v>1</v>
      </c>
      <c r="Z21" s="53">
        <v>1</v>
      </c>
      <c r="AA21" s="53">
        <v>0</v>
      </c>
      <c r="AB21" s="53">
        <v>1</v>
      </c>
      <c r="AC21" s="53">
        <v>0</v>
      </c>
      <c r="AD21" s="53">
        <v>1</v>
      </c>
      <c r="AE21" s="53"/>
      <c r="AF21" s="53">
        <v>1</v>
      </c>
      <c r="AG21" s="53">
        <v>1</v>
      </c>
      <c r="AH21" s="53">
        <v>1</v>
      </c>
      <c r="AI21" s="53">
        <v>1</v>
      </c>
      <c r="AJ21" s="53">
        <v>1</v>
      </c>
      <c r="AK21" s="53">
        <v>1</v>
      </c>
      <c r="AL21" s="53">
        <v>1</v>
      </c>
      <c r="AM21" s="53">
        <v>1</v>
      </c>
      <c r="AN21" s="2"/>
      <c r="AP21" s="55"/>
      <c r="AQ21" s="55"/>
    </row>
    <row r="22" spans="1:44" s="66" customFormat="1" ht="17" customHeight="1" thickBot="1">
      <c r="A22" s="65" t="s">
        <v>137</v>
      </c>
      <c r="B22" s="65" t="s">
        <v>137</v>
      </c>
      <c r="C22" s="65" t="s">
        <v>137</v>
      </c>
      <c r="D22" s="65"/>
      <c r="E22" s="65" t="s">
        <v>137</v>
      </c>
      <c r="F22" s="65" t="s">
        <v>137</v>
      </c>
      <c r="G22" s="65" t="s">
        <v>137</v>
      </c>
      <c r="H22" s="65">
        <v>1</v>
      </c>
      <c r="I22" s="65">
        <v>1</v>
      </c>
      <c r="J22" s="65">
        <v>1</v>
      </c>
      <c r="K22" s="65">
        <v>1</v>
      </c>
      <c r="L22" s="65">
        <v>1</v>
      </c>
      <c r="M22" s="65">
        <v>1</v>
      </c>
      <c r="N22" s="65">
        <v>1</v>
      </c>
      <c r="O22" s="66">
        <v>0</v>
      </c>
      <c r="P22" s="65">
        <v>1</v>
      </c>
      <c r="Q22" s="65">
        <v>1</v>
      </c>
      <c r="R22" s="65">
        <v>1</v>
      </c>
      <c r="S22" s="67">
        <v>1</v>
      </c>
      <c r="T22" s="65">
        <v>1</v>
      </c>
      <c r="U22" s="65">
        <v>1</v>
      </c>
      <c r="V22" s="65">
        <v>1</v>
      </c>
      <c r="W22" s="66">
        <v>0</v>
      </c>
      <c r="X22" s="65">
        <v>1</v>
      </c>
      <c r="Y22" s="20"/>
      <c r="Z22" s="65">
        <v>1</v>
      </c>
      <c r="AA22" s="65">
        <v>0</v>
      </c>
      <c r="AB22" s="65">
        <v>1</v>
      </c>
      <c r="AC22" s="65">
        <v>0</v>
      </c>
      <c r="AD22" s="65">
        <v>1</v>
      </c>
      <c r="AE22" s="65"/>
      <c r="AF22" s="65">
        <v>1</v>
      </c>
      <c r="AG22" s="65">
        <v>1</v>
      </c>
      <c r="AH22" s="65">
        <v>1</v>
      </c>
      <c r="AI22" s="65">
        <v>1</v>
      </c>
      <c r="AJ22" s="65">
        <v>1</v>
      </c>
      <c r="AK22" s="65">
        <v>1</v>
      </c>
      <c r="AL22" s="65">
        <v>1</v>
      </c>
      <c r="AM22" s="65">
        <v>1</v>
      </c>
      <c r="AN22" s="68"/>
      <c r="AP22" s="69"/>
      <c r="AQ22" s="69"/>
    </row>
    <row r="23" spans="1:44" s="70" customFormat="1" ht="17" customHeight="1" thickTop="1">
      <c r="A23" s="70">
        <v>1</v>
      </c>
      <c r="B23" s="70">
        <v>1</v>
      </c>
      <c r="C23" s="70">
        <v>1</v>
      </c>
      <c r="E23" s="70">
        <v>1</v>
      </c>
      <c r="F23" s="70">
        <v>1</v>
      </c>
      <c r="G23" s="70">
        <v>1</v>
      </c>
      <c r="H23" s="70">
        <v>1</v>
      </c>
      <c r="I23" s="70">
        <v>1</v>
      </c>
      <c r="J23" s="70">
        <v>1</v>
      </c>
      <c r="K23" s="70">
        <v>1</v>
      </c>
      <c r="L23" s="70">
        <v>1</v>
      </c>
      <c r="M23" s="70">
        <v>1</v>
      </c>
      <c r="N23" s="70">
        <v>1</v>
      </c>
      <c r="O23" s="70">
        <v>1</v>
      </c>
      <c r="P23" s="70">
        <v>1</v>
      </c>
      <c r="Q23" s="70">
        <v>1</v>
      </c>
      <c r="R23" s="70">
        <v>1</v>
      </c>
      <c r="S23" s="70">
        <v>1</v>
      </c>
      <c r="T23" s="70">
        <v>1</v>
      </c>
      <c r="U23" s="70">
        <v>1</v>
      </c>
      <c r="V23" s="70">
        <v>1</v>
      </c>
      <c r="W23" s="70">
        <v>1</v>
      </c>
      <c r="X23" s="70">
        <v>1</v>
      </c>
      <c r="Y23" s="20"/>
      <c r="Z23" s="70">
        <v>1</v>
      </c>
      <c r="AA23" s="70">
        <v>1</v>
      </c>
      <c r="AB23" s="70">
        <v>1</v>
      </c>
      <c r="AC23" s="70">
        <v>0</v>
      </c>
      <c r="AD23" s="70">
        <v>1</v>
      </c>
      <c r="AF23" s="70">
        <v>1</v>
      </c>
      <c r="AG23" s="70">
        <v>1</v>
      </c>
      <c r="AH23" s="70">
        <v>1</v>
      </c>
      <c r="AI23" s="70">
        <v>1</v>
      </c>
      <c r="AJ23" s="70">
        <v>1</v>
      </c>
      <c r="AK23" s="70">
        <v>1</v>
      </c>
      <c r="AL23" s="70">
        <v>1</v>
      </c>
      <c r="AM23" s="70">
        <v>1</v>
      </c>
      <c r="AN23" s="71"/>
    </row>
    <row r="24" spans="1:44" s="20" customFormat="1" ht="17" customHeight="1">
      <c r="A24" s="20" t="s">
        <v>137</v>
      </c>
      <c r="B24" s="20" t="s">
        <v>137</v>
      </c>
      <c r="C24" s="20" t="s">
        <v>137</v>
      </c>
      <c r="E24" s="20" t="s">
        <v>137</v>
      </c>
      <c r="F24" s="20" t="s">
        <v>137</v>
      </c>
      <c r="G24" s="20" t="s">
        <v>137</v>
      </c>
      <c r="H24" s="20">
        <v>1</v>
      </c>
      <c r="I24" s="20">
        <v>1</v>
      </c>
      <c r="J24" s="20">
        <v>1</v>
      </c>
      <c r="K24" s="20">
        <v>1</v>
      </c>
      <c r="L24" s="20">
        <v>1</v>
      </c>
      <c r="M24" s="20">
        <v>1</v>
      </c>
      <c r="N24" s="20">
        <v>1</v>
      </c>
      <c r="O24" s="20">
        <v>1</v>
      </c>
      <c r="P24" s="20">
        <v>1</v>
      </c>
      <c r="Q24" s="20">
        <v>1</v>
      </c>
      <c r="R24" s="20">
        <v>1</v>
      </c>
      <c r="S24" s="20">
        <v>1</v>
      </c>
      <c r="T24" s="20">
        <v>1</v>
      </c>
      <c r="U24" s="20">
        <v>1</v>
      </c>
      <c r="V24" s="20">
        <v>1</v>
      </c>
      <c r="W24" s="20">
        <v>1</v>
      </c>
      <c r="X24" s="20">
        <v>1</v>
      </c>
      <c r="Z24" s="20">
        <v>1</v>
      </c>
      <c r="AA24" s="20">
        <v>1</v>
      </c>
      <c r="AB24" s="20">
        <v>1</v>
      </c>
      <c r="AC24" s="20">
        <v>0</v>
      </c>
      <c r="AD24" s="20">
        <v>1</v>
      </c>
      <c r="AF24" s="20">
        <v>1</v>
      </c>
      <c r="AG24" s="20">
        <v>1</v>
      </c>
      <c r="AH24" s="20">
        <v>1</v>
      </c>
      <c r="AI24" s="20">
        <v>1</v>
      </c>
      <c r="AJ24" s="20">
        <v>1</v>
      </c>
      <c r="AK24" s="20">
        <v>1</v>
      </c>
      <c r="AL24" s="20">
        <v>1</v>
      </c>
      <c r="AM24" s="20">
        <v>1</v>
      </c>
      <c r="AN24" s="2" t="s">
        <v>128</v>
      </c>
      <c r="AO24" s="20" t="s">
        <v>129</v>
      </c>
      <c r="AP24" s="20" t="s">
        <v>130</v>
      </c>
      <c r="AQ24" s="20" t="s">
        <v>131</v>
      </c>
      <c r="AR24" s="55" t="s">
        <v>132</v>
      </c>
    </row>
    <row r="25" spans="1:44" s="20" customFormat="1" ht="17" customHeight="1">
      <c r="A25" s="20" t="s">
        <v>137</v>
      </c>
      <c r="B25" s="20" t="s">
        <v>137</v>
      </c>
      <c r="C25" s="20" t="s">
        <v>137</v>
      </c>
      <c r="E25" s="20" t="s">
        <v>137</v>
      </c>
      <c r="F25" s="20" t="s">
        <v>137</v>
      </c>
      <c r="G25" s="20" t="s">
        <v>137</v>
      </c>
      <c r="H25" s="20">
        <v>1</v>
      </c>
      <c r="I25" s="20">
        <v>1</v>
      </c>
      <c r="J25" s="20">
        <v>1</v>
      </c>
      <c r="K25" s="20">
        <v>1</v>
      </c>
      <c r="L25" s="20">
        <v>1</v>
      </c>
      <c r="M25" s="20">
        <v>1</v>
      </c>
      <c r="N25" s="20">
        <v>1</v>
      </c>
      <c r="O25" s="20">
        <v>1</v>
      </c>
      <c r="P25" s="20">
        <v>1</v>
      </c>
      <c r="Q25" s="20">
        <v>1</v>
      </c>
      <c r="R25" s="20">
        <v>1</v>
      </c>
      <c r="S25" s="20">
        <v>1</v>
      </c>
      <c r="T25" s="20">
        <v>1</v>
      </c>
      <c r="U25" s="20">
        <v>1</v>
      </c>
      <c r="V25" s="20">
        <v>1</v>
      </c>
      <c r="W25" s="20">
        <v>1</v>
      </c>
      <c r="X25" s="20">
        <v>1</v>
      </c>
      <c r="Z25" s="20">
        <v>1</v>
      </c>
      <c r="AA25" s="20">
        <v>1</v>
      </c>
      <c r="AB25" s="20">
        <v>1</v>
      </c>
      <c r="AC25" s="20">
        <v>0</v>
      </c>
      <c r="AD25" s="20">
        <v>1</v>
      </c>
      <c r="AF25" s="20">
        <v>1</v>
      </c>
      <c r="AG25" s="20">
        <v>1</v>
      </c>
      <c r="AH25" s="20">
        <v>1</v>
      </c>
      <c r="AI25" s="20">
        <v>1</v>
      </c>
      <c r="AJ25" s="20">
        <v>1</v>
      </c>
      <c r="AK25" s="20">
        <v>1</v>
      </c>
      <c r="AL25" s="20">
        <v>1</v>
      </c>
      <c r="AM25" s="20">
        <v>1</v>
      </c>
      <c r="AN25" s="2" t="s">
        <v>133</v>
      </c>
      <c r="AO25" s="20" t="s">
        <v>218</v>
      </c>
      <c r="AP25" s="54">
        <f>SUM(A23:G45)</f>
        <v>30</v>
      </c>
      <c r="AQ25" s="54">
        <f>COUNT(A23:G45)</f>
        <v>30</v>
      </c>
      <c r="AR25" s="55">
        <f>AP25/AQ25</f>
        <v>1</v>
      </c>
    </row>
    <row r="26" spans="1:44" s="20" customFormat="1" ht="17" customHeight="1">
      <c r="A26" s="20">
        <v>1</v>
      </c>
      <c r="B26" s="20">
        <v>1</v>
      </c>
      <c r="C26" s="20">
        <v>1</v>
      </c>
      <c r="E26" s="20">
        <v>1</v>
      </c>
      <c r="F26" s="20">
        <v>1</v>
      </c>
      <c r="G26" s="20">
        <v>1</v>
      </c>
      <c r="H26" s="20">
        <v>1</v>
      </c>
      <c r="I26" s="20">
        <v>1</v>
      </c>
      <c r="J26" s="20">
        <v>0</v>
      </c>
      <c r="K26" s="20">
        <v>1</v>
      </c>
      <c r="L26" s="20">
        <v>1</v>
      </c>
      <c r="M26" s="20">
        <v>1</v>
      </c>
      <c r="N26" s="20">
        <v>1</v>
      </c>
      <c r="O26" s="20">
        <v>1</v>
      </c>
      <c r="P26" s="20">
        <v>1</v>
      </c>
      <c r="Q26" s="20">
        <v>1</v>
      </c>
      <c r="R26" s="20">
        <v>1</v>
      </c>
      <c r="S26" s="20">
        <v>1</v>
      </c>
      <c r="T26" s="20">
        <v>1</v>
      </c>
      <c r="U26" s="20">
        <v>1</v>
      </c>
      <c r="V26" s="20">
        <v>1</v>
      </c>
      <c r="W26" s="20">
        <v>1</v>
      </c>
      <c r="X26" s="62">
        <v>1</v>
      </c>
      <c r="Y26" s="62"/>
      <c r="Z26" s="20">
        <v>1</v>
      </c>
      <c r="AA26" s="20">
        <v>1</v>
      </c>
      <c r="AB26" s="20">
        <v>1</v>
      </c>
      <c r="AC26" s="20">
        <v>1</v>
      </c>
      <c r="AD26" s="20">
        <v>1</v>
      </c>
      <c r="AF26" s="20">
        <v>0</v>
      </c>
      <c r="AG26" s="20">
        <v>1</v>
      </c>
      <c r="AH26" s="20">
        <v>1</v>
      </c>
      <c r="AI26" s="20">
        <v>1</v>
      </c>
      <c r="AJ26" s="20">
        <v>1</v>
      </c>
      <c r="AK26" s="20">
        <v>1</v>
      </c>
      <c r="AL26" s="20">
        <v>1</v>
      </c>
      <c r="AM26" s="20">
        <v>1</v>
      </c>
      <c r="AN26" s="2" t="s">
        <v>135</v>
      </c>
      <c r="AO26" s="20" t="s">
        <v>219</v>
      </c>
      <c r="AP26" s="54">
        <f>SUM(H23:Q45)</f>
        <v>156</v>
      </c>
      <c r="AQ26" s="20">
        <f>COUNT(H23:Q45)</f>
        <v>160</v>
      </c>
      <c r="AR26" s="55">
        <f>AP26/AQ26</f>
        <v>0.97499999999999998</v>
      </c>
    </row>
    <row r="27" spans="1:44" s="20" customFormat="1" ht="17" customHeight="1">
      <c r="A27" s="20" t="s">
        <v>137</v>
      </c>
      <c r="B27" s="20" t="s">
        <v>137</v>
      </c>
      <c r="C27" s="20" t="s">
        <v>137</v>
      </c>
      <c r="E27" s="20" t="s">
        <v>137</v>
      </c>
      <c r="F27" s="20" t="s">
        <v>137</v>
      </c>
      <c r="G27" s="20" t="s">
        <v>137</v>
      </c>
      <c r="H27" s="20" t="s">
        <v>137</v>
      </c>
      <c r="I27" s="20" t="s">
        <v>137</v>
      </c>
      <c r="J27" s="20" t="s">
        <v>137</v>
      </c>
      <c r="K27" s="20" t="s">
        <v>137</v>
      </c>
      <c r="L27" s="20" t="s">
        <v>137</v>
      </c>
      <c r="M27" s="20" t="s">
        <v>137</v>
      </c>
      <c r="N27" s="20" t="s">
        <v>137</v>
      </c>
      <c r="O27" s="20" t="s">
        <v>137</v>
      </c>
      <c r="P27" s="20" t="s">
        <v>137</v>
      </c>
      <c r="Q27" s="20" t="s">
        <v>137</v>
      </c>
      <c r="R27" s="20" t="s">
        <v>137</v>
      </c>
      <c r="S27" s="20" t="s">
        <v>137</v>
      </c>
      <c r="T27" s="20" t="s">
        <v>137</v>
      </c>
      <c r="U27" s="20" t="s">
        <v>137</v>
      </c>
      <c r="V27" s="20" t="s">
        <v>137</v>
      </c>
      <c r="W27" s="20" t="s">
        <v>137</v>
      </c>
      <c r="X27" s="20" t="s">
        <v>137</v>
      </c>
      <c r="Z27" s="20" t="s">
        <v>137</v>
      </c>
      <c r="AA27" s="20" t="s">
        <v>137</v>
      </c>
      <c r="AB27" s="20">
        <v>1</v>
      </c>
      <c r="AC27" s="20">
        <v>1</v>
      </c>
      <c r="AD27" s="20">
        <v>1</v>
      </c>
      <c r="AF27" s="62">
        <v>1</v>
      </c>
      <c r="AG27" s="62">
        <v>1</v>
      </c>
      <c r="AH27" s="62">
        <v>1</v>
      </c>
      <c r="AI27" s="20">
        <v>1</v>
      </c>
      <c r="AJ27" s="20">
        <v>1</v>
      </c>
      <c r="AK27" s="20">
        <v>1</v>
      </c>
      <c r="AL27" s="20">
        <v>1</v>
      </c>
      <c r="AM27" s="20">
        <v>1</v>
      </c>
      <c r="AN27" s="2" t="s">
        <v>138</v>
      </c>
      <c r="AO27" s="20" t="s">
        <v>220</v>
      </c>
      <c r="AP27" s="54">
        <f>SUM(R23:AA45)</f>
        <v>131</v>
      </c>
      <c r="AQ27" s="20">
        <f>COUNT(R23:AA45)</f>
        <v>144</v>
      </c>
      <c r="AR27" s="55">
        <f>AP27/AQ27</f>
        <v>0.90972222222222221</v>
      </c>
    </row>
    <row r="28" spans="1:44" s="20" customFormat="1" ht="17" customHeight="1">
      <c r="A28" s="20" t="s">
        <v>137</v>
      </c>
      <c r="B28" s="20" t="s">
        <v>137</v>
      </c>
      <c r="C28" s="20" t="s">
        <v>137</v>
      </c>
      <c r="E28" s="20" t="s">
        <v>137</v>
      </c>
      <c r="F28" s="20" t="s">
        <v>137</v>
      </c>
      <c r="G28" s="20" t="s">
        <v>137</v>
      </c>
      <c r="H28" s="20">
        <v>1</v>
      </c>
      <c r="I28" s="20">
        <v>1</v>
      </c>
      <c r="J28" s="20">
        <v>0</v>
      </c>
      <c r="K28" s="20">
        <v>1</v>
      </c>
      <c r="L28" s="20">
        <v>1</v>
      </c>
      <c r="M28" s="20">
        <v>1</v>
      </c>
      <c r="N28" s="20">
        <v>1</v>
      </c>
      <c r="O28" s="20">
        <v>1</v>
      </c>
      <c r="P28" s="20">
        <v>1</v>
      </c>
      <c r="Q28" s="20">
        <v>1</v>
      </c>
      <c r="R28" s="20">
        <v>1</v>
      </c>
      <c r="S28" s="20">
        <v>1</v>
      </c>
      <c r="T28" s="20">
        <v>1</v>
      </c>
      <c r="U28" s="20">
        <v>1</v>
      </c>
      <c r="V28" s="20">
        <v>0</v>
      </c>
      <c r="W28" s="20">
        <v>1</v>
      </c>
      <c r="X28" s="62">
        <v>1</v>
      </c>
      <c r="Y28" s="62"/>
      <c r="Z28" s="20">
        <v>1</v>
      </c>
      <c r="AA28" s="20">
        <v>1</v>
      </c>
      <c r="AB28" s="20">
        <v>1</v>
      </c>
      <c r="AC28" s="20">
        <v>1</v>
      </c>
      <c r="AD28" s="20">
        <v>1</v>
      </c>
      <c r="AF28" s="20">
        <v>1</v>
      </c>
      <c r="AG28" s="20">
        <v>1</v>
      </c>
      <c r="AH28" s="20">
        <v>1</v>
      </c>
      <c r="AI28" s="20">
        <v>1</v>
      </c>
      <c r="AJ28" s="20">
        <v>1</v>
      </c>
      <c r="AK28" s="20">
        <v>1</v>
      </c>
      <c r="AL28" s="20">
        <v>1</v>
      </c>
      <c r="AM28" s="20">
        <v>1</v>
      </c>
      <c r="AN28" s="2" t="s">
        <v>140</v>
      </c>
      <c r="AO28" s="20" t="s">
        <v>221</v>
      </c>
      <c r="AP28" s="54">
        <f>SUM(AB23:AM45)</f>
        <v>247</v>
      </c>
      <c r="AQ28" s="20">
        <f>COUNT(AB23:AM45)</f>
        <v>253</v>
      </c>
      <c r="AR28" s="55">
        <f>AP28/AQ28</f>
        <v>0.97628458498023718</v>
      </c>
    </row>
    <row r="29" spans="1:44" s="20" customFormat="1" ht="17" customHeight="1">
      <c r="A29" s="20" t="s">
        <v>137</v>
      </c>
      <c r="B29" s="20" t="s">
        <v>137</v>
      </c>
      <c r="C29" s="20" t="s">
        <v>137</v>
      </c>
      <c r="E29" s="20" t="s">
        <v>137</v>
      </c>
      <c r="F29" s="20" t="s">
        <v>137</v>
      </c>
      <c r="G29" s="20" t="s">
        <v>137</v>
      </c>
      <c r="H29" s="20" t="s">
        <v>137</v>
      </c>
      <c r="I29" s="20" t="s">
        <v>137</v>
      </c>
      <c r="J29" s="20" t="s">
        <v>137</v>
      </c>
      <c r="K29" s="20" t="s">
        <v>137</v>
      </c>
      <c r="L29" s="20" t="s">
        <v>137</v>
      </c>
      <c r="M29" s="20" t="s">
        <v>137</v>
      </c>
      <c r="N29" s="20" t="s">
        <v>137</v>
      </c>
      <c r="O29" s="20" t="s">
        <v>137</v>
      </c>
      <c r="P29" s="20" t="s">
        <v>137</v>
      </c>
      <c r="Q29" s="20" t="s">
        <v>137</v>
      </c>
      <c r="R29" s="20" t="s">
        <v>137</v>
      </c>
      <c r="S29" s="20" t="s">
        <v>137</v>
      </c>
      <c r="T29" s="20" t="s">
        <v>137</v>
      </c>
      <c r="U29" s="20" t="s">
        <v>137</v>
      </c>
      <c r="V29" s="20" t="s">
        <v>137</v>
      </c>
      <c r="W29" s="20" t="s">
        <v>137</v>
      </c>
      <c r="X29" s="20" t="s">
        <v>137</v>
      </c>
      <c r="Z29" s="20" t="s">
        <v>137</v>
      </c>
      <c r="AA29" s="20" t="s">
        <v>137</v>
      </c>
      <c r="AB29" s="20">
        <v>1</v>
      </c>
      <c r="AC29" s="20">
        <v>1</v>
      </c>
      <c r="AD29" s="20">
        <v>1</v>
      </c>
      <c r="AF29" s="62">
        <v>1</v>
      </c>
      <c r="AG29" s="62">
        <v>1</v>
      </c>
      <c r="AH29" s="62">
        <v>1</v>
      </c>
      <c r="AI29" s="20">
        <v>1</v>
      </c>
      <c r="AJ29" s="20">
        <v>1</v>
      </c>
      <c r="AK29" s="20">
        <v>1</v>
      </c>
      <c r="AL29" s="20">
        <v>1</v>
      </c>
      <c r="AM29" s="20">
        <v>1</v>
      </c>
      <c r="AN29" s="2"/>
      <c r="AR29" s="55"/>
    </row>
    <row r="30" spans="1:44" s="20" customFormat="1" ht="17" customHeight="1">
      <c r="A30" s="20" t="s">
        <v>137</v>
      </c>
      <c r="B30" s="20" t="s">
        <v>137</v>
      </c>
      <c r="C30" s="20" t="s">
        <v>137</v>
      </c>
      <c r="E30" s="20" t="s">
        <v>137</v>
      </c>
      <c r="F30" s="20" t="s">
        <v>137</v>
      </c>
      <c r="G30" s="20" t="s">
        <v>137</v>
      </c>
      <c r="H30" s="20">
        <v>1</v>
      </c>
      <c r="I30" s="20">
        <v>1</v>
      </c>
      <c r="J30" s="20">
        <v>0</v>
      </c>
      <c r="K30" s="20">
        <v>1</v>
      </c>
      <c r="L30" s="20">
        <v>1</v>
      </c>
      <c r="M30" s="20">
        <v>1</v>
      </c>
      <c r="N30" s="20">
        <v>1</v>
      </c>
      <c r="O30" s="20">
        <v>1</v>
      </c>
      <c r="P30" s="20">
        <v>1</v>
      </c>
      <c r="Q30" s="20">
        <v>1</v>
      </c>
      <c r="R30" s="20">
        <v>1</v>
      </c>
      <c r="S30" s="20">
        <v>1</v>
      </c>
      <c r="T30" s="20">
        <v>1</v>
      </c>
      <c r="U30" s="20">
        <v>1</v>
      </c>
      <c r="V30" s="20">
        <v>0</v>
      </c>
      <c r="W30" s="20">
        <v>1</v>
      </c>
      <c r="X30" s="62">
        <v>1</v>
      </c>
      <c r="Y30" s="62"/>
      <c r="Z30" s="20">
        <v>1</v>
      </c>
      <c r="AA30" s="20">
        <v>1</v>
      </c>
      <c r="AB30" s="20">
        <v>1</v>
      </c>
      <c r="AC30" s="20">
        <v>1</v>
      </c>
      <c r="AD30" s="20">
        <v>1</v>
      </c>
      <c r="AF30" s="20">
        <v>1</v>
      </c>
      <c r="AG30" s="20">
        <v>1</v>
      </c>
      <c r="AH30" s="20">
        <v>1</v>
      </c>
      <c r="AI30" s="20">
        <v>1</v>
      </c>
      <c r="AJ30" s="20">
        <v>1</v>
      </c>
      <c r="AK30" s="20">
        <v>1</v>
      </c>
      <c r="AL30" s="20">
        <v>1</v>
      </c>
      <c r="AM30" s="20">
        <v>1</v>
      </c>
      <c r="AN30" s="2" t="s">
        <v>142</v>
      </c>
      <c r="AO30" s="20" t="s">
        <v>223</v>
      </c>
      <c r="AP30" s="54">
        <f>SUM(A23:AM45)</f>
        <v>564</v>
      </c>
      <c r="AQ30" s="20">
        <f>COUNT(A23:AM45)</f>
        <v>587</v>
      </c>
      <c r="AR30" s="55">
        <f>AP30/AQ30</f>
        <v>0.96081771720613285</v>
      </c>
    </row>
    <row r="31" spans="1:44" s="20" customFormat="1" ht="17" customHeight="1">
      <c r="A31" s="20" t="s">
        <v>137</v>
      </c>
      <c r="B31" s="20" t="s">
        <v>137</v>
      </c>
      <c r="C31" s="20" t="s">
        <v>137</v>
      </c>
      <c r="E31" s="20" t="s">
        <v>137</v>
      </c>
      <c r="F31" s="20" t="s">
        <v>137</v>
      </c>
      <c r="G31" s="20" t="s">
        <v>137</v>
      </c>
      <c r="H31" s="20" t="s">
        <v>137</v>
      </c>
      <c r="I31" s="20" t="s">
        <v>137</v>
      </c>
      <c r="J31" s="20" t="s">
        <v>137</v>
      </c>
      <c r="K31" s="20" t="s">
        <v>137</v>
      </c>
      <c r="L31" s="20" t="s">
        <v>137</v>
      </c>
      <c r="M31" s="20" t="s">
        <v>137</v>
      </c>
      <c r="N31" s="20" t="s">
        <v>137</v>
      </c>
      <c r="O31" s="20" t="s">
        <v>137</v>
      </c>
      <c r="P31" s="20" t="s">
        <v>137</v>
      </c>
      <c r="Q31" s="20" t="s">
        <v>137</v>
      </c>
      <c r="R31" s="20" t="s">
        <v>137</v>
      </c>
      <c r="S31" s="20" t="s">
        <v>137</v>
      </c>
      <c r="T31" s="20" t="s">
        <v>137</v>
      </c>
      <c r="U31" s="20" t="s">
        <v>137</v>
      </c>
      <c r="V31" s="20" t="s">
        <v>137</v>
      </c>
      <c r="W31" s="20" t="s">
        <v>137</v>
      </c>
      <c r="X31" s="20" t="s">
        <v>137</v>
      </c>
      <c r="Z31" s="20" t="s">
        <v>137</v>
      </c>
      <c r="AA31" s="20" t="s">
        <v>137</v>
      </c>
      <c r="AB31" s="20">
        <v>1</v>
      </c>
      <c r="AC31" s="20">
        <v>1</v>
      </c>
      <c r="AD31" s="20">
        <v>1</v>
      </c>
      <c r="AF31" s="62">
        <v>1</v>
      </c>
      <c r="AG31" s="62">
        <v>1</v>
      </c>
      <c r="AH31" s="62">
        <v>1</v>
      </c>
      <c r="AI31" s="20">
        <v>1</v>
      </c>
      <c r="AJ31" s="20">
        <v>1</v>
      </c>
      <c r="AK31" s="20">
        <v>1</v>
      </c>
      <c r="AL31" s="20">
        <v>1</v>
      </c>
      <c r="AM31" s="20">
        <v>1</v>
      </c>
      <c r="AN31" s="2" t="s">
        <v>144</v>
      </c>
      <c r="AP31" s="54">
        <f>SUM(AP25:AP28)</f>
        <v>564</v>
      </c>
      <c r="AQ31" s="54">
        <f>SUM(AQ25:AQ28)</f>
        <v>587</v>
      </c>
      <c r="AR31" s="55">
        <f>AP31/AQ31</f>
        <v>0.96081771720613285</v>
      </c>
    </row>
    <row r="32" spans="1:44" s="20" customFormat="1" ht="17" customHeight="1">
      <c r="A32" s="20" t="s">
        <v>137</v>
      </c>
      <c r="B32" s="20" t="s">
        <v>137</v>
      </c>
      <c r="C32" s="20" t="s">
        <v>137</v>
      </c>
      <c r="E32" s="20" t="s">
        <v>137</v>
      </c>
      <c r="F32" s="20" t="s">
        <v>137</v>
      </c>
      <c r="G32" s="20" t="s">
        <v>137</v>
      </c>
      <c r="H32" s="20">
        <v>1</v>
      </c>
      <c r="I32" s="20">
        <v>1</v>
      </c>
      <c r="J32" s="20">
        <v>0</v>
      </c>
      <c r="K32" s="20">
        <v>1</v>
      </c>
      <c r="L32" s="20">
        <v>1</v>
      </c>
      <c r="M32" s="20">
        <v>1</v>
      </c>
      <c r="N32" s="20">
        <v>1</v>
      </c>
      <c r="O32" s="20">
        <v>1</v>
      </c>
      <c r="P32" s="20">
        <v>1</v>
      </c>
      <c r="Q32" s="20">
        <v>1</v>
      </c>
      <c r="R32" s="20">
        <v>1</v>
      </c>
      <c r="S32" s="20">
        <v>1</v>
      </c>
      <c r="T32" s="20">
        <v>1</v>
      </c>
      <c r="U32" s="20">
        <v>1</v>
      </c>
      <c r="V32" s="20">
        <v>0</v>
      </c>
      <c r="W32" s="20">
        <v>1</v>
      </c>
      <c r="X32" s="62">
        <v>1</v>
      </c>
      <c r="Y32" s="62"/>
      <c r="Z32" s="20">
        <v>1</v>
      </c>
      <c r="AA32" s="20">
        <v>1</v>
      </c>
      <c r="AB32" s="20">
        <v>1</v>
      </c>
      <c r="AC32" s="20">
        <v>1</v>
      </c>
      <c r="AD32" s="20">
        <v>1</v>
      </c>
      <c r="AF32" s="20">
        <v>1</v>
      </c>
      <c r="AG32" s="20">
        <v>1</v>
      </c>
      <c r="AH32" s="20">
        <v>1</v>
      </c>
      <c r="AI32" s="20">
        <v>1</v>
      </c>
      <c r="AJ32" s="20">
        <v>1</v>
      </c>
      <c r="AK32" s="20">
        <v>1</v>
      </c>
      <c r="AL32" s="20">
        <v>1</v>
      </c>
      <c r="AM32" s="20">
        <v>1</v>
      </c>
      <c r="AN32" s="2"/>
    </row>
    <row r="33" spans="1:44" s="20" customFormat="1" ht="17" customHeight="1">
      <c r="A33" s="20" t="s">
        <v>137</v>
      </c>
      <c r="B33" s="20" t="s">
        <v>137</v>
      </c>
      <c r="C33" s="20" t="s">
        <v>137</v>
      </c>
      <c r="E33" s="20" t="s">
        <v>137</v>
      </c>
      <c r="F33" s="20" t="s">
        <v>137</v>
      </c>
      <c r="G33" s="20" t="s">
        <v>137</v>
      </c>
      <c r="H33" s="20" t="s">
        <v>137</v>
      </c>
      <c r="I33" s="20" t="s">
        <v>137</v>
      </c>
      <c r="J33" s="20" t="s">
        <v>137</v>
      </c>
      <c r="K33" s="20" t="s">
        <v>137</v>
      </c>
      <c r="L33" s="20" t="s">
        <v>137</v>
      </c>
      <c r="M33" s="20" t="s">
        <v>137</v>
      </c>
      <c r="N33" s="20" t="s">
        <v>137</v>
      </c>
      <c r="O33" s="20" t="s">
        <v>137</v>
      </c>
      <c r="P33" s="20" t="s">
        <v>137</v>
      </c>
      <c r="Q33" s="20" t="s">
        <v>137</v>
      </c>
      <c r="R33" s="20" t="s">
        <v>137</v>
      </c>
      <c r="S33" s="20" t="s">
        <v>137</v>
      </c>
      <c r="T33" s="20" t="s">
        <v>137</v>
      </c>
      <c r="U33" s="20" t="s">
        <v>137</v>
      </c>
      <c r="V33" s="20" t="s">
        <v>137</v>
      </c>
      <c r="W33" s="20" t="s">
        <v>137</v>
      </c>
      <c r="X33" s="20" t="s">
        <v>137</v>
      </c>
      <c r="Z33" s="20" t="s">
        <v>137</v>
      </c>
      <c r="AA33" s="20" t="s">
        <v>137</v>
      </c>
      <c r="AB33" s="20">
        <v>1</v>
      </c>
      <c r="AC33" s="20">
        <v>1</v>
      </c>
      <c r="AD33" s="20">
        <v>1</v>
      </c>
      <c r="AF33" s="62">
        <v>1</v>
      </c>
      <c r="AG33" s="62">
        <v>1</v>
      </c>
      <c r="AH33" s="62">
        <v>1</v>
      </c>
      <c r="AI33" s="20">
        <v>1</v>
      </c>
      <c r="AJ33" s="20">
        <v>1</v>
      </c>
      <c r="AK33" s="20">
        <v>1</v>
      </c>
      <c r="AL33" s="20">
        <v>1</v>
      </c>
      <c r="AM33" s="20">
        <v>1</v>
      </c>
      <c r="AN33" s="2" t="s">
        <v>224</v>
      </c>
      <c r="AO33" s="20" t="s">
        <v>222</v>
      </c>
      <c r="AP33" s="54">
        <f>SUM(A3:AM45)</f>
        <v>1053</v>
      </c>
      <c r="AQ33" s="20">
        <f>COUNT(A3:AM45)</f>
        <v>1104</v>
      </c>
      <c r="AR33" s="55">
        <f>AP33/AQ33</f>
        <v>0.95380434782608692</v>
      </c>
    </row>
    <row r="34" spans="1:44" s="20" customFormat="1" ht="17" customHeight="1">
      <c r="A34" s="20">
        <v>1</v>
      </c>
      <c r="B34" s="20">
        <v>1</v>
      </c>
      <c r="C34" s="20">
        <v>1</v>
      </c>
      <c r="E34" s="20">
        <v>1</v>
      </c>
      <c r="F34" s="20">
        <v>1</v>
      </c>
      <c r="G34" s="20">
        <v>1</v>
      </c>
      <c r="H34" s="20">
        <v>1</v>
      </c>
      <c r="I34" s="20">
        <v>1</v>
      </c>
      <c r="J34" s="20">
        <v>1</v>
      </c>
      <c r="K34" s="20">
        <v>1</v>
      </c>
      <c r="L34" s="20">
        <v>1</v>
      </c>
      <c r="M34" s="20">
        <v>1</v>
      </c>
      <c r="N34" s="20">
        <v>1</v>
      </c>
      <c r="O34" s="20">
        <v>1</v>
      </c>
      <c r="P34" s="20">
        <v>1</v>
      </c>
      <c r="Q34" s="20">
        <v>1</v>
      </c>
      <c r="R34" s="20">
        <v>0</v>
      </c>
      <c r="S34" s="20">
        <v>1</v>
      </c>
      <c r="T34" s="20">
        <v>1</v>
      </c>
      <c r="U34" s="20">
        <v>1</v>
      </c>
      <c r="V34" s="20">
        <v>1</v>
      </c>
      <c r="W34" s="20">
        <v>1</v>
      </c>
      <c r="X34" s="20">
        <v>0</v>
      </c>
      <c r="Z34" s="20">
        <v>1</v>
      </c>
      <c r="AA34" s="20">
        <v>1</v>
      </c>
      <c r="AB34" s="20">
        <v>1</v>
      </c>
      <c r="AC34" s="20">
        <v>1</v>
      </c>
      <c r="AD34" s="62">
        <v>1</v>
      </c>
      <c r="AE34" s="62"/>
      <c r="AF34" s="20">
        <v>1</v>
      </c>
      <c r="AG34" s="20">
        <v>1</v>
      </c>
      <c r="AH34" s="20">
        <v>1</v>
      </c>
      <c r="AI34" s="20">
        <v>1</v>
      </c>
      <c r="AJ34" s="20">
        <v>1</v>
      </c>
      <c r="AK34" s="20">
        <v>1</v>
      </c>
      <c r="AL34" s="20">
        <v>1</v>
      </c>
      <c r="AM34" s="20">
        <v>1</v>
      </c>
      <c r="AN34" s="2"/>
    </row>
    <row r="35" spans="1:44" s="20" customFormat="1" ht="17" customHeight="1">
      <c r="A35" s="20" t="s">
        <v>137</v>
      </c>
      <c r="B35" s="20" t="s">
        <v>137</v>
      </c>
      <c r="C35" s="20" t="s">
        <v>137</v>
      </c>
      <c r="E35" s="20" t="s">
        <v>137</v>
      </c>
      <c r="F35" s="20" t="s">
        <v>137</v>
      </c>
      <c r="G35" s="20" t="s">
        <v>137</v>
      </c>
      <c r="H35" s="20">
        <v>1</v>
      </c>
      <c r="I35" s="20">
        <v>1</v>
      </c>
      <c r="J35" s="20">
        <v>1</v>
      </c>
      <c r="K35" s="20">
        <v>1</v>
      </c>
      <c r="L35" s="20">
        <v>1</v>
      </c>
      <c r="M35" s="20">
        <v>1</v>
      </c>
      <c r="N35" s="20">
        <v>1</v>
      </c>
      <c r="O35" s="20">
        <v>1</v>
      </c>
      <c r="P35" s="20">
        <v>1</v>
      </c>
      <c r="Q35" s="20">
        <v>1</v>
      </c>
      <c r="R35" s="20">
        <v>1</v>
      </c>
      <c r="S35" s="20">
        <v>1</v>
      </c>
      <c r="T35" s="20">
        <v>1</v>
      </c>
      <c r="U35" s="20">
        <v>1</v>
      </c>
      <c r="V35" s="20">
        <v>1</v>
      </c>
      <c r="W35" s="20">
        <v>1</v>
      </c>
      <c r="X35" s="20">
        <v>1</v>
      </c>
      <c r="Z35" s="20">
        <v>1</v>
      </c>
      <c r="AA35" s="20">
        <v>1</v>
      </c>
      <c r="AB35" s="20">
        <v>1</v>
      </c>
      <c r="AC35" s="20">
        <v>1</v>
      </c>
      <c r="AD35" s="62">
        <v>1</v>
      </c>
      <c r="AE35" s="62"/>
      <c r="AF35" s="20">
        <v>1</v>
      </c>
      <c r="AG35" s="20">
        <v>1</v>
      </c>
      <c r="AH35" s="20">
        <v>1</v>
      </c>
      <c r="AI35" s="20">
        <v>1</v>
      </c>
      <c r="AJ35" s="20">
        <v>1</v>
      </c>
      <c r="AK35" s="20">
        <v>1</v>
      </c>
      <c r="AL35" s="20">
        <v>1</v>
      </c>
      <c r="AM35" s="20">
        <v>1</v>
      </c>
      <c r="AN35" s="2"/>
    </row>
    <row r="36" spans="1:44" s="20" customFormat="1" ht="17" customHeight="1">
      <c r="A36" s="20">
        <v>1</v>
      </c>
      <c r="B36" s="20">
        <v>1</v>
      </c>
      <c r="C36" s="20">
        <v>1</v>
      </c>
      <c r="E36" s="20">
        <v>1</v>
      </c>
      <c r="F36" s="20">
        <v>1</v>
      </c>
      <c r="G36" s="20">
        <v>1</v>
      </c>
      <c r="H36" s="20">
        <v>1</v>
      </c>
      <c r="I36" s="20">
        <v>1</v>
      </c>
      <c r="J36" s="20">
        <v>1</v>
      </c>
      <c r="K36" s="20">
        <v>1</v>
      </c>
      <c r="L36" s="20">
        <v>1</v>
      </c>
      <c r="M36" s="20">
        <v>1</v>
      </c>
      <c r="N36" s="20">
        <v>1</v>
      </c>
      <c r="O36" s="20">
        <v>1</v>
      </c>
      <c r="P36" s="20">
        <v>1</v>
      </c>
      <c r="Q36" s="20">
        <v>1</v>
      </c>
      <c r="R36" s="20">
        <v>0</v>
      </c>
      <c r="S36" s="20">
        <v>1</v>
      </c>
      <c r="T36" s="20">
        <v>1</v>
      </c>
      <c r="U36" s="20">
        <v>1</v>
      </c>
      <c r="V36" s="20">
        <v>1</v>
      </c>
      <c r="W36" s="20">
        <v>1</v>
      </c>
      <c r="X36" s="20">
        <v>0</v>
      </c>
      <c r="Z36" s="20">
        <v>1</v>
      </c>
      <c r="AA36" s="20">
        <v>1</v>
      </c>
      <c r="AB36" s="20">
        <v>1</v>
      </c>
      <c r="AC36" s="20">
        <v>1</v>
      </c>
      <c r="AD36" s="20">
        <v>1</v>
      </c>
      <c r="AF36" s="20">
        <v>1</v>
      </c>
      <c r="AG36" s="20">
        <v>1</v>
      </c>
      <c r="AH36" s="20">
        <v>1</v>
      </c>
      <c r="AI36" s="20">
        <v>1</v>
      </c>
      <c r="AJ36" s="20">
        <v>1</v>
      </c>
      <c r="AK36" s="20">
        <v>1</v>
      </c>
      <c r="AL36" s="20">
        <v>1</v>
      </c>
      <c r="AM36" s="20">
        <v>0</v>
      </c>
      <c r="AN36" s="2"/>
    </row>
    <row r="37" spans="1:44" s="20" customFormat="1" ht="17" customHeight="1">
      <c r="A37" s="20" t="s">
        <v>137</v>
      </c>
      <c r="B37" s="20" t="s">
        <v>137</v>
      </c>
      <c r="C37" s="20" t="s">
        <v>137</v>
      </c>
      <c r="E37" s="20" t="s">
        <v>137</v>
      </c>
      <c r="F37" s="20" t="s">
        <v>137</v>
      </c>
      <c r="G37" s="20" t="s">
        <v>137</v>
      </c>
      <c r="H37" s="20">
        <v>1</v>
      </c>
      <c r="I37" s="20">
        <v>1</v>
      </c>
      <c r="J37" s="20">
        <v>1</v>
      </c>
      <c r="K37" s="20">
        <v>1</v>
      </c>
      <c r="L37" s="20">
        <v>1</v>
      </c>
      <c r="M37" s="20">
        <v>1</v>
      </c>
      <c r="N37" s="20">
        <v>1</v>
      </c>
      <c r="O37" s="20">
        <v>1</v>
      </c>
      <c r="P37" s="20">
        <v>1</v>
      </c>
      <c r="Q37" s="20">
        <v>1</v>
      </c>
      <c r="R37" s="20">
        <v>1</v>
      </c>
      <c r="S37" s="20">
        <v>1</v>
      </c>
      <c r="T37" s="20">
        <v>1</v>
      </c>
      <c r="U37" s="20">
        <v>1</v>
      </c>
      <c r="V37" s="20">
        <v>1</v>
      </c>
      <c r="W37" s="20">
        <v>1</v>
      </c>
      <c r="X37" s="20">
        <v>1</v>
      </c>
      <c r="Z37" s="20">
        <v>1</v>
      </c>
      <c r="AA37" s="20">
        <v>1</v>
      </c>
      <c r="AB37" s="20">
        <v>1</v>
      </c>
      <c r="AC37" s="20">
        <v>1</v>
      </c>
      <c r="AD37" s="20">
        <v>1</v>
      </c>
      <c r="AF37" s="20">
        <v>1</v>
      </c>
      <c r="AG37" s="20">
        <v>1</v>
      </c>
      <c r="AH37" s="20">
        <v>1</v>
      </c>
      <c r="AI37" s="20">
        <v>1</v>
      </c>
      <c r="AJ37" s="20">
        <v>1</v>
      </c>
      <c r="AK37" s="20">
        <v>1</v>
      </c>
      <c r="AL37" s="20">
        <v>1</v>
      </c>
      <c r="AM37" s="20">
        <v>0</v>
      </c>
      <c r="AN37" s="2"/>
    </row>
    <row r="38" spans="1:44" s="20" customFormat="1" ht="17" customHeight="1">
      <c r="A38" s="20" t="s">
        <v>137</v>
      </c>
      <c r="B38" s="20" t="s">
        <v>137</v>
      </c>
      <c r="C38" s="20" t="s">
        <v>137</v>
      </c>
      <c r="E38" s="20" t="s">
        <v>137</v>
      </c>
      <c r="F38" s="20" t="s">
        <v>137</v>
      </c>
      <c r="G38" s="20" t="s">
        <v>137</v>
      </c>
      <c r="H38" s="20">
        <v>1</v>
      </c>
      <c r="I38" s="20">
        <v>1</v>
      </c>
      <c r="J38" s="20">
        <v>1</v>
      </c>
      <c r="K38" s="20">
        <v>1</v>
      </c>
      <c r="L38" s="20">
        <v>1</v>
      </c>
      <c r="M38" s="20">
        <v>1</v>
      </c>
      <c r="N38" s="20">
        <v>1</v>
      </c>
      <c r="O38" s="20">
        <v>1</v>
      </c>
      <c r="P38" s="20">
        <v>1</v>
      </c>
      <c r="Q38" s="20">
        <v>1</v>
      </c>
      <c r="R38" s="20">
        <v>0</v>
      </c>
      <c r="S38" s="20">
        <v>1</v>
      </c>
      <c r="T38" s="20">
        <v>1</v>
      </c>
      <c r="U38" s="20">
        <v>1</v>
      </c>
      <c r="V38" s="20">
        <v>1</v>
      </c>
      <c r="W38" s="20">
        <v>1</v>
      </c>
      <c r="X38" s="20">
        <v>0</v>
      </c>
      <c r="Z38" s="20">
        <v>1</v>
      </c>
      <c r="AA38" s="20">
        <v>1</v>
      </c>
      <c r="AB38" s="20">
        <v>1</v>
      </c>
      <c r="AC38" s="20">
        <v>1</v>
      </c>
      <c r="AD38" s="20">
        <v>1</v>
      </c>
      <c r="AF38" s="20">
        <v>1</v>
      </c>
      <c r="AG38" s="20">
        <v>1</v>
      </c>
      <c r="AH38" s="20">
        <v>1</v>
      </c>
      <c r="AI38" s="20">
        <v>1</v>
      </c>
      <c r="AJ38" s="20">
        <v>1</v>
      </c>
      <c r="AK38" s="20">
        <v>1</v>
      </c>
      <c r="AL38" s="20">
        <v>1</v>
      </c>
      <c r="AM38" s="20">
        <v>1</v>
      </c>
      <c r="AN38" s="2"/>
    </row>
    <row r="39" spans="1:44" s="20" customFormat="1" ht="17" customHeight="1">
      <c r="A39" s="20" t="s">
        <v>137</v>
      </c>
      <c r="B39" s="20" t="s">
        <v>137</v>
      </c>
      <c r="C39" s="20" t="s">
        <v>137</v>
      </c>
      <c r="E39" s="20" t="s">
        <v>137</v>
      </c>
      <c r="F39" s="20" t="s">
        <v>137</v>
      </c>
      <c r="G39" s="20" t="s">
        <v>137</v>
      </c>
      <c r="H39" s="20">
        <v>1</v>
      </c>
      <c r="I39" s="20">
        <v>1</v>
      </c>
      <c r="J39" s="20">
        <v>1</v>
      </c>
      <c r="K39" s="20">
        <v>1</v>
      </c>
      <c r="L39" s="20">
        <v>1</v>
      </c>
      <c r="M39" s="20">
        <v>1</v>
      </c>
      <c r="N39" s="20">
        <v>1</v>
      </c>
      <c r="O39" s="20">
        <v>1</v>
      </c>
      <c r="P39" s="20">
        <v>1</v>
      </c>
      <c r="Q39" s="20">
        <v>1</v>
      </c>
      <c r="R39" s="20">
        <v>1</v>
      </c>
      <c r="S39" s="20">
        <v>1</v>
      </c>
      <c r="T39" s="20">
        <v>1</v>
      </c>
      <c r="U39" s="20">
        <v>1</v>
      </c>
      <c r="V39" s="20">
        <v>1</v>
      </c>
      <c r="W39" s="20">
        <v>1</v>
      </c>
      <c r="X39" s="20">
        <v>1</v>
      </c>
      <c r="Z39" s="20">
        <v>1</v>
      </c>
      <c r="AA39" s="20">
        <v>1</v>
      </c>
      <c r="AB39" s="20">
        <v>1</v>
      </c>
      <c r="AC39" s="20">
        <v>1</v>
      </c>
      <c r="AD39" s="20">
        <v>1</v>
      </c>
      <c r="AF39" s="20">
        <v>1</v>
      </c>
      <c r="AG39" s="20">
        <v>1</v>
      </c>
      <c r="AH39" s="20">
        <v>1</v>
      </c>
      <c r="AI39" s="20">
        <v>1</v>
      </c>
      <c r="AJ39" s="20">
        <v>1</v>
      </c>
      <c r="AK39" s="20">
        <v>1</v>
      </c>
      <c r="AL39" s="20">
        <v>1</v>
      </c>
      <c r="AM39" s="20">
        <v>1</v>
      </c>
      <c r="AN39" s="2"/>
    </row>
    <row r="40" spans="1:44" s="20" customFormat="1" ht="17" customHeight="1">
      <c r="A40" s="20">
        <v>1</v>
      </c>
      <c r="B40" s="20">
        <v>1</v>
      </c>
      <c r="C40" s="20">
        <v>1</v>
      </c>
      <c r="E40" s="20">
        <v>1</v>
      </c>
      <c r="F40" s="20">
        <v>1</v>
      </c>
      <c r="G40" s="20">
        <v>1</v>
      </c>
      <c r="H40" s="20">
        <v>1</v>
      </c>
      <c r="I40" s="20">
        <v>1</v>
      </c>
      <c r="J40" s="20">
        <v>1</v>
      </c>
      <c r="K40" s="20">
        <v>1</v>
      </c>
      <c r="L40" s="20">
        <v>1</v>
      </c>
      <c r="M40" s="20">
        <v>1</v>
      </c>
      <c r="N40" s="20">
        <v>1</v>
      </c>
      <c r="O40" s="20">
        <v>1</v>
      </c>
      <c r="P40" s="20">
        <v>1</v>
      </c>
      <c r="Q40" s="20">
        <v>1</v>
      </c>
      <c r="R40" s="20">
        <v>1</v>
      </c>
      <c r="S40" s="20">
        <v>1</v>
      </c>
      <c r="T40" s="20">
        <v>1</v>
      </c>
      <c r="U40" s="20">
        <v>0</v>
      </c>
      <c r="V40" s="20">
        <v>1</v>
      </c>
      <c r="W40" s="20">
        <v>1</v>
      </c>
      <c r="X40" s="20">
        <v>0</v>
      </c>
      <c r="Z40" s="20">
        <v>1</v>
      </c>
      <c r="AA40" s="20">
        <v>1</v>
      </c>
      <c r="AB40" s="20">
        <v>1</v>
      </c>
      <c r="AC40" s="20">
        <v>1</v>
      </c>
      <c r="AD40" s="20">
        <v>1</v>
      </c>
      <c r="AF40" s="20">
        <v>1</v>
      </c>
      <c r="AG40" s="20">
        <v>1</v>
      </c>
      <c r="AH40" s="62">
        <v>1</v>
      </c>
      <c r="AI40" s="20">
        <v>1</v>
      </c>
      <c r="AJ40" s="20">
        <v>1</v>
      </c>
      <c r="AK40" s="62">
        <v>1</v>
      </c>
      <c r="AL40" s="20">
        <v>1</v>
      </c>
      <c r="AM40" s="20">
        <v>1</v>
      </c>
      <c r="AN40" s="2"/>
    </row>
    <row r="41" spans="1:44" s="20" customFormat="1" ht="17" customHeight="1">
      <c r="A41" s="20" t="s">
        <v>137</v>
      </c>
      <c r="B41" s="20" t="s">
        <v>137</v>
      </c>
      <c r="C41" s="20" t="s">
        <v>137</v>
      </c>
      <c r="E41" s="20" t="s">
        <v>137</v>
      </c>
      <c r="F41" s="20" t="s">
        <v>137</v>
      </c>
      <c r="G41" s="20" t="s">
        <v>137</v>
      </c>
      <c r="H41" s="20" t="s">
        <v>137</v>
      </c>
      <c r="I41" s="20" t="s">
        <v>137</v>
      </c>
      <c r="J41" s="20" t="s">
        <v>137</v>
      </c>
      <c r="K41" s="20" t="s">
        <v>137</v>
      </c>
      <c r="L41" s="20" t="s">
        <v>137</v>
      </c>
      <c r="M41" s="20" t="s">
        <v>137</v>
      </c>
      <c r="N41" s="20" t="s">
        <v>137</v>
      </c>
      <c r="O41" s="20" t="s">
        <v>137</v>
      </c>
      <c r="P41" s="20" t="s">
        <v>137</v>
      </c>
      <c r="Q41" s="20" t="s">
        <v>137</v>
      </c>
      <c r="R41" s="20" t="s">
        <v>137</v>
      </c>
      <c r="S41" s="20" t="s">
        <v>137</v>
      </c>
      <c r="T41" s="20" t="s">
        <v>137</v>
      </c>
      <c r="U41" s="20" t="s">
        <v>137</v>
      </c>
      <c r="V41" s="20" t="s">
        <v>137</v>
      </c>
      <c r="W41" s="20" t="s">
        <v>137</v>
      </c>
      <c r="X41" s="20" t="s">
        <v>137</v>
      </c>
      <c r="Z41" s="20" t="s">
        <v>137</v>
      </c>
      <c r="AA41" s="20" t="s">
        <v>137</v>
      </c>
      <c r="AB41" s="20">
        <v>1</v>
      </c>
      <c r="AC41" s="20">
        <v>1</v>
      </c>
      <c r="AD41" s="62">
        <v>1</v>
      </c>
      <c r="AE41" s="62"/>
      <c r="AF41" s="20">
        <v>1</v>
      </c>
      <c r="AG41" s="20">
        <v>1</v>
      </c>
      <c r="AH41" s="62">
        <v>1</v>
      </c>
      <c r="AI41" s="20">
        <v>1</v>
      </c>
      <c r="AJ41" s="20">
        <v>1</v>
      </c>
      <c r="AK41" s="62">
        <v>1</v>
      </c>
      <c r="AL41" s="20">
        <v>1</v>
      </c>
      <c r="AM41" s="20">
        <v>1</v>
      </c>
      <c r="AN41" s="2"/>
    </row>
    <row r="42" spans="1:44" s="20" customFormat="1" ht="17" customHeight="1">
      <c r="A42" s="20" t="s">
        <v>137</v>
      </c>
      <c r="B42" s="20" t="s">
        <v>137</v>
      </c>
      <c r="C42" s="20" t="s">
        <v>137</v>
      </c>
      <c r="E42" s="20" t="s">
        <v>137</v>
      </c>
      <c r="F42" s="20" t="s">
        <v>137</v>
      </c>
      <c r="G42" s="20" t="s">
        <v>137</v>
      </c>
      <c r="H42" s="20">
        <v>1</v>
      </c>
      <c r="I42" s="20">
        <v>1</v>
      </c>
      <c r="J42" s="20">
        <v>1</v>
      </c>
      <c r="K42" s="20">
        <v>1</v>
      </c>
      <c r="L42" s="20">
        <v>1</v>
      </c>
      <c r="M42" s="20">
        <v>1</v>
      </c>
      <c r="N42" s="20">
        <v>1</v>
      </c>
      <c r="O42" s="20">
        <v>1</v>
      </c>
      <c r="P42" s="20">
        <v>1</v>
      </c>
      <c r="Q42" s="20">
        <v>1</v>
      </c>
      <c r="R42" s="20">
        <v>1</v>
      </c>
      <c r="S42" s="20">
        <v>1</v>
      </c>
      <c r="T42" s="20">
        <v>1</v>
      </c>
      <c r="U42" s="20">
        <v>0</v>
      </c>
      <c r="V42" s="20">
        <v>1</v>
      </c>
      <c r="W42" s="20">
        <v>1</v>
      </c>
      <c r="X42" s="20">
        <v>0</v>
      </c>
      <c r="Z42" s="20">
        <v>1</v>
      </c>
      <c r="AA42" s="20">
        <v>1</v>
      </c>
      <c r="AB42" s="20">
        <v>1</v>
      </c>
      <c r="AC42" s="20">
        <v>1</v>
      </c>
      <c r="AD42" s="20">
        <v>1</v>
      </c>
      <c r="AF42" s="20">
        <v>1</v>
      </c>
      <c r="AG42" s="20">
        <v>1</v>
      </c>
      <c r="AH42" s="62">
        <v>1</v>
      </c>
      <c r="AI42" s="20">
        <v>1</v>
      </c>
      <c r="AJ42" s="20">
        <v>1</v>
      </c>
      <c r="AK42" s="62">
        <v>1</v>
      </c>
      <c r="AL42" s="20">
        <v>1</v>
      </c>
      <c r="AM42" s="20">
        <v>1</v>
      </c>
      <c r="AN42" s="2"/>
    </row>
    <row r="43" spans="1:44" s="20" customFormat="1" ht="17" customHeight="1">
      <c r="A43" s="20" t="s">
        <v>137</v>
      </c>
      <c r="B43" s="20" t="s">
        <v>137</v>
      </c>
      <c r="C43" s="20" t="s">
        <v>137</v>
      </c>
      <c r="E43" s="20" t="s">
        <v>137</v>
      </c>
      <c r="F43" s="20" t="s">
        <v>137</v>
      </c>
      <c r="G43" s="20" t="s">
        <v>137</v>
      </c>
      <c r="H43" s="20" t="s">
        <v>137</v>
      </c>
      <c r="I43" s="20" t="s">
        <v>137</v>
      </c>
      <c r="J43" s="20" t="s">
        <v>137</v>
      </c>
      <c r="K43" s="20" t="s">
        <v>137</v>
      </c>
      <c r="L43" s="20" t="s">
        <v>137</v>
      </c>
      <c r="M43" s="20" t="s">
        <v>137</v>
      </c>
      <c r="N43" s="20" t="s">
        <v>137</v>
      </c>
      <c r="O43" s="20" t="s">
        <v>137</v>
      </c>
      <c r="P43" s="20" t="s">
        <v>137</v>
      </c>
      <c r="Q43" s="20" t="s">
        <v>137</v>
      </c>
      <c r="R43" s="20" t="s">
        <v>137</v>
      </c>
      <c r="S43" s="20" t="s">
        <v>137</v>
      </c>
      <c r="T43" s="20" t="s">
        <v>137</v>
      </c>
      <c r="U43" s="20" t="s">
        <v>137</v>
      </c>
      <c r="V43" s="20" t="s">
        <v>137</v>
      </c>
      <c r="W43" s="20" t="s">
        <v>137</v>
      </c>
      <c r="X43" s="20" t="s">
        <v>137</v>
      </c>
      <c r="Z43" s="20" t="s">
        <v>137</v>
      </c>
      <c r="AA43" s="20" t="s">
        <v>137</v>
      </c>
      <c r="AB43" s="20">
        <v>1</v>
      </c>
      <c r="AC43" s="20">
        <v>1</v>
      </c>
      <c r="AD43" s="62">
        <v>1</v>
      </c>
      <c r="AE43" s="62"/>
      <c r="AF43" s="20">
        <v>1</v>
      </c>
      <c r="AG43" s="20">
        <v>1</v>
      </c>
      <c r="AH43" s="62">
        <v>1</v>
      </c>
      <c r="AI43" s="20">
        <v>1</v>
      </c>
      <c r="AJ43" s="20">
        <v>1</v>
      </c>
      <c r="AK43" s="62">
        <v>1</v>
      </c>
      <c r="AL43" s="20">
        <v>1</v>
      </c>
      <c r="AM43" s="20">
        <v>1</v>
      </c>
      <c r="AN43" s="2"/>
    </row>
    <row r="44" spans="1:44" s="20" customFormat="1" ht="17" customHeight="1">
      <c r="A44" s="20" t="s">
        <v>137</v>
      </c>
      <c r="B44" s="20" t="s">
        <v>137</v>
      </c>
      <c r="C44" s="20" t="s">
        <v>137</v>
      </c>
      <c r="E44" s="20" t="s">
        <v>137</v>
      </c>
      <c r="F44" s="20" t="s">
        <v>137</v>
      </c>
      <c r="G44" s="20" t="s">
        <v>137</v>
      </c>
      <c r="H44" s="20">
        <v>1</v>
      </c>
      <c r="I44" s="20">
        <v>1</v>
      </c>
      <c r="J44" s="20">
        <v>1</v>
      </c>
      <c r="K44" s="20">
        <v>1</v>
      </c>
      <c r="L44" s="20">
        <v>1</v>
      </c>
      <c r="M44" s="20">
        <v>1</v>
      </c>
      <c r="N44" s="20">
        <v>1</v>
      </c>
      <c r="O44" s="20">
        <v>1</v>
      </c>
      <c r="P44" s="20">
        <v>1</v>
      </c>
      <c r="Q44" s="20">
        <v>1</v>
      </c>
      <c r="R44" s="20">
        <v>1</v>
      </c>
      <c r="S44" s="20">
        <v>1</v>
      </c>
      <c r="T44" s="20">
        <v>1</v>
      </c>
      <c r="U44" s="20">
        <v>1</v>
      </c>
      <c r="V44" s="20">
        <v>1</v>
      </c>
      <c r="W44" s="20">
        <v>1</v>
      </c>
      <c r="X44" s="20">
        <v>1</v>
      </c>
      <c r="Z44" s="20">
        <v>1</v>
      </c>
      <c r="AA44" s="20">
        <v>1</v>
      </c>
      <c r="AB44" s="20">
        <v>1</v>
      </c>
      <c r="AC44" s="20">
        <v>1</v>
      </c>
      <c r="AD44" s="20">
        <v>1</v>
      </c>
      <c r="AF44" s="20">
        <v>1</v>
      </c>
      <c r="AG44" s="20">
        <v>1</v>
      </c>
      <c r="AH44" s="62">
        <v>1</v>
      </c>
      <c r="AI44" s="20">
        <v>1</v>
      </c>
      <c r="AJ44" s="20">
        <v>1</v>
      </c>
      <c r="AK44" s="62">
        <v>1</v>
      </c>
      <c r="AL44" s="20">
        <v>1</v>
      </c>
      <c r="AM44" s="20">
        <v>1</v>
      </c>
      <c r="AN44" s="2"/>
    </row>
    <row r="45" spans="1:44" s="66" customFormat="1" ht="17" customHeight="1" thickBot="1">
      <c r="A45" s="66" t="s">
        <v>137</v>
      </c>
      <c r="B45" s="66" t="s">
        <v>137</v>
      </c>
      <c r="C45" s="66" t="s">
        <v>137</v>
      </c>
      <c r="E45" s="66" t="s">
        <v>137</v>
      </c>
      <c r="F45" s="66" t="s">
        <v>137</v>
      </c>
      <c r="G45" s="66" t="s">
        <v>137</v>
      </c>
      <c r="H45" s="66" t="s">
        <v>137</v>
      </c>
      <c r="I45" s="66" t="s">
        <v>137</v>
      </c>
      <c r="J45" s="66" t="s">
        <v>137</v>
      </c>
      <c r="K45" s="66" t="s">
        <v>137</v>
      </c>
      <c r="L45" s="66" t="s">
        <v>137</v>
      </c>
      <c r="M45" s="66" t="s">
        <v>137</v>
      </c>
      <c r="N45" s="66" t="s">
        <v>137</v>
      </c>
      <c r="O45" s="66" t="s">
        <v>137</v>
      </c>
      <c r="P45" s="66" t="s">
        <v>137</v>
      </c>
      <c r="Q45" s="66" t="s">
        <v>137</v>
      </c>
      <c r="R45" s="66" t="s">
        <v>137</v>
      </c>
      <c r="S45" s="66" t="s">
        <v>137</v>
      </c>
      <c r="T45" s="66" t="s">
        <v>137</v>
      </c>
      <c r="U45" s="66" t="s">
        <v>137</v>
      </c>
      <c r="V45" s="66" t="s">
        <v>137</v>
      </c>
      <c r="W45" s="66" t="s">
        <v>137</v>
      </c>
      <c r="X45" s="66" t="s">
        <v>137</v>
      </c>
      <c r="Y45" s="21"/>
      <c r="Z45" s="66" t="s">
        <v>137</v>
      </c>
      <c r="AA45" s="66" t="s">
        <v>137</v>
      </c>
      <c r="AB45" s="66">
        <v>1</v>
      </c>
      <c r="AC45" s="66">
        <v>1</v>
      </c>
      <c r="AD45" s="72">
        <v>1</v>
      </c>
      <c r="AE45" s="72"/>
      <c r="AF45" s="66">
        <v>1</v>
      </c>
      <c r="AG45" s="66">
        <v>1</v>
      </c>
      <c r="AH45" s="72">
        <v>1</v>
      </c>
      <c r="AI45" s="66">
        <v>1</v>
      </c>
      <c r="AJ45" s="66">
        <v>1</v>
      </c>
      <c r="AK45" s="72">
        <v>1</v>
      </c>
      <c r="AL45" s="66">
        <v>1</v>
      </c>
      <c r="AM45" s="66">
        <v>1</v>
      </c>
      <c r="AN45" s="68"/>
    </row>
    <row r="46" spans="1:44" s="20" customFormat="1" ht="17" customHeight="1" thickTop="1">
      <c r="A46" s="20">
        <v>1</v>
      </c>
      <c r="B46" s="20">
        <v>1</v>
      </c>
      <c r="C46" s="20">
        <v>1</v>
      </c>
      <c r="E46" s="20">
        <v>1</v>
      </c>
      <c r="F46" s="20">
        <v>1</v>
      </c>
      <c r="G46" s="20">
        <v>1</v>
      </c>
      <c r="H46" s="20">
        <v>1</v>
      </c>
      <c r="I46" s="20">
        <v>1</v>
      </c>
      <c r="J46" s="20">
        <v>1</v>
      </c>
      <c r="K46" s="20">
        <v>1</v>
      </c>
      <c r="L46" s="20">
        <v>1</v>
      </c>
      <c r="M46" s="20">
        <v>1</v>
      </c>
      <c r="N46" s="20">
        <v>1</v>
      </c>
      <c r="O46" s="20">
        <v>1</v>
      </c>
      <c r="P46" s="20">
        <v>1</v>
      </c>
      <c r="Q46" s="20">
        <v>1</v>
      </c>
      <c r="R46" s="20">
        <v>1</v>
      </c>
      <c r="S46" s="20">
        <v>1</v>
      </c>
      <c r="T46" s="20">
        <v>1</v>
      </c>
      <c r="U46" s="20">
        <v>1</v>
      </c>
      <c r="V46" s="20">
        <v>1</v>
      </c>
      <c r="W46" s="20">
        <v>1</v>
      </c>
      <c r="X46" s="20">
        <v>0</v>
      </c>
      <c r="Z46" s="20">
        <v>1</v>
      </c>
      <c r="AA46" s="20">
        <v>1</v>
      </c>
      <c r="AB46" s="20">
        <v>1</v>
      </c>
      <c r="AC46" s="20">
        <v>1</v>
      </c>
      <c r="AD46" s="20">
        <v>0</v>
      </c>
      <c r="AF46" s="20">
        <v>1</v>
      </c>
      <c r="AG46" s="20">
        <v>1</v>
      </c>
      <c r="AH46" s="20">
        <v>1</v>
      </c>
      <c r="AI46" s="20">
        <v>1</v>
      </c>
      <c r="AJ46" s="20">
        <v>1</v>
      </c>
      <c r="AK46" s="20">
        <v>1</v>
      </c>
      <c r="AL46" s="20">
        <v>1</v>
      </c>
      <c r="AM46" s="20">
        <v>1</v>
      </c>
      <c r="AN46" s="2"/>
    </row>
    <row r="47" spans="1:44" s="20" customFormat="1" ht="17" customHeight="1">
      <c r="A47" s="20" t="s">
        <v>137</v>
      </c>
      <c r="B47" s="20" t="s">
        <v>137</v>
      </c>
      <c r="C47" s="20" t="s">
        <v>137</v>
      </c>
      <c r="E47" s="20" t="s">
        <v>137</v>
      </c>
      <c r="F47" s="20" t="s">
        <v>137</v>
      </c>
      <c r="G47" s="20" t="s">
        <v>137</v>
      </c>
      <c r="H47" s="20">
        <v>1</v>
      </c>
      <c r="I47" s="20">
        <v>1</v>
      </c>
      <c r="J47" s="20">
        <v>1</v>
      </c>
      <c r="K47" s="20">
        <v>1</v>
      </c>
      <c r="L47" s="20">
        <v>1</v>
      </c>
      <c r="M47" s="20">
        <v>1</v>
      </c>
      <c r="N47" s="20">
        <v>1</v>
      </c>
      <c r="O47" s="20">
        <v>1</v>
      </c>
      <c r="P47" s="20">
        <v>1</v>
      </c>
      <c r="Q47" s="20">
        <v>1</v>
      </c>
      <c r="R47" s="20">
        <v>1</v>
      </c>
      <c r="S47" s="20">
        <v>1</v>
      </c>
      <c r="T47" s="20">
        <v>1</v>
      </c>
      <c r="U47" s="20">
        <v>1</v>
      </c>
      <c r="V47" s="20">
        <v>1</v>
      </c>
      <c r="W47" s="20">
        <v>1</v>
      </c>
      <c r="X47" s="20">
        <v>1</v>
      </c>
      <c r="Z47" s="20">
        <v>1</v>
      </c>
      <c r="AA47" s="20">
        <v>1</v>
      </c>
      <c r="AB47" s="20">
        <v>1</v>
      </c>
      <c r="AC47" s="20">
        <v>1</v>
      </c>
      <c r="AD47" s="20">
        <v>0</v>
      </c>
      <c r="AF47" s="20">
        <v>1</v>
      </c>
      <c r="AG47" s="20">
        <v>1</v>
      </c>
      <c r="AH47" s="20">
        <v>1</v>
      </c>
      <c r="AI47" s="20">
        <v>1</v>
      </c>
      <c r="AJ47" s="20">
        <v>1</v>
      </c>
      <c r="AK47" s="20">
        <v>1</v>
      </c>
      <c r="AL47" s="20">
        <v>1</v>
      </c>
      <c r="AM47" s="20">
        <v>1</v>
      </c>
      <c r="AN47" s="2" t="s">
        <v>142</v>
      </c>
      <c r="AO47" s="20" t="s">
        <v>291</v>
      </c>
      <c r="AP47" s="54">
        <f>SUM(A46:AM57)</f>
        <v>318</v>
      </c>
      <c r="AQ47" s="20">
        <f>COUNT(A46:AM57)</f>
        <v>328</v>
      </c>
      <c r="AR47" s="55">
        <f>AP47/AQ47</f>
        <v>0.96951219512195119</v>
      </c>
    </row>
    <row r="48" spans="1:44" s="20" customFormat="1" ht="17" customHeight="1">
      <c r="A48" s="20">
        <v>1</v>
      </c>
      <c r="B48" s="20">
        <v>1</v>
      </c>
      <c r="C48" s="20">
        <v>1</v>
      </c>
      <c r="E48" s="20">
        <v>1</v>
      </c>
      <c r="F48" s="20">
        <v>1</v>
      </c>
      <c r="G48" s="20">
        <v>1</v>
      </c>
      <c r="H48" s="20">
        <v>1</v>
      </c>
      <c r="I48" s="20">
        <v>1</v>
      </c>
      <c r="J48" s="20">
        <v>1</v>
      </c>
      <c r="K48" s="20">
        <v>1</v>
      </c>
      <c r="L48" s="20">
        <v>1</v>
      </c>
      <c r="M48" s="20">
        <v>1</v>
      </c>
      <c r="N48" s="20">
        <v>1</v>
      </c>
      <c r="O48" s="20">
        <v>1</v>
      </c>
      <c r="P48" s="20">
        <v>1</v>
      </c>
      <c r="Q48" s="20">
        <v>1</v>
      </c>
      <c r="R48" s="20">
        <v>1</v>
      </c>
      <c r="S48" s="20">
        <v>1</v>
      </c>
      <c r="T48" s="20">
        <v>1</v>
      </c>
      <c r="U48" s="20">
        <v>1</v>
      </c>
      <c r="V48" s="20">
        <v>1</v>
      </c>
      <c r="W48" s="20">
        <v>1</v>
      </c>
      <c r="X48" s="20">
        <v>1</v>
      </c>
      <c r="Z48" s="20">
        <v>1</v>
      </c>
      <c r="AA48" s="20">
        <v>1</v>
      </c>
      <c r="AB48" s="20">
        <v>1</v>
      </c>
      <c r="AC48" s="20">
        <v>1</v>
      </c>
      <c r="AD48" s="20">
        <v>1</v>
      </c>
      <c r="AF48" s="20">
        <v>1</v>
      </c>
      <c r="AG48" s="20">
        <v>1</v>
      </c>
      <c r="AH48" s="20">
        <v>1</v>
      </c>
      <c r="AI48" s="20">
        <v>1</v>
      </c>
      <c r="AJ48" s="20">
        <v>1</v>
      </c>
      <c r="AK48" s="20">
        <v>1</v>
      </c>
      <c r="AL48" s="20">
        <v>1</v>
      </c>
      <c r="AM48" s="20">
        <v>1</v>
      </c>
      <c r="AN48" s="2"/>
      <c r="AP48" s="54"/>
      <c r="AQ48" s="54"/>
      <c r="AR48" s="55"/>
    </row>
    <row r="49" spans="1:44" s="20" customFormat="1" ht="17" customHeight="1">
      <c r="A49" s="20" t="s">
        <v>137</v>
      </c>
      <c r="B49" s="20" t="s">
        <v>137</v>
      </c>
      <c r="C49" s="20" t="s">
        <v>137</v>
      </c>
      <c r="E49" s="20" t="s">
        <v>137</v>
      </c>
      <c r="F49" s="20" t="s">
        <v>137</v>
      </c>
      <c r="G49" s="20" t="s">
        <v>137</v>
      </c>
      <c r="H49" s="20">
        <v>1</v>
      </c>
      <c r="I49" s="20">
        <v>1</v>
      </c>
      <c r="J49" s="20">
        <v>1</v>
      </c>
      <c r="K49" s="20">
        <v>1</v>
      </c>
      <c r="L49" s="20">
        <v>1</v>
      </c>
      <c r="M49" s="20">
        <v>1</v>
      </c>
      <c r="N49" s="20">
        <v>1</v>
      </c>
      <c r="O49" s="20">
        <v>1</v>
      </c>
      <c r="P49" s="20">
        <v>1</v>
      </c>
      <c r="Q49" s="20">
        <v>1</v>
      </c>
      <c r="R49" s="20">
        <v>1</v>
      </c>
      <c r="S49" s="20">
        <v>1</v>
      </c>
      <c r="T49" s="20">
        <v>1</v>
      </c>
      <c r="U49" s="20">
        <v>1</v>
      </c>
      <c r="V49" s="20">
        <v>1</v>
      </c>
      <c r="W49" s="20">
        <v>1</v>
      </c>
      <c r="X49" s="20">
        <v>1</v>
      </c>
      <c r="Z49" s="20">
        <v>1</v>
      </c>
      <c r="AA49" s="20">
        <v>1</v>
      </c>
      <c r="AB49" s="20">
        <v>1</v>
      </c>
      <c r="AC49" s="20">
        <v>1</v>
      </c>
      <c r="AD49" s="20">
        <v>1</v>
      </c>
      <c r="AF49" s="20">
        <v>1</v>
      </c>
      <c r="AG49" s="20">
        <v>1</v>
      </c>
      <c r="AH49" s="20">
        <v>1</v>
      </c>
      <c r="AI49" s="20">
        <v>1</v>
      </c>
      <c r="AJ49" s="20">
        <v>1</v>
      </c>
      <c r="AK49" s="20">
        <v>1</v>
      </c>
      <c r="AL49" s="20">
        <v>1</v>
      </c>
      <c r="AM49" s="20">
        <v>1</v>
      </c>
      <c r="AN49" s="2"/>
    </row>
    <row r="50" spans="1:44" s="20" customFormat="1" ht="17" customHeight="1">
      <c r="A50" s="20">
        <v>1</v>
      </c>
      <c r="B50" s="20">
        <v>1</v>
      </c>
      <c r="C50" s="20">
        <v>1</v>
      </c>
      <c r="E50" s="20">
        <v>1</v>
      </c>
      <c r="F50" s="20">
        <v>1</v>
      </c>
      <c r="G50" s="20">
        <v>1</v>
      </c>
      <c r="H50" s="20">
        <v>1</v>
      </c>
      <c r="I50" s="20">
        <v>1</v>
      </c>
      <c r="J50" s="20">
        <v>1</v>
      </c>
      <c r="K50" s="20">
        <v>1</v>
      </c>
      <c r="L50" s="20">
        <v>1</v>
      </c>
      <c r="M50" s="20">
        <v>1</v>
      </c>
      <c r="N50" s="20">
        <v>1</v>
      </c>
      <c r="O50" s="20">
        <v>1</v>
      </c>
      <c r="P50" s="20">
        <v>1</v>
      </c>
      <c r="Q50" s="20">
        <v>1</v>
      </c>
      <c r="R50" s="20">
        <v>1</v>
      </c>
      <c r="S50" s="20">
        <v>1</v>
      </c>
      <c r="T50" s="20">
        <v>1</v>
      </c>
      <c r="U50" s="20">
        <v>1</v>
      </c>
      <c r="V50" s="20">
        <v>1</v>
      </c>
      <c r="W50" s="20">
        <v>1</v>
      </c>
      <c r="X50" s="20">
        <v>1</v>
      </c>
      <c r="Z50" s="20">
        <v>1</v>
      </c>
      <c r="AA50" s="20">
        <v>1</v>
      </c>
      <c r="AB50" s="20">
        <v>1</v>
      </c>
      <c r="AC50" s="20">
        <v>1</v>
      </c>
      <c r="AD50" s="20">
        <v>1</v>
      </c>
      <c r="AF50" s="20">
        <v>1</v>
      </c>
      <c r="AG50" s="20">
        <v>1</v>
      </c>
      <c r="AH50" s="20">
        <v>1</v>
      </c>
      <c r="AI50" s="20">
        <v>1</v>
      </c>
      <c r="AJ50" s="20">
        <v>1</v>
      </c>
      <c r="AK50" s="20">
        <v>1</v>
      </c>
      <c r="AL50" s="20">
        <v>1</v>
      </c>
      <c r="AM50" s="20">
        <v>1</v>
      </c>
      <c r="AN50" s="2" t="s">
        <v>224</v>
      </c>
      <c r="AO50" s="20" t="s">
        <v>292</v>
      </c>
      <c r="AP50" s="54">
        <f>SUM(A3:AM57)</f>
        <v>1371</v>
      </c>
      <c r="AQ50" s="20">
        <f>COUNT(A3:AM57)</f>
        <v>1432</v>
      </c>
      <c r="AR50" s="55">
        <f>AP50/AQ50</f>
        <v>0.95740223463687146</v>
      </c>
    </row>
    <row r="51" spans="1:44" s="20" customFormat="1" ht="17" customHeight="1">
      <c r="A51" s="20" t="s">
        <v>137</v>
      </c>
      <c r="B51" s="20" t="s">
        <v>137</v>
      </c>
      <c r="C51" s="20" t="s">
        <v>137</v>
      </c>
      <c r="E51" s="20" t="s">
        <v>137</v>
      </c>
      <c r="F51" s="20" t="s">
        <v>137</v>
      </c>
      <c r="G51" s="20" t="s">
        <v>137</v>
      </c>
      <c r="H51" s="20" t="s">
        <v>137</v>
      </c>
      <c r="I51" s="20" t="s">
        <v>137</v>
      </c>
      <c r="J51" s="20" t="s">
        <v>137</v>
      </c>
      <c r="K51" s="20" t="s">
        <v>137</v>
      </c>
      <c r="L51" s="20" t="s">
        <v>137</v>
      </c>
      <c r="M51" s="20" t="s">
        <v>137</v>
      </c>
      <c r="N51" s="20" t="s">
        <v>137</v>
      </c>
      <c r="O51" s="20" t="s">
        <v>137</v>
      </c>
      <c r="P51" s="20" t="s">
        <v>137</v>
      </c>
      <c r="Q51" s="20" t="s">
        <v>137</v>
      </c>
      <c r="R51" s="20" t="s">
        <v>137</v>
      </c>
      <c r="S51" s="20" t="s">
        <v>137</v>
      </c>
      <c r="T51" s="20" t="s">
        <v>137</v>
      </c>
      <c r="U51" s="20" t="s">
        <v>137</v>
      </c>
      <c r="V51" s="20" t="s">
        <v>137</v>
      </c>
      <c r="W51" s="20" t="s">
        <v>137</v>
      </c>
      <c r="X51" s="20" t="s">
        <v>137</v>
      </c>
      <c r="Z51" s="20" t="s">
        <v>137</v>
      </c>
      <c r="AA51" s="20" t="s">
        <v>137</v>
      </c>
      <c r="AB51" s="20">
        <v>1</v>
      </c>
      <c r="AC51" s="20">
        <v>1</v>
      </c>
      <c r="AD51" s="20">
        <v>0</v>
      </c>
      <c r="AF51" s="20">
        <v>1</v>
      </c>
      <c r="AG51" s="20">
        <v>1</v>
      </c>
      <c r="AH51" s="20">
        <v>1</v>
      </c>
      <c r="AI51" s="20">
        <v>1</v>
      </c>
      <c r="AJ51" s="20">
        <v>1</v>
      </c>
      <c r="AK51" s="20">
        <v>1</v>
      </c>
      <c r="AL51" s="20">
        <v>1</v>
      </c>
      <c r="AM51" s="20">
        <v>1</v>
      </c>
      <c r="AN51" s="2"/>
    </row>
    <row r="52" spans="1:44" s="20" customFormat="1" ht="17" customHeight="1">
      <c r="A52" s="20" t="s">
        <v>137</v>
      </c>
      <c r="B52" s="20" t="s">
        <v>137</v>
      </c>
      <c r="C52" s="20" t="s">
        <v>137</v>
      </c>
      <c r="E52" s="20" t="s">
        <v>137</v>
      </c>
      <c r="F52" s="20" t="s">
        <v>137</v>
      </c>
      <c r="G52" s="20" t="s">
        <v>137</v>
      </c>
      <c r="H52" s="20">
        <v>1</v>
      </c>
      <c r="I52" s="20">
        <v>1</v>
      </c>
      <c r="J52" s="20">
        <v>1</v>
      </c>
      <c r="K52" s="20">
        <v>1</v>
      </c>
      <c r="L52" s="20">
        <v>1</v>
      </c>
      <c r="M52" s="20">
        <v>1</v>
      </c>
      <c r="N52" s="20">
        <v>1</v>
      </c>
      <c r="O52" s="20">
        <v>1</v>
      </c>
      <c r="P52" s="20">
        <v>1</v>
      </c>
      <c r="Q52" s="20">
        <v>1</v>
      </c>
      <c r="R52" s="20">
        <v>1</v>
      </c>
      <c r="S52" s="20">
        <v>1</v>
      </c>
      <c r="T52" s="20">
        <v>1</v>
      </c>
      <c r="U52" s="20">
        <v>1</v>
      </c>
      <c r="V52" s="20">
        <v>1</v>
      </c>
      <c r="W52" s="20">
        <v>1</v>
      </c>
      <c r="X52" s="20">
        <v>1</v>
      </c>
      <c r="Z52" s="20">
        <v>1</v>
      </c>
      <c r="AA52" s="20">
        <v>1</v>
      </c>
      <c r="AB52" s="20">
        <v>1</v>
      </c>
      <c r="AC52" s="20">
        <v>1</v>
      </c>
      <c r="AD52" s="20">
        <v>1</v>
      </c>
      <c r="AF52" s="20">
        <v>1</v>
      </c>
      <c r="AG52" s="20">
        <v>1</v>
      </c>
      <c r="AH52" s="20">
        <v>1</v>
      </c>
      <c r="AI52" s="20">
        <v>1</v>
      </c>
      <c r="AJ52" s="20">
        <v>1</v>
      </c>
      <c r="AK52" s="20">
        <v>1</v>
      </c>
      <c r="AL52" s="20">
        <v>1</v>
      </c>
      <c r="AM52" s="20">
        <v>1</v>
      </c>
      <c r="AN52" s="2"/>
    </row>
    <row r="53" spans="1:44" s="20" customFormat="1" ht="17" customHeight="1">
      <c r="A53" s="20" t="s">
        <v>137</v>
      </c>
      <c r="B53" s="20" t="s">
        <v>137</v>
      </c>
      <c r="C53" s="20" t="s">
        <v>137</v>
      </c>
      <c r="E53" s="20" t="s">
        <v>137</v>
      </c>
      <c r="F53" s="20" t="s">
        <v>137</v>
      </c>
      <c r="G53" s="20" t="s">
        <v>137</v>
      </c>
      <c r="H53" s="20" t="s">
        <v>137</v>
      </c>
      <c r="I53" s="20" t="s">
        <v>137</v>
      </c>
      <c r="J53" s="20" t="s">
        <v>137</v>
      </c>
      <c r="K53" s="20" t="s">
        <v>137</v>
      </c>
      <c r="L53" s="20" t="s">
        <v>137</v>
      </c>
      <c r="M53" s="20" t="s">
        <v>137</v>
      </c>
      <c r="N53" s="20" t="s">
        <v>137</v>
      </c>
      <c r="O53" s="20" t="s">
        <v>137</v>
      </c>
      <c r="P53" s="20" t="s">
        <v>137</v>
      </c>
      <c r="Q53" s="20" t="s">
        <v>137</v>
      </c>
      <c r="R53" s="20" t="s">
        <v>137</v>
      </c>
      <c r="S53" s="20" t="s">
        <v>137</v>
      </c>
      <c r="T53" s="20" t="s">
        <v>137</v>
      </c>
      <c r="U53" s="20" t="s">
        <v>137</v>
      </c>
      <c r="V53" s="20" t="s">
        <v>137</v>
      </c>
      <c r="W53" s="20" t="s">
        <v>137</v>
      </c>
      <c r="X53" s="20" t="s">
        <v>137</v>
      </c>
      <c r="Z53" s="20" t="s">
        <v>137</v>
      </c>
      <c r="AA53" s="20" t="s">
        <v>137</v>
      </c>
      <c r="AB53" s="20">
        <v>1</v>
      </c>
      <c r="AC53" s="20">
        <v>1</v>
      </c>
      <c r="AD53" s="20">
        <v>0</v>
      </c>
      <c r="AF53" s="20">
        <v>1</v>
      </c>
      <c r="AG53" s="20">
        <v>1</v>
      </c>
      <c r="AH53" s="20">
        <v>1</v>
      </c>
      <c r="AI53" s="20">
        <v>1</v>
      </c>
      <c r="AJ53" s="20">
        <v>1</v>
      </c>
      <c r="AK53" s="20">
        <v>1</v>
      </c>
      <c r="AL53" s="20">
        <v>1</v>
      </c>
      <c r="AM53" s="20">
        <v>1</v>
      </c>
      <c r="AN53" s="2"/>
    </row>
    <row r="54" spans="1:44" s="20" customFormat="1" ht="17" customHeight="1">
      <c r="A54" s="20" t="s">
        <v>137</v>
      </c>
      <c r="B54" s="20" t="s">
        <v>137</v>
      </c>
      <c r="C54" s="20" t="s">
        <v>137</v>
      </c>
      <c r="E54" s="20" t="s">
        <v>137</v>
      </c>
      <c r="F54" s="20" t="s">
        <v>137</v>
      </c>
      <c r="G54" s="20" t="s">
        <v>137</v>
      </c>
      <c r="H54" s="20">
        <v>1</v>
      </c>
      <c r="I54" s="20">
        <v>1</v>
      </c>
      <c r="J54" s="20">
        <v>1</v>
      </c>
      <c r="K54" s="20">
        <v>1</v>
      </c>
      <c r="L54" s="20">
        <v>1</v>
      </c>
      <c r="M54" s="20">
        <v>1</v>
      </c>
      <c r="N54" s="20">
        <v>1</v>
      </c>
      <c r="O54" s="20">
        <v>1</v>
      </c>
      <c r="P54" s="20">
        <v>1</v>
      </c>
      <c r="Q54" s="20">
        <v>1</v>
      </c>
      <c r="R54" s="20">
        <v>1</v>
      </c>
      <c r="S54" s="20">
        <v>1</v>
      </c>
      <c r="T54" s="20">
        <v>1</v>
      </c>
      <c r="U54" s="20">
        <v>1</v>
      </c>
      <c r="V54" s="20">
        <v>1</v>
      </c>
      <c r="W54" s="20">
        <v>1</v>
      </c>
      <c r="X54" s="20">
        <v>1</v>
      </c>
      <c r="Z54" s="20">
        <v>1</v>
      </c>
      <c r="AA54" s="20">
        <v>1</v>
      </c>
      <c r="AB54" s="20">
        <v>1</v>
      </c>
      <c r="AC54" s="20">
        <v>1</v>
      </c>
      <c r="AD54" s="20">
        <v>1</v>
      </c>
      <c r="AF54" s="20">
        <v>1</v>
      </c>
      <c r="AG54" s="20">
        <v>1</v>
      </c>
      <c r="AH54" s="20">
        <v>1</v>
      </c>
      <c r="AI54" s="20">
        <v>1</v>
      </c>
      <c r="AJ54" s="20">
        <v>1</v>
      </c>
      <c r="AK54" s="20">
        <v>1</v>
      </c>
      <c r="AL54" s="20">
        <v>1</v>
      </c>
      <c r="AM54" s="20">
        <v>1</v>
      </c>
      <c r="AN54" s="2"/>
    </row>
    <row r="55" spans="1:44" s="20" customFormat="1" ht="17" customHeight="1">
      <c r="A55" s="20" t="s">
        <v>137</v>
      </c>
      <c r="B55" s="20" t="s">
        <v>137</v>
      </c>
      <c r="C55" s="20" t="s">
        <v>137</v>
      </c>
      <c r="E55" s="20" t="s">
        <v>137</v>
      </c>
      <c r="F55" s="20" t="s">
        <v>137</v>
      </c>
      <c r="G55" s="20" t="s">
        <v>137</v>
      </c>
      <c r="H55" s="20" t="s">
        <v>137</v>
      </c>
      <c r="I55" s="20" t="s">
        <v>137</v>
      </c>
      <c r="J55" s="20" t="s">
        <v>137</v>
      </c>
      <c r="K55" s="20" t="s">
        <v>137</v>
      </c>
      <c r="L55" s="20" t="s">
        <v>137</v>
      </c>
      <c r="M55" s="20" t="s">
        <v>137</v>
      </c>
      <c r="N55" s="20" t="s">
        <v>137</v>
      </c>
      <c r="O55" s="20" t="s">
        <v>137</v>
      </c>
      <c r="P55" s="20" t="s">
        <v>137</v>
      </c>
      <c r="Q55" s="20" t="s">
        <v>137</v>
      </c>
      <c r="R55" s="20" t="s">
        <v>137</v>
      </c>
      <c r="S55" s="20" t="s">
        <v>137</v>
      </c>
      <c r="T55" s="20" t="s">
        <v>137</v>
      </c>
      <c r="U55" s="20" t="s">
        <v>137</v>
      </c>
      <c r="V55" s="20" t="s">
        <v>137</v>
      </c>
      <c r="W55" s="20" t="s">
        <v>137</v>
      </c>
      <c r="X55" s="20" t="s">
        <v>137</v>
      </c>
      <c r="Z55" s="20" t="s">
        <v>137</v>
      </c>
      <c r="AA55" s="20" t="s">
        <v>137</v>
      </c>
      <c r="AB55" s="20">
        <v>1</v>
      </c>
      <c r="AC55" s="20">
        <v>1</v>
      </c>
      <c r="AD55" s="20">
        <v>0</v>
      </c>
      <c r="AF55" s="20">
        <v>1</v>
      </c>
      <c r="AG55" s="20">
        <v>1</v>
      </c>
      <c r="AH55" s="20">
        <v>1</v>
      </c>
      <c r="AI55" s="20">
        <v>1</v>
      </c>
      <c r="AJ55" s="20">
        <v>1</v>
      </c>
      <c r="AK55" s="20">
        <v>1</v>
      </c>
      <c r="AL55" s="20">
        <v>1</v>
      </c>
      <c r="AM55" s="20">
        <v>1</v>
      </c>
      <c r="AN55" s="2"/>
    </row>
    <row r="56" spans="1:44" s="20" customFormat="1" ht="17" customHeight="1">
      <c r="A56" s="20">
        <v>1</v>
      </c>
      <c r="B56" s="20">
        <v>1</v>
      </c>
      <c r="C56" s="20">
        <v>1</v>
      </c>
      <c r="E56" s="20">
        <v>1</v>
      </c>
      <c r="F56" s="20">
        <v>1</v>
      </c>
      <c r="G56" s="20">
        <v>0</v>
      </c>
      <c r="H56" s="20">
        <v>1</v>
      </c>
      <c r="I56" s="20">
        <v>1</v>
      </c>
      <c r="J56" s="20">
        <v>1</v>
      </c>
      <c r="K56" s="20">
        <v>1</v>
      </c>
      <c r="L56" s="20">
        <v>1</v>
      </c>
      <c r="M56" s="20">
        <v>1</v>
      </c>
      <c r="N56" s="20">
        <v>1</v>
      </c>
      <c r="O56" s="20">
        <v>1</v>
      </c>
      <c r="P56" s="20">
        <v>1</v>
      </c>
      <c r="Q56" s="20">
        <v>1</v>
      </c>
      <c r="R56" s="20">
        <v>0</v>
      </c>
      <c r="S56" s="20">
        <v>1</v>
      </c>
      <c r="T56" s="20">
        <v>0</v>
      </c>
      <c r="U56" s="20">
        <v>1</v>
      </c>
      <c r="V56" s="20">
        <v>1</v>
      </c>
      <c r="W56" s="20">
        <v>1</v>
      </c>
      <c r="X56" s="20">
        <v>1</v>
      </c>
      <c r="Z56" s="20">
        <v>0</v>
      </c>
      <c r="AA56" s="20">
        <v>1</v>
      </c>
      <c r="AB56" s="20">
        <v>1</v>
      </c>
      <c r="AC56" s="20">
        <v>1</v>
      </c>
      <c r="AD56" s="20">
        <v>1</v>
      </c>
      <c r="AF56" s="20">
        <v>1</v>
      </c>
      <c r="AG56" s="20">
        <v>1</v>
      </c>
      <c r="AH56" s="20">
        <v>1</v>
      </c>
      <c r="AI56" s="20">
        <v>1</v>
      </c>
      <c r="AJ56" s="20">
        <v>1</v>
      </c>
      <c r="AK56" s="20">
        <v>1</v>
      </c>
      <c r="AL56" s="20">
        <v>1</v>
      </c>
      <c r="AM56" s="20">
        <v>1</v>
      </c>
      <c r="AN56" s="2"/>
    </row>
    <row r="57" spans="1:44" s="66" customFormat="1" ht="17" customHeight="1" thickBot="1">
      <c r="A57" s="66">
        <v>1</v>
      </c>
      <c r="B57" s="66" t="s">
        <v>137</v>
      </c>
      <c r="C57" s="66" t="s">
        <v>137</v>
      </c>
      <c r="E57" s="66" t="s">
        <v>137</v>
      </c>
      <c r="F57" s="66" t="s">
        <v>137</v>
      </c>
      <c r="G57" s="66" t="s">
        <v>137</v>
      </c>
      <c r="H57" s="66">
        <v>1</v>
      </c>
      <c r="I57" s="66">
        <v>1</v>
      </c>
      <c r="J57" s="66">
        <v>1</v>
      </c>
      <c r="K57" s="66">
        <v>1</v>
      </c>
      <c r="L57" s="66">
        <v>1</v>
      </c>
      <c r="M57" s="66">
        <v>1</v>
      </c>
      <c r="N57" s="66">
        <v>1</v>
      </c>
      <c r="O57" s="66">
        <v>1</v>
      </c>
      <c r="P57" s="66">
        <v>1</v>
      </c>
      <c r="Q57" s="66">
        <v>1</v>
      </c>
      <c r="R57" s="66">
        <v>1</v>
      </c>
      <c r="S57" s="66">
        <v>1</v>
      </c>
      <c r="T57" s="66">
        <v>1</v>
      </c>
      <c r="U57" s="66">
        <v>1</v>
      </c>
      <c r="V57" s="66">
        <v>1</v>
      </c>
      <c r="W57" s="66">
        <v>1</v>
      </c>
      <c r="X57" s="66">
        <v>1</v>
      </c>
      <c r="Z57" s="66">
        <v>1</v>
      </c>
      <c r="AA57" s="66">
        <v>1</v>
      </c>
      <c r="AB57" s="66">
        <v>1</v>
      </c>
      <c r="AC57" s="66">
        <v>1</v>
      </c>
      <c r="AD57" s="66">
        <v>1</v>
      </c>
      <c r="AF57" s="66">
        <v>1</v>
      </c>
      <c r="AG57" s="66">
        <v>1</v>
      </c>
      <c r="AH57" s="66">
        <v>1</v>
      </c>
      <c r="AI57" s="66">
        <v>1</v>
      </c>
      <c r="AJ57" s="66">
        <v>1</v>
      </c>
      <c r="AK57" s="66">
        <v>1</v>
      </c>
      <c r="AL57" s="66">
        <v>1</v>
      </c>
      <c r="AM57" s="66">
        <v>1</v>
      </c>
      <c r="AN57" s="68"/>
    </row>
    <row r="58" spans="1:44" ht="17" thickTop="1">
      <c r="A58" s="20">
        <v>1</v>
      </c>
      <c r="B58" s="20">
        <v>1</v>
      </c>
      <c r="C58" s="20">
        <v>1</v>
      </c>
      <c r="D58" s="20"/>
      <c r="E58" s="20">
        <v>1</v>
      </c>
      <c r="F58" s="20">
        <v>1</v>
      </c>
      <c r="G58" s="20">
        <v>1</v>
      </c>
      <c r="H58" s="20">
        <v>1</v>
      </c>
      <c r="I58" s="20">
        <v>1</v>
      </c>
      <c r="J58" s="20">
        <v>1</v>
      </c>
      <c r="K58" s="20">
        <v>1</v>
      </c>
      <c r="L58" s="20">
        <v>1</v>
      </c>
      <c r="M58" s="20">
        <v>1</v>
      </c>
      <c r="N58" s="20">
        <v>1</v>
      </c>
      <c r="O58" s="20">
        <v>1</v>
      </c>
      <c r="P58" s="20">
        <v>1</v>
      </c>
      <c r="Q58" s="20">
        <v>0</v>
      </c>
      <c r="R58" s="20">
        <v>1</v>
      </c>
      <c r="S58" s="20">
        <v>1</v>
      </c>
      <c r="T58" s="20">
        <v>0</v>
      </c>
      <c r="U58" s="20">
        <v>1</v>
      </c>
      <c r="V58" s="20">
        <v>1</v>
      </c>
      <c r="W58" s="20">
        <v>1</v>
      </c>
      <c r="X58" s="20">
        <v>1</v>
      </c>
      <c r="Y58" s="20">
        <v>1</v>
      </c>
      <c r="Z58" s="20">
        <v>1</v>
      </c>
      <c r="AA58" s="20">
        <v>1</v>
      </c>
      <c r="AB58" s="20">
        <v>1</v>
      </c>
      <c r="AC58" s="20">
        <v>1</v>
      </c>
      <c r="AD58" s="20">
        <v>1</v>
      </c>
      <c r="AE58" s="20"/>
      <c r="AF58" s="20">
        <v>1</v>
      </c>
      <c r="AG58" s="20">
        <v>1</v>
      </c>
      <c r="AH58" s="20">
        <v>1</v>
      </c>
      <c r="AI58" s="20">
        <v>1</v>
      </c>
      <c r="AJ58" s="20">
        <v>1</v>
      </c>
      <c r="AK58" s="20">
        <v>1</v>
      </c>
      <c r="AL58" s="20" t="s">
        <v>137</v>
      </c>
      <c r="AM58" s="20">
        <v>1</v>
      </c>
    </row>
    <row r="59" spans="1:44" ht="16">
      <c r="A59" s="20">
        <v>1</v>
      </c>
      <c r="B59" s="20" t="s">
        <v>137</v>
      </c>
      <c r="C59" s="20" t="s">
        <v>137</v>
      </c>
      <c r="D59" s="20"/>
      <c r="E59" s="20" t="s">
        <v>137</v>
      </c>
      <c r="F59" s="20" t="s">
        <v>137</v>
      </c>
      <c r="G59" s="20" t="s">
        <v>137</v>
      </c>
      <c r="H59" s="20" t="s">
        <v>137</v>
      </c>
      <c r="I59" s="20" t="s">
        <v>137</v>
      </c>
      <c r="J59" s="20" t="s">
        <v>137</v>
      </c>
      <c r="K59" s="20" t="s">
        <v>137</v>
      </c>
      <c r="L59" s="20" t="s">
        <v>137</v>
      </c>
      <c r="M59" s="20" t="s">
        <v>137</v>
      </c>
      <c r="N59" s="20" t="s">
        <v>137</v>
      </c>
      <c r="O59" s="20" t="s">
        <v>137</v>
      </c>
      <c r="P59" s="20" t="s">
        <v>137</v>
      </c>
      <c r="Q59" s="20" t="s">
        <v>137</v>
      </c>
      <c r="R59" s="20" t="s">
        <v>137</v>
      </c>
      <c r="S59" s="20" t="s">
        <v>137</v>
      </c>
      <c r="T59" s="20" t="s">
        <v>137</v>
      </c>
      <c r="U59" s="20" t="s">
        <v>137</v>
      </c>
      <c r="V59" s="20" t="s">
        <v>137</v>
      </c>
      <c r="W59" s="20" t="s">
        <v>137</v>
      </c>
      <c r="X59" s="20" t="s">
        <v>137</v>
      </c>
      <c r="Y59" s="20" t="s">
        <v>137</v>
      </c>
      <c r="Z59" s="20" t="s">
        <v>137</v>
      </c>
      <c r="AA59" s="20" t="s">
        <v>137</v>
      </c>
      <c r="AB59" s="20">
        <v>1</v>
      </c>
      <c r="AC59" s="20">
        <v>1</v>
      </c>
      <c r="AD59" s="20">
        <v>1</v>
      </c>
      <c r="AE59" s="20"/>
      <c r="AF59" s="20">
        <v>1</v>
      </c>
      <c r="AG59" s="20">
        <v>1</v>
      </c>
      <c r="AH59" s="20">
        <v>1</v>
      </c>
      <c r="AI59" s="20">
        <v>1</v>
      </c>
      <c r="AJ59" s="20">
        <v>1</v>
      </c>
      <c r="AK59" s="20">
        <v>1</v>
      </c>
      <c r="AL59" s="20" t="s">
        <v>137</v>
      </c>
      <c r="AM59" s="20">
        <v>1</v>
      </c>
    </row>
    <row r="60" spans="1:44" ht="16">
      <c r="A60" s="20" t="s">
        <v>137</v>
      </c>
      <c r="B60" s="20" t="s">
        <v>137</v>
      </c>
      <c r="C60" s="20" t="s">
        <v>137</v>
      </c>
      <c r="D60" s="20"/>
      <c r="E60" s="20" t="s">
        <v>137</v>
      </c>
      <c r="F60" s="20" t="s">
        <v>137</v>
      </c>
      <c r="G60" s="20" t="s">
        <v>137</v>
      </c>
      <c r="H60" s="20" t="s">
        <v>137</v>
      </c>
      <c r="I60" s="20" t="s">
        <v>137</v>
      </c>
      <c r="J60" s="20" t="s">
        <v>137</v>
      </c>
      <c r="K60" s="20" t="s">
        <v>137</v>
      </c>
      <c r="L60" s="20" t="s">
        <v>137</v>
      </c>
      <c r="M60" s="20" t="s">
        <v>137</v>
      </c>
      <c r="N60" s="20" t="s">
        <v>137</v>
      </c>
      <c r="O60" s="20" t="s">
        <v>137</v>
      </c>
      <c r="P60" s="20" t="s">
        <v>137</v>
      </c>
      <c r="Q60" s="20" t="s">
        <v>137</v>
      </c>
      <c r="R60" s="20" t="s">
        <v>137</v>
      </c>
      <c r="S60" s="20" t="s">
        <v>137</v>
      </c>
      <c r="T60" s="20" t="s">
        <v>137</v>
      </c>
      <c r="U60" s="20" t="s">
        <v>137</v>
      </c>
      <c r="V60" s="20" t="s">
        <v>137</v>
      </c>
      <c r="W60" s="20" t="s">
        <v>137</v>
      </c>
      <c r="X60" s="20" t="s">
        <v>137</v>
      </c>
      <c r="Y60" s="20" t="s">
        <v>137</v>
      </c>
      <c r="Z60" s="20" t="s">
        <v>137</v>
      </c>
      <c r="AA60" s="20" t="s">
        <v>137</v>
      </c>
      <c r="AB60" s="20">
        <v>1</v>
      </c>
      <c r="AC60" s="20">
        <v>1</v>
      </c>
      <c r="AD60" s="20">
        <v>1</v>
      </c>
      <c r="AE60" s="20"/>
      <c r="AF60" s="20">
        <v>1</v>
      </c>
      <c r="AG60" s="20">
        <v>1</v>
      </c>
      <c r="AH60" s="20">
        <v>1</v>
      </c>
      <c r="AI60" s="20">
        <v>1</v>
      </c>
      <c r="AJ60" s="20">
        <v>1</v>
      </c>
      <c r="AK60" s="20">
        <v>1</v>
      </c>
      <c r="AL60" s="20" t="s">
        <v>137</v>
      </c>
      <c r="AM60" s="20">
        <v>1</v>
      </c>
      <c r="AN60" s="2" t="s">
        <v>142</v>
      </c>
      <c r="AO60" s="20" t="s">
        <v>448</v>
      </c>
      <c r="AP60" s="54">
        <f>SUM(A58:AK108)</f>
        <v>1011</v>
      </c>
      <c r="AQ60" s="20">
        <f>COUNT(A58:AK108)</f>
        <v>1031</v>
      </c>
      <c r="AR60" s="55">
        <f>AP60/AQ60</f>
        <v>0.98060135790494662</v>
      </c>
    </row>
    <row r="61" spans="1:44" ht="16">
      <c r="A61" s="20" t="s">
        <v>137</v>
      </c>
      <c r="B61" s="20" t="s">
        <v>137</v>
      </c>
      <c r="C61" s="20" t="s">
        <v>137</v>
      </c>
      <c r="D61" s="20"/>
      <c r="E61" s="20" t="s">
        <v>137</v>
      </c>
      <c r="F61" s="20" t="s">
        <v>137</v>
      </c>
      <c r="G61" s="20" t="s">
        <v>137</v>
      </c>
      <c r="H61" s="20" t="s">
        <v>137</v>
      </c>
      <c r="I61" s="20" t="s">
        <v>137</v>
      </c>
      <c r="J61" s="20" t="s">
        <v>137</v>
      </c>
      <c r="K61" s="20" t="s">
        <v>137</v>
      </c>
      <c r="L61" s="20" t="s">
        <v>137</v>
      </c>
      <c r="M61" s="20" t="s">
        <v>137</v>
      </c>
      <c r="N61" s="20" t="s">
        <v>137</v>
      </c>
      <c r="O61" s="20" t="s">
        <v>137</v>
      </c>
      <c r="P61" s="20" t="s">
        <v>137</v>
      </c>
      <c r="Q61" s="20" t="s">
        <v>137</v>
      </c>
      <c r="R61" s="20" t="s">
        <v>137</v>
      </c>
      <c r="S61" s="20" t="s">
        <v>137</v>
      </c>
      <c r="T61" s="20" t="s">
        <v>137</v>
      </c>
      <c r="U61" s="20" t="s">
        <v>137</v>
      </c>
      <c r="V61" s="20" t="s">
        <v>137</v>
      </c>
      <c r="W61" s="20" t="s">
        <v>137</v>
      </c>
      <c r="X61" s="20" t="s">
        <v>137</v>
      </c>
      <c r="Y61" s="20" t="s">
        <v>137</v>
      </c>
      <c r="Z61" s="20" t="s">
        <v>137</v>
      </c>
      <c r="AA61" s="20" t="s">
        <v>137</v>
      </c>
      <c r="AB61" s="20">
        <v>1</v>
      </c>
      <c r="AC61" s="20">
        <v>1</v>
      </c>
      <c r="AD61" s="20">
        <v>1</v>
      </c>
      <c r="AE61" s="20"/>
      <c r="AF61" s="20">
        <v>1</v>
      </c>
      <c r="AG61" s="20">
        <v>1</v>
      </c>
      <c r="AH61" s="20">
        <v>1</v>
      </c>
      <c r="AI61" s="20">
        <v>1</v>
      </c>
      <c r="AJ61" s="20">
        <v>1</v>
      </c>
      <c r="AK61" s="20">
        <v>1</v>
      </c>
      <c r="AL61" s="20" t="s">
        <v>137</v>
      </c>
      <c r="AM61" s="20">
        <v>1</v>
      </c>
      <c r="AN61" s="2"/>
      <c r="AO61" s="20"/>
      <c r="AP61" s="54"/>
      <c r="AQ61" s="54"/>
      <c r="AR61" s="55"/>
    </row>
    <row r="62" spans="1:44" ht="16">
      <c r="A62" s="20" t="s">
        <v>137</v>
      </c>
      <c r="B62" s="20" t="s">
        <v>137</v>
      </c>
      <c r="C62" s="20" t="s">
        <v>137</v>
      </c>
      <c r="D62" s="20"/>
      <c r="E62" s="20" t="s">
        <v>137</v>
      </c>
      <c r="F62" s="20" t="s">
        <v>137</v>
      </c>
      <c r="G62" s="20" t="s">
        <v>137</v>
      </c>
      <c r="H62" s="20">
        <v>1</v>
      </c>
      <c r="I62" s="20">
        <v>1</v>
      </c>
      <c r="J62" s="20">
        <v>1</v>
      </c>
      <c r="K62" s="20">
        <v>1</v>
      </c>
      <c r="L62" s="20">
        <v>1</v>
      </c>
      <c r="M62" s="20">
        <v>1</v>
      </c>
      <c r="N62" s="20">
        <v>1</v>
      </c>
      <c r="O62" s="20">
        <v>1</v>
      </c>
      <c r="P62" s="20">
        <v>1</v>
      </c>
      <c r="Q62" s="20">
        <v>0</v>
      </c>
      <c r="R62" s="20">
        <v>1</v>
      </c>
      <c r="S62" s="20">
        <v>1</v>
      </c>
      <c r="T62" s="20">
        <v>1</v>
      </c>
      <c r="U62" s="20">
        <v>1</v>
      </c>
      <c r="V62" s="20">
        <v>1</v>
      </c>
      <c r="W62" s="20">
        <v>1</v>
      </c>
      <c r="X62" s="20">
        <v>1</v>
      </c>
      <c r="Y62" s="20">
        <v>1</v>
      </c>
      <c r="Z62" s="20">
        <v>1</v>
      </c>
      <c r="AA62" s="20">
        <v>1</v>
      </c>
      <c r="AB62" s="20">
        <v>1</v>
      </c>
      <c r="AC62" s="20">
        <v>1</v>
      </c>
      <c r="AD62" s="20">
        <v>1</v>
      </c>
      <c r="AE62" s="20"/>
      <c r="AF62" s="20">
        <v>1</v>
      </c>
      <c r="AG62" s="20">
        <v>1</v>
      </c>
      <c r="AH62" s="20">
        <v>1</v>
      </c>
      <c r="AI62" s="20">
        <v>1</v>
      </c>
      <c r="AJ62" s="20">
        <v>1</v>
      </c>
      <c r="AK62" s="20">
        <v>1</v>
      </c>
      <c r="AL62" s="20" t="s">
        <v>137</v>
      </c>
      <c r="AM62" s="20">
        <v>1</v>
      </c>
      <c r="AN62" s="2"/>
      <c r="AO62" s="20"/>
      <c r="AP62" s="20"/>
      <c r="AQ62" s="20"/>
      <c r="AR62" s="20"/>
    </row>
    <row r="63" spans="1:44" ht="16">
      <c r="A63" s="20" t="s">
        <v>137</v>
      </c>
      <c r="B63" s="20" t="s">
        <v>137</v>
      </c>
      <c r="C63" s="20" t="s">
        <v>137</v>
      </c>
      <c r="D63" s="20"/>
      <c r="E63" s="20" t="s">
        <v>137</v>
      </c>
      <c r="F63" s="20" t="s">
        <v>137</v>
      </c>
      <c r="G63" s="20" t="s">
        <v>137</v>
      </c>
      <c r="H63" s="20" t="s">
        <v>137</v>
      </c>
      <c r="I63" s="20" t="s">
        <v>137</v>
      </c>
      <c r="J63" s="20" t="s">
        <v>137</v>
      </c>
      <c r="K63" s="20" t="s">
        <v>137</v>
      </c>
      <c r="L63" s="20" t="s">
        <v>137</v>
      </c>
      <c r="M63" s="20" t="s">
        <v>137</v>
      </c>
      <c r="N63" s="20" t="s">
        <v>137</v>
      </c>
      <c r="O63" s="20" t="s">
        <v>137</v>
      </c>
      <c r="P63" s="20" t="s">
        <v>137</v>
      </c>
      <c r="Q63" s="20" t="s">
        <v>137</v>
      </c>
      <c r="R63" s="20" t="s">
        <v>137</v>
      </c>
      <c r="S63" s="20" t="s">
        <v>137</v>
      </c>
      <c r="T63" s="20" t="s">
        <v>137</v>
      </c>
      <c r="U63" s="20" t="s">
        <v>137</v>
      </c>
      <c r="V63" s="20" t="s">
        <v>137</v>
      </c>
      <c r="W63" s="20" t="s">
        <v>137</v>
      </c>
      <c r="X63" s="20" t="s">
        <v>137</v>
      </c>
      <c r="Y63" s="20" t="s">
        <v>137</v>
      </c>
      <c r="Z63" s="20" t="s">
        <v>137</v>
      </c>
      <c r="AA63" s="20" t="s">
        <v>137</v>
      </c>
      <c r="AB63" s="20">
        <v>1</v>
      </c>
      <c r="AC63" s="20">
        <v>1</v>
      </c>
      <c r="AD63" s="20">
        <v>1</v>
      </c>
      <c r="AE63" s="20"/>
      <c r="AF63" s="20">
        <v>1</v>
      </c>
      <c r="AG63" s="20">
        <v>1</v>
      </c>
      <c r="AH63" s="20">
        <v>1</v>
      </c>
      <c r="AI63" s="20">
        <v>1</v>
      </c>
      <c r="AJ63" s="20">
        <v>1</v>
      </c>
      <c r="AK63" s="20">
        <v>1</v>
      </c>
      <c r="AL63" s="20" t="s">
        <v>137</v>
      </c>
      <c r="AM63" s="20">
        <v>1</v>
      </c>
      <c r="AN63" s="2" t="s">
        <v>224</v>
      </c>
      <c r="AO63" s="20" t="s">
        <v>449</v>
      </c>
      <c r="AP63" s="54">
        <f>SUM(A3:AK108)</f>
        <v>2274</v>
      </c>
      <c r="AQ63" s="20">
        <f>COUNT(A3:AK108)</f>
        <v>2353</v>
      </c>
      <c r="AR63" s="55">
        <f>AP63/AQ63</f>
        <v>0.96642583935401616</v>
      </c>
    </row>
    <row r="64" spans="1:44" ht="16">
      <c r="A64" s="20" t="s">
        <v>137</v>
      </c>
      <c r="B64" s="20" t="s">
        <v>137</v>
      </c>
      <c r="C64" s="20" t="s">
        <v>137</v>
      </c>
      <c r="D64" s="20"/>
      <c r="E64" s="20" t="s">
        <v>137</v>
      </c>
      <c r="F64" s="20" t="s">
        <v>137</v>
      </c>
      <c r="G64" s="20" t="s">
        <v>137</v>
      </c>
      <c r="H64" s="20" t="s">
        <v>137</v>
      </c>
      <c r="I64" s="20" t="s">
        <v>137</v>
      </c>
      <c r="J64" s="20" t="s">
        <v>137</v>
      </c>
      <c r="K64" s="20" t="s">
        <v>137</v>
      </c>
      <c r="L64" s="20" t="s">
        <v>137</v>
      </c>
      <c r="M64" s="20" t="s">
        <v>137</v>
      </c>
      <c r="N64" s="20" t="s">
        <v>137</v>
      </c>
      <c r="O64" s="20" t="s">
        <v>137</v>
      </c>
      <c r="P64" s="20" t="s">
        <v>137</v>
      </c>
      <c r="Q64" s="20" t="s">
        <v>137</v>
      </c>
      <c r="R64" s="20" t="s">
        <v>137</v>
      </c>
      <c r="S64" s="20" t="s">
        <v>137</v>
      </c>
      <c r="T64" s="20" t="s">
        <v>137</v>
      </c>
      <c r="U64" s="20" t="s">
        <v>137</v>
      </c>
      <c r="V64" s="20" t="s">
        <v>137</v>
      </c>
      <c r="W64" s="20" t="s">
        <v>137</v>
      </c>
      <c r="X64" s="20" t="s">
        <v>137</v>
      </c>
      <c r="Y64" s="20" t="s">
        <v>137</v>
      </c>
      <c r="Z64" s="20" t="s">
        <v>137</v>
      </c>
      <c r="AA64" s="20" t="s">
        <v>137</v>
      </c>
      <c r="AB64" s="20">
        <v>1</v>
      </c>
      <c r="AC64" s="20">
        <v>1</v>
      </c>
      <c r="AD64" s="20">
        <v>1</v>
      </c>
      <c r="AE64" s="20"/>
      <c r="AF64" s="20">
        <v>1</v>
      </c>
      <c r="AG64" s="20">
        <v>1</v>
      </c>
      <c r="AH64" s="20">
        <v>1</v>
      </c>
      <c r="AI64" s="20">
        <v>1</v>
      </c>
      <c r="AJ64" s="20">
        <v>1</v>
      </c>
      <c r="AK64" s="20">
        <v>1</v>
      </c>
      <c r="AL64" s="20" t="s">
        <v>137</v>
      </c>
      <c r="AM64" s="20">
        <v>1</v>
      </c>
    </row>
    <row r="65" spans="1:39" ht="16">
      <c r="A65" s="20" t="s">
        <v>137</v>
      </c>
      <c r="B65" s="20" t="s">
        <v>137</v>
      </c>
      <c r="C65" s="20" t="s">
        <v>137</v>
      </c>
      <c r="D65" s="20"/>
      <c r="E65" s="20" t="s">
        <v>137</v>
      </c>
      <c r="F65" s="20" t="s">
        <v>137</v>
      </c>
      <c r="G65" s="20" t="s">
        <v>137</v>
      </c>
      <c r="H65" s="20" t="s">
        <v>137</v>
      </c>
      <c r="I65" s="20" t="s">
        <v>137</v>
      </c>
      <c r="J65" s="20" t="s">
        <v>137</v>
      </c>
      <c r="K65" s="20" t="s">
        <v>137</v>
      </c>
      <c r="L65" s="20" t="s">
        <v>137</v>
      </c>
      <c r="M65" s="20" t="s">
        <v>137</v>
      </c>
      <c r="N65" s="20" t="s">
        <v>137</v>
      </c>
      <c r="O65" s="20" t="s">
        <v>137</v>
      </c>
      <c r="P65" s="20" t="s">
        <v>137</v>
      </c>
      <c r="Q65" s="20" t="s">
        <v>137</v>
      </c>
      <c r="R65" s="20" t="s">
        <v>137</v>
      </c>
      <c r="S65" s="20" t="s">
        <v>137</v>
      </c>
      <c r="T65" s="20" t="s">
        <v>137</v>
      </c>
      <c r="U65" s="20" t="s">
        <v>137</v>
      </c>
      <c r="V65" s="20" t="s">
        <v>137</v>
      </c>
      <c r="W65" s="20" t="s">
        <v>137</v>
      </c>
      <c r="X65" s="20" t="s">
        <v>137</v>
      </c>
      <c r="Y65" s="20" t="s">
        <v>137</v>
      </c>
      <c r="Z65" s="20" t="s">
        <v>137</v>
      </c>
      <c r="AA65" s="20" t="s">
        <v>137</v>
      </c>
      <c r="AB65" s="20">
        <v>1</v>
      </c>
      <c r="AC65" s="20">
        <v>1</v>
      </c>
      <c r="AD65" s="20">
        <v>1</v>
      </c>
      <c r="AE65" s="20"/>
      <c r="AF65" s="20">
        <v>1</v>
      </c>
      <c r="AG65" s="20">
        <v>1</v>
      </c>
      <c r="AH65" s="20">
        <v>1</v>
      </c>
      <c r="AI65" s="20">
        <v>1</v>
      </c>
      <c r="AJ65" s="20">
        <v>1</v>
      </c>
      <c r="AK65" s="20">
        <v>1</v>
      </c>
      <c r="AL65" s="20" t="s">
        <v>137</v>
      </c>
      <c r="AM65" s="20">
        <v>1</v>
      </c>
    </row>
    <row r="66" spans="1:39" ht="16">
      <c r="A66" s="20">
        <v>1</v>
      </c>
      <c r="B66" s="20">
        <v>1</v>
      </c>
      <c r="C66" s="20">
        <v>1</v>
      </c>
      <c r="D66" s="20"/>
      <c r="E66" s="20">
        <v>1</v>
      </c>
      <c r="F66" s="20">
        <v>1</v>
      </c>
      <c r="G66" s="20">
        <v>1</v>
      </c>
      <c r="H66" s="20">
        <v>1</v>
      </c>
      <c r="I66" s="20">
        <v>1</v>
      </c>
      <c r="J66" s="20">
        <v>1</v>
      </c>
      <c r="K66" s="20">
        <v>1</v>
      </c>
      <c r="L66" s="20">
        <v>1</v>
      </c>
      <c r="M66" s="20">
        <v>1</v>
      </c>
      <c r="N66" s="20">
        <v>1</v>
      </c>
      <c r="O66" s="20">
        <v>1</v>
      </c>
      <c r="P66" s="20">
        <v>1</v>
      </c>
      <c r="Q66" s="20">
        <v>1</v>
      </c>
      <c r="R66" s="20">
        <v>1</v>
      </c>
      <c r="S66" s="20">
        <v>1</v>
      </c>
      <c r="T66" s="20">
        <v>1</v>
      </c>
      <c r="U66" s="20">
        <v>1</v>
      </c>
      <c r="V66" s="20">
        <v>1</v>
      </c>
      <c r="W66" s="20">
        <v>1</v>
      </c>
      <c r="X66" s="20">
        <v>1</v>
      </c>
      <c r="Y66" s="20">
        <v>1</v>
      </c>
      <c r="Z66" s="20">
        <v>1</v>
      </c>
      <c r="AA66" s="20" t="s">
        <v>137</v>
      </c>
      <c r="AB66" s="20">
        <v>1</v>
      </c>
      <c r="AC66" s="20">
        <v>1</v>
      </c>
      <c r="AD66" s="20">
        <v>1</v>
      </c>
      <c r="AE66" s="20"/>
      <c r="AF66" s="20">
        <v>1</v>
      </c>
      <c r="AG66" s="20">
        <v>1</v>
      </c>
      <c r="AH66" s="20">
        <v>1</v>
      </c>
      <c r="AI66" s="20">
        <v>1</v>
      </c>
      <c r="AJ66" s="20">
        <v>1</v>
      </c>
      <c r="AK66" s="20">
        <v>1</v>
      </c>
      <c r="AL66" s="20" t="s">
        <v>137</v>
      </c>
      <c r="AM66" s="20">
        <v>1</v>
      </c>
    </row>
    <row r="67" spans="1:39" ht="16">
      <c r="A67" s="20" t="s">
        <v>137</v>
      </c>
      <c r="B67" s="20" t="s">
        <v>137</v>
      </c>
      <c r="C67" s="20" t="s">
        <v>137</v>
      </c>
      <c r="D67" s="20"/>
      <c r="E67" s="20" t="s">
        <v>137</v>
      </c>
      <c r="F67" s="20" t="s">
        <v>137</v>
      </c>
      <c r="G67" s="20" t="s">
        <v>137</v>
      </c>
      <c r="H67" s="20" t="s">
        <v>137</v>
      </c>
      <c r="I67" s="20" t="s">
        <v>137</v>
      </c>
      <c r="J67" s="20" t="s">
        <v>137</v>
      </c>
      <c r="K67" s="20" t="s">
        <v>137</v>
      </c>
      <c r="L67" s="20" t="s">
        <v>137</v>
      </c>
      <c r="M67" s="20" t="s">
        <v>137</v>
      </c>
      <c r="N67" s="20" t="s">
        <v>137</v>
      </c>
      <c r="O67" s="20" t="s">
        <v>137</v>
      </c>
      <c r="P67" s="20" t="s">
        <v>137</v>
      </c>
      <c r="Q67" s="20" t="s">
        <v>137</v>
      </c>
      <c r="R67" s="20" t="s">
        <v>137</v>
      </c>
      <c r="S67" s="20" t="s">
        <v>137</v>
      </c>
      <c r="T67" s="20" t="s">
        <v>137</v>
      </c>
      <c r="U67" s="20" t="s">
        <v>137</v>
      </c>
      <c r="V67" s="20" t="s">
        <v>137</v>
      </c>
      <c r="W67" s="20" t="s">
        <v>137</v>
      </c>
      <c r="X67" s="20" t="s">
        <v>137</v>
      </c>
      <c r="Y67" s="20" t="s">
        <v>137</v>
      </c>
      <c r="Z67" s="20" t="s">
        <v>137</v>
      </c>
      <c r="AA67" s="20" t="s">
        <v>137</v>
      </c>
      <c r="AB67" s="20">
        <v>1</v>
      </c>
      <c r="AC67" s="20">
        <v>1</v>
      </c>
      <c r="AD67" s="20">
        <v>1</v>
      </c>
      <c r="AE67" s="20"/>
      <c r="AF67" s="20">
        <v>1</v>
      </c>
      <c r="AG67" s="20">
        <v>1</v>
      </c>
      <c r="AH67" s="20">
        <v>1</v>
      </c>
      <c r="AI67" s="20">
        <v>1</v>
      </c>
      <c r="AJ67" s="20">
        <v>1</v>
      </c>
      <c r="AK67" s="20">
        <v>1</v>
      </c>
      <c r="AL67" s="20" t="s">
        <v>137</v>
      </c>
      <c r="AM67" s="20">
        <v>1</v>
      </c>
    </row>
    <row r="68" spans="1:39" ht="16">
      <c r="A68" s="20" t="s">
        <v>137</v>
      </c>
      <c r="B68" s="20" t="s">
        <v>137</v>
      </c>
      <c r="C68" s="20" t="s">
        <v>137</v>
      </c>
      <c r="D68" s="20"/>
      <c r="E68" s="20" t="s">
        <v>137</v>
      </c>
      <c r="F68" s="20" t="s">
        <v>137</v>
      </c>
      <c r="G68" s="20" t="s">
        <v>137</v>
      </c>
      <c r="H68" s="20" t="s">
        <v>137</v>
      </c>
      <c r="I68" s="20" t="s">
        <v>137</v>
      </c>
      <c r="J68" s="20" t="s">
        <v>137</v>
      </c>
      <c r="K68" s="20" t="s">
        <v>137</v>
      </c>
      <c r="L68" s="20" t="s">
        <v>137</v>
      </c>
      <c r="M68" s="20" t="s">
        <v>137</v>
      </c>
      <c r="N68" s="20" t="s">
        <v>137</v>
      </c>
      <c r="O68" s="20" t="s">
        <v>137</v>
      </c>
      <c r="P68" s="20" t="s">
        <v>137</v>
      </c>
      <c r="Q68" s="20" t="s">
        <v>137</v>
      </c>
      <c r="R68" s="20" t="s">
        <v>137</v>
      </c>
      <c r="S68" s="20" t="s">
        <v>137</v>
      </c>
      <c r="T68" s="20" t="s">
        <v>137</v>
      </c>
      <c r="U68" s="20" t="s">
        <v>137</v>
      </c>
      <c r="V68" s="20" t="s">
        <v>137</v>
      </c>
      <c r="W68" s="20" t="s">
        <v>137</v>
      </c>
      <c r="X68" s="20" t="s">
        <v>137</v>
      </c>
      <c r="Y68" s="20" t="s">
        <v>137</v>
      </c>
      <c r="Z68" s="20" t="s">
        <v>137</v>
      </c>
      <c r="AA68" s="20" t="s">
        <v>137</v>
      </c>
      <c r="AB68" s="20">
        <v>1</v>
      </c>
      <c r="AC68" s="20">
        <v>1</v>
      </c>
      <c r="AD68" s="20">
        <v>1</v>
      </c>
      <c r="AE68" s="20"/>
      <c r="AF68" s="20">
        <v>1</v>
      </c>
      <c r="AG68" s="20">
        <v>1</v>
      </c>
      <c r="AH68" s="20">
        <v>1</v>
      </c>
      <c r="AI68" s="20">
        <v>1</v>
      </c>
      <c r="AJ68" s="20">
        <v>1</v>
      </c>
      <c r="AK68" s="20">
        <v>1</v>
      </c>
      <c r="AL68" s="20" t="s">
        <v>137</v>
      </c>
      <c r="AM68" s="20">
        <v>1</v>
      </c>
    </row>
    <row r="69" spans="1:39" ht="16">
      <c r="A69" s="20" t="s">
        <v>137</v>
      </c>
      <c r="B69" s="20" t="s">
        <v>137</v>
      </c>
      <c r="C69" s="20" t="s">
        <v>137</v>
      </c>
      <c r="D69" s="20"/>
      <c r="E69" s="20" t="s">
        <v>137</v>
      </c>
      <c r="F69" s="20" t="s">
        <v>137</v>
      </c>
      <c r="G69" s="20" t="s">
        <v>137</v>
      </c>
      <c r="H69" s="20" t="s">
        <v>137</v>
      </c>
      <c r="I69" s="20" t="s">
        <v>137</v>
      </c>
      <c r="J69" s="20" t="s">
        <v>137</v>
      </c>
      <c r="K69" s="20" t="s">
        <v>137</v>
      </c>
      <c r="L69" s="20" t="s">
        <v>137</v>
      </c>
      <c r="M69" s="20" t="s">
        <v>137</v>
      </c>
      <c r="N69" s="20" t="s">
        <v>137</v>
      </c>
      <c r="O69" s="20" t="s">
        <v>137</v>
      </c>
      <c r="P69" s="20" t="s">
        <v>137</v>
      </c>
      <c r="Q69" s="20" t="s">
        <v>137</v>
      </c>
      <c r="R69" s="20" t="s">
        <v>137</v>
      </c>
      <c r="S69" s="20" t="s">
        <v>137</v>
      </c>
      <c r="T69" s="20" t="s">
        <v>137</v>
      </c>
      <c r="U69" s="20" t="s">
        <v>137</v>
      </c>
      <c r="V69" s="20" t="s">
        <v>137</v>
      </c>
      <c r="W69" s="20" t="s">
        <v>137</v>
      </c>
      <c r="X69" s="20" t="s">
        <v>137</v>
      </c>
      <c r="Y69" s="20" t="s">
        <v>137</v>
      </c>
      <c r="Z69" s="20" t="s">
        <v>137</v>
      </c>
      <c r="AA69" s="20" t="s">
        <v>137</v>
      </c>
      <c r="AB69" s="20">
        <v>1</v>
      </c>
      <c r="AC69" s="20">
        <v>1</v>
      </c>
      <c r="AD69" s="20">
        <v>1</v>
      </c>
      <c r="AE69" s="20"/>
      <c r="AF69" s="20">
        <v>1</v>
      </c>
      <c r="AG69" s="20">
        <v>1</v>
      </c>
      <c r="AH69" s="20">
        <v>1</v>
      </c>
      <c r="AI69" s="20">
        <v>1</v>
      </c>
      <c r="AJ69" s="20">
        <v>1</v>
      </c>
      <c r="AK69" s="20">
        <v>1</v>
      </c>
      <c r="AL69" s="20" t="s">
        <v>137</v>
      </c>
      <c r="AM69" s="20">
        <v>1</v>
      </c>
    </row>
    <row r="70" spans="1:39" ht="16">
      <c r="A70" s="20" t="s">
        <v>137</v>
      </c>
      <c r="B70" s="20" t="s">
        <v>137</v>
      </c>
      <c r="C70" s="20" t="s">
        <v>137</v>
      </c>
      <c r="D70" s="20"/>
      <c r="E70" s="20" t="s">
        <v>137</v>
      </c>
      <c r="F70" s="20" t="s">
        <v>137</v>
      </c>
      <c r="G70" s="20" t="s">
        <v>137</v>
      </c>
      <c r="H70" s="20" t="s">
        <v>137</v>
      </c>
      <c r="I70" s="20" t="s">
        <v>137</v>
      </c>
      <c r="J70" s="20" t="s">
        <v>137</v>
      </c>
      <c r="K70" s="20" t="s">
        <v>137</v>
      </c>
      <c r="L70" s="20" t="s">
        <v>137</v>
      </c>
      <c r="M70" s="20" t="s">
        <v>137</v>
      </c>
      <c r="N70" s="20" t="s">
        <v>137</v>
      </c>
      <c r="O70" s="20" t="s">
        <v>137</v>
      </c>
      <c r="P70" s="20" t="s">
        <v>137</v>
      </c>
      <c r="Q70" s="20" t="s">
        <v>137</v>
      </c>
      <c r="R70" s="20" t="s">
        <v>137</v>
      </c>
      <c r="S70" s="20" t="s">
        <v>137</v>
      </c>
      <c r="T70" s="20" t="s">
        <v>137</v>
      </c>
      <c r="U70" s="20" t="s">
        <v>137</v>
      </c>
      <c r="V70" s="20" t="s">
        <v>137</v>
      </c>
      <c r="W70" s="20" t="s">
        <v>137</v>
      </c>
      <c r="X70" s="20" t="s">
        <v>137</v>
      </c>
      <c r="Y70" s="20" t="s">
        <v>137</v>
      </c>
      <c r="Z70" s="20" t="s">
        <v>137</v>
      </c>
      <c r="AA70" s="20" t="s">
        <v>137</v>
      </c>
      <c r="AB70" s="20">
        <v>1</v>
      </c>
      <c r="AC70" s="20">
        <v>1</v>
      </c>
      <c r="AD70" s="20">
        <v>1</v>
      </c>
      <c r="AE70" s="20"/>
      <c r="AF70" s="20">
        <v>1</v>
      </c>
      <c r="AG70" s="20">
        <v>1</v>
      </c>
      <c r="AH70" s="20">
        <v>1</v>
      </c>
      <c r="AI70" s="20">
        <v>1</v>
      </c>
      <c r="AJ70" s="20">
        <v>1</v>
      </c>
      <c r="AK70" s="20">
        <v>1</v>
      </c>
      <c r="AL70" s="20" t="s">
        <v>137</v>
      </c>
      <c r="AM70" s="20">
        <v>1</v>
      </c>
    </row>
    <row r="71" spans="1:39" ht="16">
      <c r="A71" s="20" t="s">
        <v>137</v>
      </c>
      <c r="B71" s="20" t="s">
        <v>137</v>
      </c>
      <c r="C71" s="20" t="s">
        <v>137</v>
      </c>
      <c r="D71" s="20"/>
      <c r="E71" s="20" t="s">
        <v>137</v>
      </c>
      <c r="F71" s="20" t="s">
        <v>137</v>
      </c>
      <c r="G71" s="20" t="s">
        <v>137</v>
      </c>
      <c r="H71" s="20">
        <v>1</v>
      </c>
      <c r="I71" s="20">
        <v>1</v>
      </c>
      <c r="J71" s="20">
        <v>1</v>
      </c>
      <c r="K71" s="20">
        <v>1</v>
      </c>
      <c r="L71" s="20">
        <v>1</v>
      </c>
      <c r="M71" s="20">
        <v>1</v>
      </c>
      <c r="N71" s="20">
        <v>1</v>
      </c>
      <c r="O71" s="20">
        <v>1</v>
      </c>
      <c r="P71" s="20">
        <v>1</v>
      </c>
      <c r="Q71" s="20">
        <v>1</v>
      </c>
      <c r="R71" s="20">
        <v>1</v>
      </c>
      <c r="S71" s="20">
        <v>1</v>
      </c>
      <c r="T71" s="20">
        <v>1</v>
      </c>
      <c r="U71" s="20">
        <v>1</v>
      </c>
      <c r="V71" s="20">
        <v>1</v>
      </c>
      <c r="W71" s="20">
        <v>1</v>
      </c>
      <c r="X71" s="20">
        <v>1</v>
      </c>
      <c r="Y71" s="20">
        <v>1</v>
      </c>
      <c r="Z71" s="20">
        <v>1</v>
      </c>
      <c r="AA71" s="20" t="s">
        <v>137</v>
      </c>
      <c r="AB71" s="20">
        <v>1</v>
      </c>
      <c r="AC71" s="20">
        <v>1</v>
      </c>
      <c r="AD71" s="20">
        <v>1</v>
      </c>
      <c r="AE71" s="20"/>
      <c r="AF71" s="20">
        <v>1</v>
      </c>
      <c r="AG71" s="20">
        <v>1</v>
      </c>
      <c r="AH71" s="20">
        <v>1</v>
      </c>
      <c r="AI71" s="20">
        <v>1</v>
      </c>
      <c r="AJ71" s="20">
        <v>1</v>
      </c>
      <c r="AK71" s="20">
        <v>1</v>
      </c>
      <c r="AL71" s="20" t="s">
        <v>137</v>
      </c>
      <c r="AM71" s="20">
        <v>1</v>
      </c>
    </row>
    <row r="72" spans="1:39" ht="16">
      <c r="A72" s="20" t="s">
        <v>137</v>
      </c>
      <c r="B72" s="20" t="s">
        <v>137</v>
      </c>
      <c r="C72" s="20" t="s">
        <v>137</v>
      </c>
      <c r="D72" s="20"/>
      <c r="E72" s="20" t="s">
        <v>137</v>
      </c>
      <c r="F72" s="20" t="s">
        <v>137</v>
      </c>
      <c r="G72" s="20" t="s">
        <v>137</v>
      </c>
      <c r="H72" s="20" t="s">
        <v>137</v>
      </c>
      <c r="I72" s="20" t="s">
        <v>137</v>
      </c>
      <c r="J72" s="20" t="s">
        <v>137</v>
      </c>
      <c r="K72" s="20" t="s">
        <v>137</v>
      </c>
      <c r="L72" s="20" t="s">
        <v>137</v>
      </c>
      <c r="M72" s="20" t="s">
        <v>137</v>
      </c>
      <c r="N72" s="20" t="s">
        <v>137</v>
      </c>
      <c r="O72" s="20" t="s">
        <v>137</v>
      </c>
      <c r="P72" s="20" t="s">
        <v>137</v>
      </c>
      <c r="Q72" s="20" t="s">
        <v>137</v>
      </c>
      <c r="R72" s="20" t="s">
        <v>137</v>
      </c>
      <c r="S72" s="20" t="s">
        <v>137</v>
      </c>
      <c r="T72" s="20" t="s">
        <v>137</v>
      </c>
      <c r="U72" s="20" t="s">
        <v>137</v>
      </c>
      <c r="V72" s="20" t="s">
        <v>137</v>
      </c>
      <c r="W72" s="20" t="s">
        <v>137</v>
      </c>
      <c r="X72" s="20" t="s">
        <v>137</v>
      </c>
      <c r="Y72" s="20" t="s">
        <v>137</v>
      </c>
      <c r="Z72" s="20" t="s">
        <v>137</v>
      </c>
      <c r="AA72" s="20" t="s">
        <v>137</v>
      </c>
      <c r="AB72" s="20">
        <v>1</v>
      </c>
      <c r="AC72" s="20">
        <v>1</v>
      </c>
      <c r="AD72" s="20">
        <v>1</v>
      </c>
      <c r="AE72" s="20"/>
      <c r="AF72" s="20">
        <v>1</v>
      </c>
      <c r="AG72" s="20">
        <v>1</v>
      </c>
      <c r="AH72" s="20">
        <v>1</v>
      </c>
      <c r="AI72" s="20">
        <v>1</v>
      </c>
      <c r="AJ72" s="20">
        <v>1</v>
      </c>
      <c r="AK72" s="20">
        <v>1</v>
      </c>
      <c r="AL72" s="20" t="s">
        <v>137</v>
      </c>
      <c r="AM72" s="20">
        <v>1</v>
      </c>
    </row>
    <row r="73" spans="1:39" ht="16">
      <c r="A73" s="20" t="s">
        <v>137</v>
      </c>
      <c r="B73" s="20" t="s">
        <v>137</v>
      </c>
      <c r="C73" s="20" t="s">
        <v>137</v>
      </c>
      <c r="D73" s="20"/>
      <c r="E73" s="20" t="s">
        <v>137</v>
      </c>
      <c r="F73" s="20" t="s">
        <v>137</v>
      </c>
      <c r="G73" s="20" t="s">
        <v>137</v>
      </c>
      <c r="H73" s="20" t="s">
        <v>137</v>
      </c>
      <c r="I73" s="20" t="s">
        <v>137</v>
      </c>
      <c r="J73" s="20" t="s">
        <v>137</v>
      </c>
      <c r="K73" s="20" t="s">
        <v>137</v>
      </c>
      <c r="L73" s="20" t="s">
        <v>137</v>
      </c>
      <c r="M73" s="20" t="s">
        <v>137</v>
      </c>
      <c r="N73" s="20" t="s">
        <v>137</v>
      </c>
      <c r="O73" s="20" t="s">
        <v>137</v>
      </c>
      <c r="P73" s="20" t="s">
        <v>137</v>
      </c>
      <c r="Q73" s="20" t="s">
        <v>137</v>
      </c>
      <c r="R73" s="20" t="s">
        <v>137</v>
      </c>
      <c r="S73" s="20" t="s">
        <v>137</v>
      </c>
      <c r="T73" s="20" t="s">
        <v>137</v>
      </c>
      <c r="U73" s="20" t="s">
        <v>137</v>
      </c>
      <c r="V73" s="20" t="s">
        <v>137</v>
      </c>
      <c r="W73" s="20" t="s">
        <v>137</v>
      </c>
      <c r="X73" s="20" t="s">
        <v>137</v>
      </c>
      <c r="Y73" s="20" t="s">
        <v>137</v>
      </c>
      <c r="Z73" s="20" t="s">
        <v>137</v>
      </c>
      <c r="AA73" s="20" t="s">
        <v>137</v>
      </c>
      <c r="AB73" s="20">
        <v>1</v>
      </c>
      <c r="AC73" s="20">
        <v>1</v>
      </c>
      <c r="AD73" s="20">
        <v>1</v>
      </c>
      <c r="AE73" s="20"/>
      <c r="AF73" s="20">
        <v>1</v>
      </c>
      <c r="AG73" s="20">
        <v>1</v>
      </c>
      <c r="AH73" s="20">
        <v>1</v>
      </c>
      <c r="AI73" s="20">
        <v>1</v>
      </c>
      <c r="AJ73" s="20">
        <v>1</v>
      </c>
      <c r="AK73" s="20">
        <v>1</v>
      </c>
      <c r="AL73" s="20" t="s">
        <v>137</v>
      </c>
      <c r="AM73" s="20">
        <v>1</v>
      </c>
    </row>
    <row r="74" spans="1:39" ht="16">
      <c r="A74" s="20" t="s">
        <v>137</v>
      </c>
      <c r="B74" s="20" t="s">
        <v>137</v>
      </c>
      <c r="C74" s="20" t="s">
        <v>137</v>
      </c>
      <c r="D74" s="20"/>
      <c r="E74" s="20" t="s">
        <v>137</v>
      </c>
      <c r="F74" s="20" t="s">
        <v>137</v>
      </c>
      <c r="G74" s="20" t="s">
        <v>137</v>
      </c>
      <c r="H74" s="20" t="s">
        <v>137</v>
      </c>
      <c r="I74" s="20" t="s">
        <v>137</v>
      </c>
      <c r="J74" s="20" t="s">
        <v>137</v>
      </c>
      <c r="K74" s="20" t="s">
        <v>137</v>
      </c>
      <c r="L74" s="20" t="s">
        <v>137</v>
      </c>
      <c r="M74" s="20" t="s">
        <v>137</v>
      </c>
      <c r="N74" s="20" t="s">
        <v>137</v>
      </c>
      <c r="O74" s="20" t="s">
        <v>137</v>
      </c>
      <c r="P74" s="20" t="s">
        <v>137</v>
      </c>
      <c r="Q74" s="20" t="s">
        <v>137</v>
      </c>
      <c r="R74" s="20" t="s">
        <v>137</v>
      </c>
      <c r="S74" s="20" t="s">
        <v>137</v>
      </c>
      <c r="T74" s="20" t="s">
        <v>137</v>
      </c>
      <c r="U74" s="20" t="s">
        <v>137</v>
      </c>
      <c r="V74" s="20" t="s">
        <v>137</v>
      </c>
      <c r="W74" s="20" t="s">
        <v>137</v>
      </c>
      <c r="X74" s="20" t="s">
        <v>137</v>
      </c>
      <c r="Y74" s="20" t="s">
        <v>137</v>
      </c>
      <c r="Z74" s="20" t="s">
        <v>137</v>
      </c>
      <c r="AA74" s="20" t="s">
        <v>137</v>
      </c>
      <c r="AB74" s="20">
        <v>1</v>
      </c>
      <c r="AC74" s="20">
        <v>1</v>
      </c>
      <c r="AD74" s="20">
        <v>1</v>
      </c>
      <c r="AE74" s="20"/>
      <c r="AF74" s="20">
        <v>1</v>
      </c>
      <c r="AG74" s="20">
        <v>1</v>
      </c>
      <c r="AH74" s="20">
        <v>1</v>
      </c>
      <c r="AI74" s="20">
        <v>1</v>
      </c>
      <c r="AJ74" s="20">
        <v>1</v>
      </c>
      <c r="AK74" s="20">
        <v>1</v>
      </c>
      <c r="AL74" s="20" t="s">
        <v>137</v>
      </c>
      <c r="AM74" s="20">
        <v>1</v>
      </c>
    </row>
    <row r="75" spans="1:39" ht="16">
      <c r="A75" s="20" t="s">
        <v>137</v>
      </c>
      <c r="B75" s="20" t="s">
        <v>137</v>
      </c>
      <c r="C75" s="20" t="s">
        <v>137</v>
      </c>
      <c r="D75" s="20"/>
      <c r="E75" s="20" t="s">
        <v>137</v>
      </c>
      <c r="F75" s="20" t="s">
        <v>137</v>
      </c>
      <c r="G75" s="20" t="s">
        <v>137</v>
      </c>
      <c r="H75" s="20" t="s">
        <v>137</v>
      </c>
      <c r="I75" s="20" t="s">
        <v>137</v>
      </c>
      <c r="J75" s="20" t="s">
        <v>137</v>
      </c>
      <c r="K75" s="20" t="s">
        <v>137</v>
      </c>
      <c r="L75" s="20" t="s">
        <v>137</v>
      </c>
      <c r="M75" s="20" t="s">
        <v>137</v>
      </c>
      <c r="N75" s="20" t="s">
        <v>137</v>
      </c>
      <c r="O75" s="20" t="s">
        <v>137</v>
      </c>
      <c r="P75" s="20" t="s">
        <v>137</v>
      </c>
      <c r="Q75" s="20" t="s">
        <v>137</v>
      </c>
      <c r="R75" s="20" t="s">
        <v>137</v>
      </c>
      <c r="S75" s="20" t="s">
        <v>137</v>
      </c>
      <c r="T75" s="20" t="s">
        <v>137</v>
      </c>
      <c r="U75" s="20" t="s">
        <v>137</v>
      </c>
      <c r="V75" s="20" t="s">
        <v>137</v>
      </c>
      <c r="W75" s="20" t="s">
        <v>137</v>
      </c>
      <c r="X75" s="20" t="s">
        <v>137</v>
      </c>
      <c r="Y75" s="20" t="s">
        <v>137</v>
      </c>
      <c r="Z75" s="20" t="s">
        <v>137</v>
      </c>
      <c r="AA75" s="20" t="s">
        <v>137</v>
      </c>
      <c r="AB75" s="20">
        <v>1</v>
      </c>
      <c r="AC75" s="20">
        <v>1</v>
      </c>
      <c r="AD75" s="20">
        <v>1</v>
      </c>
      <c r="AE75" s="20"/>
      <c r="AF75" s="20">
        <v>1</v>
      </c>
      <c r="AG75" s="20">
        <v>1</v>
      </c>
      <c r="AH75" s="20">
        <v>1</v>
      </c>
      <c r="AI75" s="20">
        <v>1</v>
      </c>
      <c r="AJ75" s="20">
        <v>1</v>
      </c>
      <c r="AK75" s="20">
        <v>1</v>
      </c>
      <c r="AL75" s="20" t="s">
        <v>137</v>
      </c>
      <c r="AM75" s="20">
        <v>1</v>
      </c>
    </row>
    <row r="76" spans="1:39" ht="16">
      <c r="A76" s="20" t="s">
        <v>137</v>
      </c>
      <c r="B76" s="20" t="s">
        <v>137</v>
      </c>
      <c r="C76" s="20" t="s">
        <v>137</v>
      </c>
      <c r="D76" s="20"/>
      <c r="E76" s="20" t="s">
        <v>137</v>
      </c>
      <c r="F76" s="20" t="s">
        <v>137</v>
      </c>
      <c r="G76" s="20" t="s">
        <v>137</v>
      </c>
      <c r="H76" s="20">
        <v>1</v>
      </c>
      <c r="I76" s="20">
        <v>1</v>
      </c>
      <c r="J76" s="20">
        <v>1</v>
      </c>
      <c r="K76" s="20">
        <v>1</v>
      </c>
      <c r="L76" s="20">
        <v>1</v>
      </c>
      <c r="M76" s="20">
        <v>1</v>
      </c>
      <c r="N76" s="20">
        <v>1</v>
      </c>
      <c r="O76" s="20">
        <v>1</v>
      </c>
      <c r="P76" s="20">
        <v>1</v>
      </c>
      <c r="Q76" s="20">
        <v>1</v>
      </c>
      <c r="R76" s="20">
        <v>1</v>
      </c>
      <c r="S76" s="20">
        <v>1</v>
      </c>
      <c r="T76" s="20">
        <v>0</v>
      </c>
      <c r="U76" s="20">
        <v>1</v>
      </c>
      <c r="V76" s="20">
        <v>1</v>
      </c>
      <c r="W76" s="20">
        <v>1</v>
      </c>
      <c r="X76" s="20">
        <v>1</v>
      </c>
      <c r="Y76" s="20">
        <v>1</v>
      </c>
      <c r="Z76" s="20">
        <v>1</v>
      </c>
      <c r="AA76" s="20">
        <v>1</v>
      </c>
      <c r="AB76" s="20">
        <v>1</v>
      </c>
      <c r="AC76" s="20">
        <v>1</v>
      </c>
      <c r="AD76" s="20">
        <v>1</v>
      </c>
      <c r="AE76" s="20"/>
      <c r="AF76" s="20">
        <v>1</v>
      </c>
      <c r="AG76" s="20">
        <v>1</v>
      </c>
      <c r="AH76" s="20">
        <v>1</v>
      </c>
      <c r="AI76" s="20">
        <v>1</v>
      </c>
      <c r="AJ76" s="20">
        <v>1</v>
      </c>
      <c r="AK76" s="20">
        <v>1</v>
      </c>
      <c r="AL76" s="20" t="s">
        <v>137</v>
      </c>
      <c r="AM76" s="20">
        <v>1</v>
      </c>
    </row>
    <row r="77" spans="1:39" ht="16">
      <c r="A77" s="20" t="s">
        <v>137</v>
      </c>
      <c r="B77" s="20" t="s">
        <v>137</v>
      </c>
      <c r="C77" s="20" t="s">
        <v>137</v>
      </c>
      <c r="D77" s="20"/>
      <c r="E77" s="20" t="s">
        <v>137</v>
      </c>
      <c r="F77" s="20" t="s">
        <v>137</v>
      </c>
      <c r="G77" s="20" t="s">
        <v>137</v>
      </c>
      <c r="H77" s="20" t="s">
        <v>137</v>
      </c>
      <c r="I77" s="20" t="s">
        <v>137</v>
      </c>
      <c r="J77" s="20" t="s">
        <v>137</v>
      </c>
      <c r="K77" s="20" t="s">
        <v>137</v>
      </c>
      <c r="L77" s="20" t="s">
        <v>137</v>
      </c>
      <c r="M77" s="20" t="s">
        <v>137</v>
      </c>
      <c r="N77" s="20" t="s">
        <v>137</v>
      </c>
      <c r="O77" s="20" t="s">
        <v>137</v>
      </c>
      <c r="P77" s="20" t="s">
        <v>137</v>
      </c>
      <c r="Q77" s="20" t="s">
        <v>137</v>
      </c>
      <c r="R77" s="20" t="s">
        <v>137</v>
      </c>
      <c r="S77" s="20" t="s">
        <v>137</v>
      </c>
      <c r="T77" s="20" t="s">
        <v>137</v>
      </c>
      <c r="U77" s="20" t="s">
        <v>137</v>
      </c>
      <c r="V77" s="20" t="s">
        <v>137</v>
      </c>
      <c r="W77" s="20" t="s">
        <v>137</v>
      </c>
      <c r="X77" s="20" t="s">
        <v>137</v>
      </c>
      <c r="Y77" s="20" t="s">
        <v>137</v>
      </c>
      <c r="Z77" s="20" t="s">
        <v>137</v>
      </c>
      <c r="AA77" s="20" t="s">
        <v>137</v>
      </c>
      <c r="AB77" s="20">
        <v>1</v>
      </c>
      <c r="AC77" s="20">
        <v>1</v>
      </c>
      <c r="AD77" s="20">
        <v>1</v>
      </c>
      <c r="AE77" s="20"/>
      <c r="AF77" s="20">
        <v>1</v>
      </c>
      <c r="AG77" s="20">
        <v>1</v>
      </c>
      <c r="AH77" s="20">
        <v>1</v>
      </c>
      <c r="AI77" s="20">
        <v>1</v>
      </c>
      <c r="AJ77" s="20">
        <v>1</v>
      </c>
      <c r="AK77" s="20">
        <v>1</v>
      </c>
      <c r="AL77" s="20" t="s">
        <v>137</v>
      </c>
      <c r="AM77" s="20">
        <v>1</v>
      </c>
    </row>
    <row r="78" spans="1:39" ht="16">
      <c r="A78" s="20" t="s">
        <v>137</v>
      </c>
      <c r="B78" s="20" t="s">
        <v>137</v>
      </c>
      <c r="C78" s="20" t="s">
        <v>137</v>
      </c>
      <c r="D78" s="20"/>
      <c r="E78" s="20" t="s">
        <v>137</v>
      </c>
      <c r="F78" s="20" t="s">
        <v>137</v>
      </c>
      <c r="G78" s="20" t="s">
        <v>137</v>
      </c>
      <c r="H78" s="20" t="s">
        <v>137</v>
      </c>
      <c r="I78" s="20" t="s">
        <v>137</v>
      </c>
      <c r="J78" s="20" t="s">
        <v>137</v>
      </c>
      <c r="K78" s="20" t="s">
        <v>137</v>
      </c>
      <c r="L78" s="20" t="s">
        <v>137</v>
      </c>
      <c r="M78" s="20" t="s">
        <v>137</v>
      </c>
      <c r="N78" s="20" t="s">
        <v>137</v>
      </c>
      <c r="O78" s="20" t="s">
        <v>137</v>
      </c>
      <c r="P78" s="20" t="s">
        <v>137</v>
      </c>
      <c r="Q78" s="20" t="s">
        <v>137</v>
      </c>
      <c r="R78" s="20" t="s">
        <v>137</v>
      </c>
      <c r="S78" s="20" t="s">
        <v>137</v>
      </c>
      <c r="T78" s="20" t="s">
        <v>137</v>
      </c>
      <c r="U78" s="20" t="s">
        <v>137</v>
      </c>
      <c r="V78" s="20" t="s">
        <v>137</v>
      </c>
      <c r="W78" s="20" t="s">
        <v>137</v>
      </c>
      <c r="X78" s="20" t="s">
        <v>137</v>
      </c>
      <c r="Y78" s="20" t="s">
        <v>137</v>
      </c>
      <c r="Z78" s="20" t="s">
        <v>137</v>
      </c>
      <c r="AA78" s="20" t="s">
        <v>137</v>
      </c>
      <c r="AB78" s="20">
        <v>1</v>
      </c>
      <c r="AC78" s="20">
        <v>1</v>
      </c>
      <c r="AD78" s="20">
        <v>1</v>
      </c>
      <c r="AE78" s="20"/>
      <c r="AF78" s="20">
        <v>1</v>
      </c>
      <c r="AG78" s="20">
        <v>1</v>
      </c>
      <c r="AH78" s="20">
        <v>1</v>
      </c>
      <c r="AI78" s="20">
        <v>1</v>
      </c>
      <c r="AJ78" s="20">
        <v>1</v>
      </c>
      <c r="AK78" s="20">
        <v>1</v>
      </c>
      <c r="AL78" s="20" t="s">
        <v>137</v>
      </c>
      <c r="AM78" s="20">
        <v>1</v>
      </c>
    </row>
    <row r="79" spans="1:39" ht="16">
      <c r="A79" s="20" t="s">
        <v>137</v>
      </c>
      <c r="B79" s="20" t="s">
        <v>137</v>
      </c>
      <c r="C79" s="20" t="s">
        <v>137</v>
      </c>
      <c r="D79" s="20"/>
      <c r="E79" s="20" t="s">
        <v>137</v>
      </c>
      <c r="F79" s="20" t="s">
        <v>137</v>
      </c>
      <c r="G79" s="20" t="s">
        <v>137</v>
      </c>
      <c r="H79" s="20" t="s">
        <v>137</v>
      </c>
      <c r="I79" s="20" t="s">
        <v>137</v>
      </c>
      <c r="J79" s="20" t="s">
        <v>137</v>
      </c>
      <c r="K79" s="20" t="s">
        <v>137</v>
      </c>
      <c r="L79" s="20" t="s">
        <v>137</v>
      </c>
      <c r="M79" s="20" t="s">
        <v>137</v>
      </c>
      <c r="N79" s="20" t="s">
        <v>137</v>
      </c>
      <c r="O79" s="20" t="s">
        <v>137</v>
      </c>
      <c r="P79" s="20" t="s">
        <v>137</v>
      </c>
      <c r="Q79" s="20" t="s">
        <v>137</v>
      </c>
      <c r="R79" s="20" t="s">
        <v>137</v>
      </c>
      <c r="S79" s="20" t="s">
        <v>137</v>
      </c>
      <c r="T79" s="20" t="s">
        <v>137</v>
      </c>
      <c r="U79" s="20" t="s">
        <v>137</v>
      </c>
      <c r="V79" s="20" t="s">
        <v>137</v>
      </c>
      <c r="W79" s="20" t="s">
        <v>137</v>
      </c>
      <c r="X79" s="20" t="s">
        <v>137</v>
      </c>
      <c r="Y79" s="20" t="s">
        <v>137</v>
      </c>
      <c r="Z79" s="20" t="s">
        <v>137</v>
      </c>
      <c r="AA79" s="20" t="s">
        <v>137</v>
      </c>
      <c r="AB79" s="20">
        <v>1</v>
      </c>
      <c r="AC79" s="20">
        <v>1</v>
      </c>
      <c r="AD79" s="20">
        <v>1</v>
      </c>
      <c r="AE79" s="20"/>
      <c r="AF79" s="20">
        <v>1</v>
      </c>
      <c r="AG79" s="20">
        <v>1</v>
      </c>
      <c r="AH79" s="20">
        <v>1</v>
      </c>
      <c r="AI79" s="20">
        <v>1</v>
      </c>
      <c r="AJ79" s="20">
        <v>1</v>
      </c>
      <c r="AK79" s="20">
        <v>1</v>
      </c>
      <c r="AL79" s="20" t="s">
        <v>137</v>
      </c>
      <c r="AM79" s="20">
        <v>1</v>
      </c>
    </row>
    <row r="80" spans="1:39" ht="16">
      <c r="A80" s="20" t="s">
        <v>137</v>
      </c>
      <c r="B80" s="20" t="s">
        <v>137</v>
      </c>
      <c r="C80" s="20" t="s">
        <v>137</v>
      </c>
      <c r="D80" s="20"/>
      <c r="E80" s="20" t="s">
        <v>137</v>
      </c>
      <c r="F80" s="20" t="s">
        <v>137</v>
      </c>
      <c r="G80" s="20" t="s">
        <v>137</v>
      </c>
      <c r="H80" s="20" t="s">
        <v>137</v>
      </c>
      <c r="I80" s="20" t="s">
        <v>137</v>
      </c>
      <c r="J80" s="20" t="s">
        <v>137</v>
      </c>
      <c r="K80" s="20" t="s">
        <v>137</v>
      </c>
      <c r="L80" s="20" t="s">
        <v>137</v>
      </c>
      <c r="M80" s="20" t="s">
        <v>137</v>
      </c>
      <c r="N80" s="20" t="s">
        <v>137</v>
      </c>
      <c r="O80" s="20" t="s">
        <v>137</v>
      </c>
      <c r="P80" s="20" t="s">
        <v>137</v>
      </c>
      <c r="Q80" s="20" t="s">
        <v>137</v>
      </c>
      <c r="R80" s="20" t="s">
        <v>137</v>
      </c>
      <c r="S80" s="20" t="s">
        <v>137</v>
      </c>
      <c r="T80" s="20" t="s">
        <v>137</v>
      </c>
      <c r="U80" s="20" t="s">
        <v>137</v>
      </c>
      <c r="V80" s="20" t="s">
        <v>137</v>
      </c>
      <c r="W80" s="20" t="s">
        <v>137</v>
      </c>
      <c r="X80" s="20" t="s">
        <v>137</v>
      </c>
      <c r="Y80" s="20" t="s">
        <v>137</v>
      </c>
      <c r="Z80" s="20" t="s">
        <v>137</v>
      </c>
      <c r="AA80" s="20" t="s">
        <v>137</v>
      </c>
      <c r="AB80" s="20">
        <v>1</v>
      </c>
      <c r="AC80" s="20">
        <v>1</v>
      </c>
      <c r="AD80" s="20">
        <v>1</v>
      </c>
      <c r="AE80" s="20"/>
      <c r="AF80" s="20">
        <v>1</v>
      </c>
      <c r="AG80" s="20">
        <v>1</v>
      </c>
      <c r="AH80" s="20">
        <v>1</v>
      </c>
      <c r="AI80" s="20">
        <v>1</v>
      </c>
      <c r="AJ80" s="20">
        <v>1</v>
      </c>
      <c r="AK80" s="20">
        <v>1</v>
      </c>
      <c r="AL80" s="20" t="s">
        <v>137</v>
      </c>
      <c r="AM80" s="20">
        <v>1</v>
      </c>
    </row>
    <row r="81" spans="1:39" ht="16">
      <c r="A81" s="20">
        <v>1</v>
      </c>
      <c r="B81" s="20">
        <v>1</v>
      </c>
      <c r="C81" s="20">
        <v>1</v>
      </c>
      <c r="D81" s="20"/>
      <c r="E81" s="20">
        <v>1</v>
      </c>
      <c r="F81" s="20">
        <v>1</v>
      </c>
      <c r="G81" s="20">
        <v>1</v>
      </c>
      <c r="H81" s="20">
        <v>1</v>
      </c>
      <c r="I81" s="20">
        <v>1</v>
      </c>
      <c r="J81" s="20">
        <v>1</v>
      </c>
      <c r="K81" s="20">
        <v>1</v>
      </c>
      <c r="L81" s="20">
        <v>1</v>
      </c>
      <c r="M81" s="20">
        <v>0</v>
      </c>
      <c r="N81" s="101">
        <v>1</v>
      </c>
      <c r="O81" s="20">
        <v>1</v>
      </c>
      <c r="P81" s="101">
        <v>1</v>
      </c>
      <c r="Q81" s="20">
        <v>0</v>
      </c>
      <c r="R81" s="20">
        <v>1</v>
      </c>
      <c r="S81" s="20">
        <v>1</v>
      </c>
      <c r="T81" s="20">
        <v>1</v>
      </c>
      <c r="U81" s="20">
        <v>1</v>
      </c>
      <c r="V81" s="20">
        <v>1</v>
      </c>
      <c r="W81" s="20">
        <v>1</v>
      </c>
      <c r="X81" s="20">
        <v>1</v>
      </c>
      <c r="Y81" s="20">
        <v>1</v>
      </c>
      <c r="Z81" s="20">
        <v>1</v>
      </c>
      <c r="AA81" s="20">
        <v>1</v>
      </c>
      <c r="AB81" s="20">
        <v>1</v>
      </c>
      <c r="AC81" s="20">
        <v>1</v>
      </c>
      <c r="AD81" s="20">
        <v>1</v>
      </c>
      <c r="AE81" s="20"/>
      <c r="AF81" s="20">
        <v>1</v>
      </c>
      <c r="AG81" s="20">
        <v>1</v>
      </c>
      <c r="AH81" s="20">
        <v>1</v>
      </c>
      <c r="AI81" s="20">
        <v>1</v>
      </c>
      <c r="AJ81" s="20">
        <v>1</v>
      </c>
      <c r="AK81" s="20">
        <v>1</v>
      </c>
      <c r="AL81" s="20" t="s">
        <v>137</v>
      </c>
      <c r="AM81" s="20">
        <v>1</v>
      </c>
    </row>
    <row r="82" spans="1:39" ht="16">
      <c r="A82" s="20" t="s">
        <v>137</v>
      </c>
      <c r="B82" s="20" t="s">
        <v>137</v>
      </c>
      <c r="C82" s="20" t="s">
        <v>137</v>
      </c>
      <c r="D82" s="20"/>
      <c r="E82" s="20" t="s">
        <v>137</v>
      </c>
      <c r="F82" s="20" t="s">
        <v>137</v>
      </c>
      <c r="G82" s="20" t="s">
        <v>137</v>
      </c>
      <c r="H82" s="20" t="s">
        <v>137</v>
      </c>
      <c r="I82" s="20" t="s">
        <v>137</v>
      </c>
      <c r="J82" s="20" t="s">
        <v>137</v>
      </c>
      <c r="K82" s="20" t="s">
        <v>137</v>
      </c>
      <c r="L82" s="20" t="s">
        <v>137</v>
      </c>
      <c r="M82" s="20" t="s">
        <v>137</v>
      </c>
      <c r="N82" s="20" t="s">
        <v>137</v>
      </c>
      <c r="O82" s="20" t="s">
        <v>137</v>
      </c>
      <c r="P82" s="20" t="s">
        <v>137</v>
      </c>
      <c r="Q82" s="20" t="s">
        <v>137</v>
      </c>
      <c r="R82" s="20" t="s">
        <v>137</v>
      </c>
      <c r="S82" s="20" t="s">
        <v>137</v>
      </c>
      <c r="T82" s="20" t="s">
        <v>137</v>
      </c>
      <c r="U82" s="20" t="s">
        <v>137</v>
      </c>
      <c r="V82" s="20" t="s">
        <v>137</v>
      </c>
      <c r="W82" s="20" t="s">
        <v>137</v>
      </c>
      <c r="X82" s="20" t="s">
        <v>137</v>
      </c>
      <c r="Y82" s="20" t="s">
        <v>137</v>
      </c>
      <c r="Z82" s="20" t="s">
        <v>137</v>
      </c>
      <c r="AA82" s="20" t="s">
        <v>137</v>
      </c>
      <c r="AB82" s="20">
        <v>1</v>
      </c>
      <c r="AC82" s="20">
        <v>1</v>
      </c>
      <c r="AD82" s="20">
        <v>1</v>
      </c>
      <c r="AE82" s="20"/>
      <c r="AF82" s="20">
        <v>1</v>
      </c>
      <c r="AG82" s="20">
        <v>1</v>
      </c>
      <c r="AH82" s="20">
        <v>1</v>
      </c>
      <c r="AI82" s="20">
        <v>1</v>
      </c>
      <c r="AJ82" s="20">
        <v>1</v>
      </c>
      <c r="AK82" s="20">
        <v>1</v>
      </c>
      <c r="AL82" s="20" t="s">
        <v>137</v>
      </c>
      <c r="AM82" s="20">
        <v>1</v>
      </c>
    </row>
    <row r="83" spans="1:39" ht="16">
      <c r="A83" s="20" t="s">
        <v>137</v>
      </c>
      <c r="B83" s="20" t="s">
        <v>137</v>
      </c>
      <c r="C83" s="20" t="s">
        <v>137</v>
      </c>
      <c r="D83" s="20"/>
      <c r="E83" s="20" t="s">
        <v>137</v>
      </c>
      <c r="F83" s="20" t="s">
        <v>137</v>
      </c>
      <c r="G83" s="20" t="s">
        <v>137</v>
      </c>
      <c r="H83" s="20">
        <v>1</v>
      </c>
      <c r="I83" s="20">
        <v>1</v>
      </c>
      <c r="J83" s="20">
        <v>1</v>
      </c>
      <c r="K83" s="20">
        <v>1</v>
      </c>
      <c r="L83" s="20">
        <v>1</v>
      </c>
      <c r="M83" s="20">
        <v>0</v>
      </c>
      <c r="N83" s="101">
        <v>1</v>
      </c>
      <c r="O83" s="20">
        <v>1</v>
      </c>
      <c r="P83" s="101">
        <v>1</v>
      </c>
      <c r="Q83" s="20">
        <v>0</v>
      </c>
      <c r="R83" s="20">
        <v>1</v>
      </c>
      <c r="S83" s="20">
        <v>1</v>
      </c>
      <c r="T83" s="20">
        <v>1</v>
      </c>
      <c r="U83" s="20">
        <v>1</v>
      </c>
      <c r="V83" s="20">
        <v>1</v>
      </c>
      <c r="W83" s="20">
        <v>1</v>
      </c>
      <c r="X83" s="20">
        <v>1</v>
      </c>
      <c r="Y83" s="20">
        <v>1</v>
      </c>
      <c r="Z83" s="20">
        <v>1</v>
      </c>
      <c r="AA83" s="20">
        <v>1</v>
      </c>
      <c r="AB83" s="20">
        <v>1</v>
      </c>
      <c r="AC83" s="20">
        <v>1</v>
      </c>
      <c r="AD83" s="20">
        <v>1</v>
      </c>
      <c r="AE83" s="20"/>
      <c r="AF83" s="20">
        <v>1</v>
      </c>
      <c r="AG83" s="20">
        <v>1</v>
      </c>
      <c r="AH83" s="20">
        <v>1</v>
      </c>
      <c r="AI83" s="20">
        <v>1</v>
      </c>
      <c r="AJ83" s="20">
        <v>1</v>
      </c>
      <c r="AK83" s="20">
        <v>1</v>
      </c>
      <c r="AL83" s="20" t="s">
        <v>137</v>
      </c>
      <c r="AM83" s="20">
        <v>1</v>
      </c>
    </row>
    <row r="84" spans="1:39" ht="16">
      <c r="A84" s="20" t="s">
        <v>137</v>
      </c>
      <c r="B84" s="20" t="s">
        <v>137</v>
      </c>
      <c r="C84" s="20" t="s">
        <v>137</v>
      </c>
      <c r="D84" s="20"/>
      <c r="E84" s="20" t="s">
        <v>137</v>
      </c>
      <c r="F84" s="20" t="s">
        <v>137</v>
      </c>
      <c r="G84" s="20" t="s">
        <v>137</v>
      </c>
      <c r="H84" s="20" t="s">
        <v>137</v>
      </c>
      <c r="I84" s="20" t="s">
        <v>137</v>
      </c>
      <c r="J84" s="20" t="s">
        <v>137</v>
      </c>
      <c r="K84" s="20" t="s">
        <v>137</v>
      </c>
      <c r="L84" s="20" t="s">
        <v>137</v>
      </c>
      <c r="M84" s="20" t="s">
        <v>137</v>
      </c>
      <c r="N84" s="20" t="s">
        <v>137</v>
      </c>
      <c r="O84" s="20" t="s">
        <v>137</v>
      </c>
      <c r="P84" s="20" t="s">
        <v>137</v>
      </c>
      <c r="Q84" s="20" t="s">
        <v>137</v>
      </c>
      <c r="R84" s="20" t="s">
        <v>137</v>
      </c>
      <c r="S84" s="20" t="s">
        <v>137</v>
      </c>
      <c r="T84" s="20" t="s">
        <v>137</v>
      </c>
      <c r="U84" s="20" t="s">
        <v>137</v>
      </c>
      <c r="V84" s="20" t="s">
        <v>137</v>
      </c>
      <c r="W84" s="20" t="s">
        <v>137</v>
      </c>
      <c r="X84" s="20" t="s">
        <v>137</v>
      </c>
      <c r="Y84" s="20" t="s">
        <v>137</v>
      </c>
      <c r="Z84" s="20" t="s">
        <v>137</v>
      </c>
      <c r="AA84" s="20" t="s">
        <v>137</v>
      </c>
      <c r="AB84" s="20">
        <v>1</v>
      </c>
      <c r="AC84" s="20">
        <v>1</v>
      </c>
      <c r="AD84" s="20">
        <v>1</v>
      </c>
      <c r="AE84" s="20"/>
      <c r="AF84" s="20">
        <v>1</v>
      </c>
      <c r="AG84" s="20">
        <v>1</v>
      </c>
      <c r="AH84" s="20">
        <v>1</v>
      </c>
      <c r="AI84" s="20">
        <v>1</v>
      </c>
      <c r="AJ84" s="20">
        <v>1</v>
      </c>
      <c r="AK84" s="20">
        <v>1</v>
      </c>
      <c r="AL84" s="20" t="s">
        <v>137</v>
      </c>
      <c r="AM84" s="20">
        <v>1</v>
      </c>
    </row>
    <row r="85" spans="1:39" ht="16">
      <c r="A85" s="20">
        <v>1</v>
      </c>
      <c r="B85" s="20">
        <v>1</v>
      </c>
      <c r="C85" s="20">
        <v>1</v>
      </c>
      <c r="D85" s="20"/>
      <c r="E85" s="20">
        <v>1</v>
      </c>
      <c r="F85" s="20">
        <v>1</v>
      </c>
      <c r="G85" s="20">
        <v>1</v>
      </c>
      <c r="H85" s="20">
        <v>1</v>
      </c>
      <c r="I85" s="20">
        <v>1</v>
      </c>
      <c r="J85" s="20">
        <v>1</v>
      </c>
      <c r="K85" s="20">
        <v>1</v>
      </c>
      <c r="L85" s="20">
        <v>1</v>
      </c>
      <c r="M85" s="101">
        <v>1</v>
      </c>
      <c r="N85" s="20">
        <v>1</v>
      </c>
      <c r="O85" s="101">
        <v>1</v>
      </c>
      <c r="P85" s="101">
        <v>1</v>
      </c>
      <c r="Q85" s="20">
        <v>0</v>
      </c>
      <c r="R85" s="20">
        <v>1</v>
      </c>
      <c r="S85" s="20">
        <v>1</v>
      </c>
      <c r="T85" s="20">
        <v>1</v>
      </c>
      <c r="U85" s="20">
        <v>1</v>
      </c>
      <c r="V85" s="20">
        <v>1</v>
      </c>
      <c r="W85" s="20">
        <v>1</v>
      </c>
      <c r="X85" s="20">
        <v>1</v>
      </c>
      <c r="Y85" s="20">
        <v>1</v>
      </c>
      <c r="Z85" s="20">
        <v>1</v>
      </c>
      <c r="AA85" s="20">
        <v>1</v>
      </c>
      <c r="AB85" s="20">
        <v>1</v>
      </c>
      <c r="AC85" s="20">
        <v>1</v>
      </c>
      <c r="AD85" s="20">
        <v>1</v>
      </c>
      <c r="AE85" s="20"/>
      <c r="AF85" s="20">
        <v>1</v>
      </c>
      <c r="AG85" s="20">
        <v>1</v>
      </c>
      <c r="AH85" s="20">
        <v>1</v>
      </c>
      <c r="AI85" s="20">
        <v>1</v>
      </c>
      <c r="AJ85" s="20">
        <v>1</v>
      </c>
      <c r="AK85" s="20">
        <v>1</v>
      </c>
      <c r="AL85" s="20" t="s">
        <v>137</v>
      </c>
      <c r="AM85" s="20">
        <v>1</v>
      </c>
    </row>
    <row r="86" spans="1:39" ht="16">
      <c r="A86" s="20" t="s">
        <v>137</v>
      </c>
      <c r="B86" s="20" t="s">
        <v>137</v>
      </c>
      <c r="C86" s="20" t="s">
        <v>137</v>
      </c>
      <c r="D86" s="20"/>
      <c r="E86" s="20" t="s">
        <v>137</v>
      </c>
      <c r="F86" s="20" t="s">
        <v>137</v>
      </c>
      <c r="G86" s="20" t="s">
        <v>137</v>
      </c>
      <c r="H86" s="20" t="s">
        <v>137</v>
      </c>
      <c r="I86" s="20" t="s">
        <v>137</v>
      </c>
      <c r="J86" s="20" t="s">
        <v>137</v>
      </c>
      <c r="K86" s="20" t="s">
        <v>137</v>
      </c>
      <c r="L86" s="20" t="s">
        <v>137</v>
      </c>
      <c r="M86" s="20" t="s">
        <v>137</v>
      </c>
      <c r="N86" s="20" t="s">
        <v>137</v>
      </c>
      <c r="O86" s="20" t="s">
        <v>137</v>
      </c>
      <c r="P86" s="20" t="s">
        <v>137</v>
      </c>
      <c r="Q86" s="20" t="s">
        <v>137</v>
      </c>
      <c r="R86" s="20" t="s">
        <v>137</v>
      </c>
      <c r="S86" s="20" t="s">
        <v>137</v>
      </c>
      <c r="T86" s="20" t="s">
        <v>137</v>
      </c>
      <c r="U86" s="20" t="s">
        <v>137</v>
      </c>
      <c r="V86" s="20" t="s">
        <v>137</v>
      </c>
      <c r="W86" s="20" t="s">
        <v>137</v>
      </c>
      <c r="X86" s="20" t="s">
        <v>137</v>
      </c>
      <c r="Y86" s="20" t="s">
        <v>137</v>
      </c>
      <c r="Z86" s="20" t="s">
        <v>137</v>
      </c>
      <c r="AA86" s="20" t="s">
        <v>137</v>
      </c>
      <c r="AB86" s="20">
        <v>1</v>
      </c>
      <c r="AC86" s="20">
        <v>1</v>
      </c>
      <c r="AD86" s="20">
        <v>1</v>
      </c>
      <c r="AE86" s="20"/>
      <c r="AF86" s="20">
        <v>1</v>
      </c>
      <c r="AG86" s="20">
        <v>1</v>
      </c>
      <c r="AH86" s="20">
        <v>1</v>
      </c>
      <c r="AI86" s="20">
        <v>1</v>
      </c>
      <c r="AJ86" s="20">
        <v>1</v>
      </c>
      <c r="AK86" s="20">
        <v>1</v>
      </c>
      <c r="AL86" s="20" t="s">
        <v>137</v>
      </c>
      <c r="AM86" s="20">
        <v>1</v>
      </c>
    </row>
    <row r="87" spans="1:39" ht="16">
      <c r="A87" s="20" t="s">
        <v>137</v>
      </c>
      <c r="B87" s="20" t="s">
        <v>137</v>
      </c>
      <c r="C87" s="20" t="s">
        <v>137</v>
      </c>
      <c r="D87" s="20"/>
      <c r="E87" s="20" t="s">
        <v>137</v>
      </c>
      <c r="F87" s="20" t="s">
        <v>137</v>
      </c>
      <c r="G87" s="20" t="s">
        <v>137</v>
      </c>
      <c r="H87" s="20">
        <v>1</v>
      </c>
      <c r="I87" s="20">
        <v>1</v>
      </c>
      <c r="J87" s="20">
        <v>1</v>
      </c>
      <c r="K87" s="20">
        <v>1</v>
      </c>
      <c r="L87" s="20">
        <v>1</v>
      </c>
      <c r="M87" s="101">
        <v>1</v>
      </c>
      <c r="N87" s="20">
        <v>1</v>
      </c>
      <c r="O87" s="101">
        <v>1</v>
      </c>
      <c r="P87" s="101">
        <v>1</v>
      </c>
      <c r="Q87" s="101">
        <v>1</v>
      </c>
      <c r="R87" s="20">
        <v>1</v>
      </c>
      <c r="S87" s="20">
        <v>1</v>
      </c>
      <c r="T87" s="20">
        <v>0</v>
      </c>
      <c r="U87" s="20">
        <v>1</v>
      </c>
      <c r="V87" s="20">
        <v>1</v>
      </c>
      <c r="W87" s="20">
        <v>1</v>
      </c>
      <c r="X87" s="20">
        <v>1</v>
      </c>
      <c r="Y87" s="20">
        <v>1</v>
      </c>
      <c r="Z87" s="20">
        <v>1</v>
      </c>
      <c r="AA87" s="20">
        <v>1</v>
      </c>
      <c r="AB87" s="20">
        <v>1</v>
      </c>
      <c r="AC87" s="20">
        <v>1</v>
      </c>
      <c r="AD87" s="20">
        <v>1</v>
      </c>
      <c r="AE87" s="20"/>
      <c r="AF87" s="20">
        <v>1</v>
      </c>
      <c r="AG87" s="20">
        <v>1</v>
      </c>
      <c r="AH87" s="20">
        <v>1</v>
      </c>
      <c r="AI87" s="20">
        <v>1</v>
      </c>
      <c r="AJ87" s="20">
        <v>1</v>
      </c>
      <c r="AK87" s="20">
        <v>1</v>
      </c>
      <c r="AL87" s="20" t="s">
        <v>137</v>
      </c>
      <c r="AM87" s="20">
        <v>1</v>
      </c>
    </row>
    <row r="88" spans="1:39" ht="16">
      <c r="A88" s="20" t="s">
        <v>137</v>
      </c>
      <c r="B88" s="20" t="s">
        <v>137</v>
      </c>
      <c r="C88" s="20" t="s">
        <v>137</v>
      </c>
      <c r="D88" s="20"/>
      <c r="E88" s="20" t="s">
        <v>137</v>
      </c>
      <c r="F88" s="20" t="s">
        <v>137</v>
      </c>
      <c r="G88" s="20" t="s">
        <v>137</v>
      </c>
      <c r="H88" s="20" t="s">
        <v>137</v>
      </c>
      <c r="I88" s="20" t="s">
        <v>137</v>
      </c>
      <c r="J88" s="20" t="s">
        <v>137</v>
      </c>
      <c r="K88" s="20" t="s">
        <v>137</v>
      </c>
      <c r="L88" s="20" t="s">
        <v>137</v>
      </c>
      <c r="M88" s="20" t="s">
        <v>137</v>
      </c>
      <c r="N88" s="20" t="s">
        <v>137</v>
      </c>
      <c r="O88" s="20" t="s">
        <v>137</v>
      </c>
      <c r="P88" s="20" t="s">
        <v>137</v>
      </c>
      <c r="Q88" s="20" t="s">
        <v>137</v>
      </c>
      <c r="R88" s="20" t="s">
        <v>137</v>
      </c>
      <c r="S88" s="20" t="s">
        <v>137</v>
      </c>
      <c r="T88" s="20" t="s">
        <v>137</v>
      </c>
      <c r="U88" s="20" t="s">
        <v>137</v>
      </c>
      <c r="V88" s="20" t="s">
        <v>137</v>
      </c>
      <c r="W88" s="20" t="s">
        <v>137</v>
      </c>
      <c r="X88" s="20" t="s">
        <v>137</v>
      </c>
      <c r="Y88" s="20" t="s">
        <v>137</v>
      </c>
      <c r="Z88" s="20" t="s">
        <v>137</v>
      </c>
      <c r="AA88" s="20" t="s">
        <v>137</v>
      </c>
      <c r="AB88" s="20">
        <v>1</v>
      </c>
      <c r="AC88" s="20">
        <v>1</v>
      </c>
      <c r="AD88" s="20">
        <v>1</v>
      </c>
      <c r="AE88" s="20"/>
      <c r="AF88" s="20">
        <v>1</v>
      </c>
      <c r="AG88" s="20">
        <v>1</v>
      </c>
      <c r="AH88" s="20">
        <v>1</v>
      </c>
      <c r="AI88" s="20">
        <v>1</v>
      </c>
      <c r="AJ88" s="20">
        <v>1</v>
      </c>
      <c r="AK88" s="20">
        <v>1</v>
      </c>
      <c r="AL88" s="20" t="s">
        <v>137</v>
      </c>
      <c r="AM88" s="20">
        <v>1</v>
      </c>
    </row>
    <row r="89" spans="1:39" ht="16">
      <c r="A89" s="20" t="s">
        <v>137</v>
      </c>
      <c r="B89" s="20" t="s">
        <v>137</v>
      </c>
      <c r="C89" s="20" t="s">
        <v>137</v>
      </c>
      <c r="D89" s="20"/>
      <c r="E89" s="20" t="s">
        <v>137</v>
      </c>
      <c r="F89" s="20" t="s">
        <v>137</v>
      </c>
      <c r="G89" s="20" t="s">
        <v>137</v>
      </c>
      <c r="H89" s="20">
        <v>1</v>
      </c>
      <c r="I89" s="20">
        <v>1</v>
      </c>
      <c r="J89" s="20">
        <v>1</v>
      </c>
      <c r="K89" s="20">
        <v>1</v>
      </c>
      <c r="L89" s="20">
        <v>1</v>
      </c>
      <c r="M89" s="101">
        <v>1</v>
      </c>
      <c r="N89" s="20">
        <v>1</v>
      </c>
      <c r="O89" s="20">
        <v>1</v>
      </c>
      <c r="P89" s="101">
        <v>1</v>
      </c>
      <c r="Q89" s="101">
        <v>1</v>
      </c>
      <c r="R89" s="20">
        <v>1</v>
      </c>
      <c r="S89" s="20">
        <v>1</v>
      </c>
      <c r="T89" s="20">
        <v>1</v>
      </c>
      <c r="U89" s="20">
        <v>1</v>
      </c>
      <c r="V89" s="20">
        <v>1</v>
      </c>
      <c r="W89" s="20">
        <v>1</v>
      </c>
      <c r="X89" s="20">
        <v>1</v>
      </c>
      <c r="Y89" s="20">
        <v>1</v>
      </c>
      <c r="Z89" s="20">
        <v>1</v>
      </c>
      <c r="AA89" s="20">
        <v>1</v>
      </c>
      <c r="AB89" s="20">
        <v>1</v>
      </c>
      <c r="AC89" s="20">
        <v>1</v>
      </c>
      <c r="AD89" s="20">
        <v>1</v>
      </c>
      <c r="AE89" s="20"/>
      <c r="AF89" s="20">
        <v>1</v>
      </c>
      <c r="AG89" s="20">
        <v>1</v>
      </c>
      <c r="AH89" s="20">
        <v>1</v>
      </c>
      <c r="AI89" s="20">
        <v>1</v>
      </c>
      <c r="AJ89" s="20">
        <v>1</v>
      </c>
      <c r="AK89" s="20">
        <v>1</v>
      </c>
      <c r="AL89" s="20" t="s">
        <v>137</v>
      </c>
      <c r="AM89" s="20">
        <v>1</v>
      </c>
    </row>
    <row r="90" spans="1:39" ht="16">
      <c r="A90" s="20" t="s">
        <v>137</v>
      </c>
      <c r="B90" s="20" t="s">
        <v>137</v>
      </c>
      <c r="C90" s="20" t="s">
        <v>137</v>
      </c>
      <c r="D90" s="20"/>
      <c r="E90" s="20" t="s">
        <v>137</v>
      </c>
      <c r="F90" s="20" t="s">
        <v>137</v>
      </c>
      <c r="G90" s="20" t="s">
        <v>137</v>
      </c>
      <c r="H90" s="20" t="s">
        <v>137</v>
      </c>
      <c r="I90" s="20" t="s">
        <v>137</v>
      </c>
      <c r="J90" s="20" t="s">
        <v>137</v>
      </c>
      <c r="K90" s="20" t="s">
        <v>137</v>
      </c>
      <c r="L90" s="20" t="s">
        <v>137</v>
      </c>
      <c r="M90" s="20" t="s">
        <v>137</v>
      </c>
      <c r="N90" s="20" t="s">
        <v>137</v>
      </c>
      <c r="O90" s="20" t="s">
        <v>137</v>
      </c>
      <c r="P90" s="20" t="s">
        <v>137</v>
      </c>
      <c r="Q90" s="20" t="s">
        <v>137</v>
      </c>
      <c r="R90" s="20" t="s">
        <v>137</v>
      </c>
      <c r="S90" s="20" t="s">
        <v>137</v>
      </c>
      <c r="T90" s="20" t="s">
        <v>137</v>
      </c>
      <c r="U90" s="20" t="s">
        <v>137</v>
      </c>
      <c r="V90" s="20" t="s">
        <v>137</v>
      </c>
      <c r="W90" s="20" t="s">
        <v>137</v>
      </c>
      <c r="X90" s="20" t="s">
        <v>137</v>
      </c>
      <c r="Y90" s="20" t="s">
        <v>137</v>
      </c>
      <c r="Z90" s="20" t="s">
        <v>137</v>
      </c>
      <c r="AA90" s="20" t="s">
        <v>137</v>
      </c>
      <c r="AB90" s="20">
        <v>1</v>
      </c>
      <c r="AC90" s="20">
        <v>1</v>
      </c>
      <c r="AD90" s="20">
        <v>1</v>
      </c>
      <c r="AE90" s="20"/>
      <c r="AF90" s="20">
        <v>1</v>
      </c>
      <c r="AG90" s="20">
        <v>1</v>
      </c>
      <c r="AH90" s="20">
        <v>1</v>
      </c>
      <c r="AI90" s="20">
        <v>1</v>
      </c>
      <c r="AJ90" s="20">
        <v>1</v>
      </c>
      <c r="AK90" s="20">
        <v>1</v>
      </c>
      <c r="AL90" s="20" t="s">
        <v>137</v>
      </c>
      <c r="AM90" s="20">
        <v>1</v>
      </c>
    </row>
    <row r="91" spans="1:39" ht="16">
      <c r="A91" s="20">
        <v>1</v>
      </c>
      <c r="B91" s="20">
        <v>1</v>
      </c>
      <c r="C91" s="20">
        <v>1</v>
      </c>
      <c r="D91" s="20"/>
      <c r="E91" s="20">
        <v>1</v>
      </c>
      <c r="F91" s="20">
        <v>1</v>
      </c>
      <c r="G91" s="20">
        <v>1</v>
      </c>
      <c r="H91" s="20">
        <v>1</v>
      </c>
      <c r="I91" s="20">
        <v>1</v>
      </c>
      <c r="J91" s="20">
        <v>1</v>
      </c>
      <c r="K91" s="20">
        <v>1</v>
      </c>
      <c r="L91" s="20">
        <v>1</v>
      </c>
      <c r="M91" s="20">
        <v>1</v>
      </c>
      <c r="N91" s="20">
        <v>1</v>
      </c>
      <c r="O91" s="20">
        <v>1</v>
      </c>
      <c r="P91" s="20">
        <v>1</v>
      </c>
      <c r="Q91" s="20">
        <v>1</v>
      </c>
      <c r="R91" s="20">
        <v>0</v>
      </c>
      <c r="S91" s="20">
        <v>1</v>
      </c>
      <c r="T91" s="20">
        <v>1</v>
      </c>
      <c r="U91" s="20">
        <v>1</v>
      </c>
      <c r="V91" s="20">
        <v>1</v>
      </c>
      <c r="W91" s="20">
        <v>1</v>
      </c>
      <c r="X91" s="20">
        <v>1</v>
      </c>
      <c r="Y91" s="20">
        <v>1</v>
      </c>
      <c r="Z91" s="20">
        <v>1</v>
      </c>
      <c r="AA91" s="20">
        <v>1</v>
      </c>
      <c r="AB91" s="20">
        <v>1</v>
      </c>
      <c r="AC91" s="20">
        <v>1</v>
      </c>
      <c r="AD91" s="20">
        <v>1</v>
      </c>
      <c r="AE91" s="20"/>
      <c r="AF91" s="20">
        <v>1</v>
      </c>
      <c r="AG91" s="20">
        <v>1</v>
      </c>
      <c r="AH91" s="20">
        <v>1</v>
      </c>
      <c r="AI91" s="20">
        <v>1</v>
      </c>
      <c r="AJ91" s="20">
        <v>1</v>
      </c>
      <c r="AK91" s="20">
        <v>1</v>
      </c>
      <c r="AL91" s="20" t="s">
        <v>137</v>
      </c>
      <c r="AM91" s="62">
        <v>1</v>
      </c>
    </row>
    <row r="92" spans="1:39" ht="16">
      <c r="A92" s="20" t="s">
        <v>137</v>
      </c>
      <c r="B92" s="20" t="s">
        <v>137</v>
      </c>
      <c r="C92" s="20" t="s">
        <v>137</v>
      </c>
      <c r="D92" s="20"/>
      <c r="E92" s="20" t="s">
        <v>137</v>
      </c>
      <c r="F92" s="20" t="s">
        <v>137</v>
      </c>
      <c r="G92" s="20" t="s">
        <v>137</v>
      </c>
      <c r="H92" s="20">
        <v>1</v>
      </c>
      <c r="I92" s="20">
        <v>1</v>
      </c>
      <c r="J92" s="20">
        <v>1</v>
      </c>
      <c r="K92" s="20">
        <v>1</v>
      </c>
      <c r="L92" s="20">
        <v>1</v>
      </c>
      <c r="M92" s="20">
        <v>1</v>
      </c>
      <c r="N92" s="20">
        <v>1</v>
      </c>
      <c r="O92" s="20">
        <v>1</v>
      </c>
      <c r="P92" s="20">
        <v>1</v>
      </c>
      <c r="Q92" s="20">
        <v>1</v>
      </c>
      <c r="R92" s="20">
        <v>0</v>
      </c>
      <c r="S92" s="20">
        <v>1</v>
      </c>
      <c r="T92" s="20">
        <v>1</v>
      </c>
      <c r="U92" s="20">
        <v>1</v>
      </c>
      <c r="V92" s="20">
        <v>1</v>
      </c>
      <c r="W92" s="20">
        <v>1</v>
      </c>
      <c r="X92" s="20">
        <v>1</v>
      </c>
      <c r="Y92" s="20">
        <v>1</v>
      </c>
      <c r="Z92" s="20">
        <v>1</v>
      </c>
      <c r="AA92" s="20">
        <v>1</v>
      </c>
      <c r="AB92" s="20">
        <v>1</v>
      </c>
      <c r="AC92" s="20">
        <v>1</v>
      </c>
      <c r="AD92" s="20">
        <v>1</v>
      </c>
      <c r="AE92" s="20"/>
      <c r="AF92" s="20">
        <v>1</v>
      </c>
      <c r="AG92" s="20">
        <v>1</v>
      </c>
      <c r="AH92" s="20">
        <v>1</v>
      </c>
      <c r="AI92" s="20">
        <v>1</v>
      </c>
      <c r="AJ92" s="20">
        <v>1</v>
      </c>
      <c r="AK92" s="20">
        <v>1</v>
      </c>
      <c r="AL92" s="20" t="s">
        <v>137</v>
      </c>
      <c r="AM92" s="62">
        <v>1</v>
      </c>
    </row>
    <row r="93" spans="1:39" ht="16">
      <c r="A93" s="20" t="s">
        <v>137</v>
      </c>
      <c r="B93" s="20" t="s">
        <v>137</v>
      </c>
      <c r="C93" s="20" t="s">
        <v>137</v>
      </c>
      <c r="D93" s="20"/>
      <c r="E93" s="20" t="s">
        <v>137</v>
      </c>
      <c r="F93" s="20" t="s">
        <v>137</v>
      </c>
      <c r="G93" s="20" t="s">
        <v>137</v>
      </c>
      <c r="H93" s="20">
        <v>1</v>
      </c>
      <c r="I93" s="20">
        <v>1</v>
      </c>
      <c r="J93" s="20">
        <v>1</v>
      </c>
      <c r="K93" s="20">
        <v>1</v>
      </c>
      <c r="L93" s="20">
        <v>1</v>
      </c>
      <c r="M93" s="20">
        <v>1</v>
      </c>
      <c r="N93" s="20">
        <v>1</v>
      </c>
      <c r="O93" s="20">
        <v>1</v>
      </c>
      <c r="P93" s="20">
        <v>1</v>
      </c>
      <c r="Q93" s="20">
        <v>1</v>
      </c>
      <c r="R93" s="20">
        <v>1</v>
      </c>
      <c r="S93" s="20">
        <v>1</v>
      </c>
      <c r="T93" s="20">
        <v>1</v>
      </c>
      <c r="U93" s="20">
        <v>1</v>
      </c>
      <c r="V93" s="20">
        <v>1</v>
      </c>
      <c r="W93" s="20">
        <v>1</v>
      </c>
      <c r="X93" s="20">
        <v>1</v>
      </c>
      <c r="Y93" s="20">
        <v>1</v>
      </c>
      <c r="Z93" s="20">
        <v>1</v>
      </c>
      <c r="AA93" s="20">
        <v>1</v>
      </c>
      <c r="AB93" s="20">
        <v>1</v>
      </c>
      <c r="AC93" s="20">
        <v>1</v>
      </c>
      <c r="AD93" s="20">
        <v>1</v>
      </c>
      <c r="AE93" s="20"/>
      <c r="AF93" s="20">
        <v>1</v>
      </c>
      <c r="AG93" s="20">
        <v>1</v>
      </c>
      <c r="AH93" s="20">
        <v>1</v>
      </c>
      <c r="AI93" s="20">
        <v>1</v>
      </c>
      <c r="AJ93" s="20">
        <v>1</v>
      </c>
      <c r="AK93" s="20">
        <v>1</v>
      </c>
      <c r="AL93" s="20" t="s">
        <v>137</v>
      </c>
      <c r="AM93" s="62">
        <v>1</v>
      </c>
    </row>
    <row r="94" spans="1:39" ht="16">
      <c r="A94" s="20">
        <v>1</v>
      </c>
      <c r="B94" s="20">
        <v>1</v>
      </c>
      <c r="C94" s="20">
        <v>1</v>
      </c>
      <c r="D94" s="20"/>
      <c r="E94" s="20">
        <v>1</v>
      </c>
      <c r="F94" s="20">
        <v>1</v>
      </c>
      <c r="G94" s="20">
        <v>1</v>
      </c>
      <c r="H94" s="20">
        <v>1</v>
      </c>
      <c r="I94" s="20">
        <v>1</v>
      </c>
      <c r="J94" s="20">
        <v>1</v>
      </c>
      <c r="K94" s="20">
        <v>1</v>
      </c>
      <c r="L94" s="20">
        <v>1</v>
      </c>
      <c r="M94" s="20">
        <v>1</v>
      </c>
      <c r="N94" s="20">
        <v>1</v>
      </c>
      <c r="O94" s="20">
        <v>1</v>
      </c>
      <c r="P94" s="20">
        <v>1</v>
      </c>
      <c r="Q94" s="20">
        <v>1</v>
      </c>
      <c r="R94" s="20">
        <v>1</v>
      </c>
      <c r="S94" s="20">
        <v>1</v>
      </c>
      <c r="T94" s="20">
        <v>1</v>
      </c>
      <c r="U94" s="20">
        <v>1</v>
      </c>
      <c r="V94" s="20">
        <v>1</v>
      </c>
      <c r="W94" s="20">
        <v>1</v>
      </c>
      <c r="X94" s="20">
        <v>1</v>
      </c>
      <c r="Y94" s="20">
        <v>1</v>
      </c>
      <c r="Z94" s="20">
        <v>1</v>
      </c>
      <c r="AA94" s="20">
        <v>1</v>
      </c>
      <c r="AB94" s="20">
        <v>1</v>
      </c>
      <c r="AC94" s="20">
        <v>0</v>
      </c>
      <c r="AD94" s="20">
        <v>1</v>
      </c>
      <c r="AE94" s="20"/>
      <c r="AF94" s="20">
        <v>1</v>
      </c>
      <c r="AG94" s="20">
        <v>1</v>
      </c>
      <c r="AH94" s="20">
        <v>1</v>
      </c>
      <c r="AI94" s="20">
        <v>1</v>
      </c>
      <c r="AJ94" s="20">
        <v>1</v>
      </c>
      <c r="AK94" s="20">
        <v>1</v>
      </c>
      <c r="AL94" s="20" t="s">
        <v>137</v>
      </c>
      <c r="AM94" s="20">
        <v>1</v>
      </c>
    </row>
    <row r="95" spans="1:39" ht="16">
      <c r="A95" s="20" t="s">
        <v>137</v>
      </c>
      <c r="B95" s="20" t="s">
        <v>137</v>
      </c>
      <c r="C95" s="20" t="s">
        <v>137</v>
      </c>
      <c r="D95" s="20"/>
      <c r="E95" s="20" t="s">
        <v>137</v>
      </c>
      <c r="F95" s="20" t="s">
        <v>137</v>
      </c>
      <c r="G95" s="20" t="s">
        <v>137</v>
      </c>
      <c r="H95" s="20" t="s">
        <v>137</v>
      </c>
      <c r="I95" s="20" t="s">
        <v>137</v>
      </c>
      <c r="J95" s="20" t="s">
        <v>137</v>
      </c>
      <c r="K95" s="20" t="s">
        <v>137</v>
      </c>
      <c r="L95" s="20" t="s">
        <v>137</v>
      </c>
      <c r="M95" s="20" t="s">
        <v>137</v>
      </c>
      <c r="N95" s="20" t="s">
        <v>137</v>
      </c>
      <c r="O95" s="20" t="s">
        <v>137</v>
      </c>
      <c r="P95" s="20" t="s">
        <v>137</v>
      </c>
      <c r="Q95" s="20" t="s">
        <v>137</v>
      </c>
      <c r="R95" s="20" t="s">
        <v>137</v>
      </c>
      <c r="S95" s="20" t="s">
        <v>137</v>
      </c>
      <c r="T95" s="20" t="s">
        <v>137</v>
      </c>
      <c r="U95" s="20" t="s">
        <v>137</v>
      </c>
      <c r="V95" s="20" t="s">
        <v>137</v>
      </c>
      <c r="W95" s="20" t="s">
        <v>137</v>
      </c>
      <c r="X95" s="20" t="s">
        <v>137</v>
      </c>
      <c r="Y95" s="20" t="s">
        <v>137</v>
      </c>
      <c r="Z95" s="20" t="s">
        <v>137</v>
      </c>
      <c r="AA95" s="20" t="s">
        <v>137</v>
      </c>
      <c r="AB95" s="20">
        <v>1</v>
      </c>
      <c r="AC95" s="20">
        <v>1</v>
      </c>
      <c r="AD95" s="20">
        <v>1</v>
      </c>
      <c r="AE95" s="20"/>
      <c r="AF95" s="20">
        <v>1</v>
      </c>
      <c r="AG95" s="20">
        <v>1</v>
      </c>
      <c r="AH95" s="20">
        <v>1</v>
      </c>
      <c r="AI95" s="20">
        <v>1</v>
      </c>
      <c r="AJ95" s="20">
        <v>1</v>
      </c>
      <c r="AK95" s="20">
        <v>1</v>
      </c>
      <c r="AL95" s="20" t="s">
        <v>137</v>
      </c>
      <c r="AM95" s="20">
        <v>1</v>
      </c>
    </row>
    <row r="96" spans="1:39" ht="16">
      <c r="A96" s="20" t="s">
        <v>137</v>
      </c>
      <c r="B96" s="20" t="s">
        <v>137</v>
      </c>
      <c r="C96" s="20" t="s">
        <v>137</v>
      </c>
      <c r="D96" s="20"/>
      <c r="E96" s="20" t="s">
        <v>137</v>
      </c>
      <c r="F96" s="20" t="s">
        <v>137</v>
      </c>
      <c r="G96" s="20" t="s">
        <v>137</v>
      </c>
      <c r="H96" s="20">
        <v>1</v>
      </c>
      <c r="I96" s="20">
        <v>1</v>
      </c>
      <c r="J96" s="20">
        <v>1</v>
      </c>
      <c r="K96" s="20">
        <v>1</v>
      </c>
      <c r="L96" s="20">
        <v>1</v>
      </c>
      <c r="M96" s="20">
        <v>1</v>
      </c>
      <c r="N96" s="20">
        <v>1</v>
      </c>
      <c r="O96" s="20">
        <v>1</v>
      </c>
      <c r="P96" s="20">
        <v>1</v>
      </c>
      <c r="Q96" s="20">
        <v>1</v>
      </c>
      <c r="R96" s="20">
        <v>1</v>
      </c>
      <c r="S96" s="20">
        <v>1</v>
      </c>
      <c r="T96" s="20">
        <v>1</v>
      </c>
      <c r="U96" s="20">
        <v>1</v>
      </c>
      <c r="V96" s="20">
        <v>1</v>
      </c>
      <c r="W96" s="20">
        <v>1</v>
      </c>
      <c r="X96" s="20">
        <v>1</v>
      </c>
      <c r="Y96" s="20">
        <v>1</v>
      </c>
      <c r="Z96" s="20">
        <v>1</v>
      </c>
      <c r="AA96" s="20">
        <v>1</v>
      </c>
      <c r="AB96" s="20">
        <v>1</v>
      </c>
      <c r="AC96" s="20">
        <v>0</v>
      </c>
      <c r="AD96" s="20">
        <v>1</v>
      </c>
      <c r="AE96" s="20"/>
      <c r="AF96" s="20">
        <v>1</v>
      </c>
      <c r="AG96" s="20">
        <v>1</v>
      </c>
      <c r="AH96" s="20">
        <v>1</v>
      </c>
      <c r="AI96" s="20">
        <v>1</v>
      </c>
      <c r="AJ96" s="20">
        <v>1</v>
      </c>
      <c r="AK96" s="20">
        <v>1</v>
      </c>
      <c r="AL96" s="20" t="s">
        <v>137</v>
      </c>
      <c r="AM96" s="20">
        <v>1</v>
      </c>
    </row>
    <row r="97" spans="1:43" ht="16">
      <c r="A97" s="20" t="s">
        <v>137</v>
      </c>
      <c r="B97" s="20" t="s">
        <v>137</v>
      </c>
      <c r="C97" s="20" t="s">
        <v>137</v>
      </c>
      <c r="D97" s="20"/>
      <c r="E97" s="20" t="s">
        <v>137</v>
      </c>
      <c r="F97" s="20" t="s">
        <v>137</v>
      </c>
      <c r="G97" s="20" t="s">
        <v>137</v>
      </c>
      <c r="H97" s="20" t="s">
        <v>137</v>
      </c>
      <c r="I97" s="20" t="s">
        <v>137</v>
      </c>
      <c r="J97" s="20" t="s">
        <v>137</v>
      </c>
      <c r="K97" s="20" t="s">
        <v>137</v>
      </c>
      <c r="L97" s="20" t="s">
        <v>137</v>
      </c>
      <c r="M97" s="20" t="s">
        <v>137</v>
      </c>
      <c r="N97" s="20" t="s">
        <v>137</v>
      </c>
      <c r="O97" s="20" t="s">
        <v>137</v>
      </c>
      <c r="P97" s="20" t="s">
        <v>137</v>
      </c>
      <c r="Q97" s="20" t="s">
        <v>137</v>
      </c>
      <c r="R97" s="20" t="s">
        <v>137</v>
      </c>
      <c r="S97" s="20" t="s">
        <v>137</v>
      </c>
      <c r="T97" s="20" t="s">
        <v>137</v>
      </c>
      <c r="U97" s="20" t="s">
        <v>137</v>
      </c>
      <c r="V97" s="20" t="s">
        <v>137</v>
      </c>
      <c r="W97" s="20" t="s">
        <v>137</v>
      </c>
      <c r="X97" s="20" t="s">
        <v>137</v>
      </c>
      <c r="Y97" s="20" t="s">
        <v>137</v>
      </c>
      <c r="Z97" s="20" t="s">
        <v>137</v>
      </c>
      <c r="AA97" s="20" t="s">
        <v>137</v>
      </c>
      <c r="AB97" s="20">
        <v>1</v>
      </c>
      <c r="AC97" s="20">
        <v>1</v>
      </c>
      <c r="AD97" s="20">
        <v>1</v>
      </c>
      <c r="AE97" s="20"/>
      <c r="AF97" s="20">
        <v>1</v>
      </c>
      <c r="AG97" s="20">
        <v>0</v>
      </c>
      <c r="AH97" s="20">
        <v>1</v>
      </c>
      <c r="AI97" s="20">
        <v>1</v>
      </c>
      <c r="AJ97" s="20">
        <v>1</v>
      </c>
      <c r="AK97" s="20">
        <v>1</v>
      </c>
      <c r="AL97" s="20" t="s">
        <v>137</v>
      </c>
      <c r="AM97" s="20">
        <v>1</v>
      </c>
    </row>
    <row r="98" spans="1:43" ht="16">
      <c r="A98" s="20">
        <v>1</v>
      </c>
      <c r="B98" s="20">
        <v>1</v>
      </c>
      <c r="C98" s="20">
        <v>1</v>
      </c>
      <c r="D98" s="20"/>
      <c r="E98" s="20">
        <v>1</v>
      </c>
      <c r="F98" s="20">
        <v>1</v>
      </c>
      <c r="G98" s="20">
        <v>1</v>
      </c>
      <c r="H98" s="20">
        <v>1</v>
      </c>
      <c r="I98" s="20">
        <v>1</v>
      </c>
      <c r="J98" s="20">
        <v>1</v>
      </c>
      <c r="K98" s="20">
        <v>0</v>
      </c>
      <c r="L98" s="20">
        <v>1</v>
      </c>
      <c r="M98" s="20">
        <v>1</v>
      </c>
      <c r="N98" s="20">
        <v>1</v>
      </c>
      <c r="O98" s="20">
        <v>1</v>
      </c>
      <c r="P98" s="20">
        <v>1</v>
      </c>
      <c r="Q98" s="20">
        <v>1</v>
      </c>
      <c r="R98" s="20">
        <v>1</v>
      </c>
      <c r="S98" s="20">
        <v>1</v>
      </c>
      <c r="T98" s="20">
        <v>1</v>
      </c>
      <c r="U98" s="20">
        <v>1</v>
      </c>
      <c r="V98" s="20">
        <v>1</v>
      </c>
      <c r="W98" s="20">
        <v>1</v>
      </c>
      <c r="X98" s="20">
        <v>1</v>
      </c>
      <c r="Y98" s="20">
        <v>1</v>
      </c>
      <c r="Z98" s="20">
        <v>1</v>
      </c>
      <c r="AA98" s="20">
        <v>1</v>
      </c>
      <c r="AB98" s="20">
        <v>1</v>
      </c>
      <c r="AC98" s="20">
        <v>1</v>
      </c>
      <c r="AD98" s="62">
        <v>1</v>
      </c>
      <c r="AE98" s="62"/>
      <c r="AF98" s="20">
        <v>1</v>
      </c>
      <c r="AG98" s="20">
        <v>1</v>
      </c>
      <c r="AH98" s="20">
        <v>1</v>
      </c>
      <c r="AI98" s="20">
        <v>1</v>
      </c>
      <c r="AJ98" s="20">
        <v>1</v>
      </c>
      <c r="AK98" s="20">
        <v>1</v>
      </c>
      <c r="AL98" s="20" t="s">
        <v>137</v>
      </c>
      <c r="AM98" s="20">
        <v>0</v>
      </c>
    </row>
    <row r="99" spans="1:43" ht="16">
      <c r="A99" s="20" t="s">
        <v>137</v>
      </c>
      <c r="B99" s="20" t="s">
        <v>137</v>
      </c>
      <c r="C99" s="20" t="s">
        <v>137</v>
      </c>
      <c r="D99" s="20"/>
      <c r="E99" s="20" t="s">
        <v>137</v>
      </c>
      <c r="F99" s="20" t="s">
        <v>137</v>
      </c>
      <c r="G99" s="20" t="s">
        <v>137</v>
      </c>
      <c r="H99" s="20">
        <v>1</v>
      </c>
      <c r="I99" s="20">
        <v>1</v>
      </c>
      <c r="J99" s="20">
        <v>1</v>
      </c>
      <c r="K99" s="20">
        <v>1</v>
      </c>
      <c r="L99" s="20">
        <v>1</v>
      </c>
      <c r="M99" s="20">
        <v>1</v>
      </c>
      <c r="N99" s="20">
        <v>1</v>
      </c>
      <c r="O99" s="20">
        <v>1</v>
      </c>
      <c r="P99" s="20">
        <v>1</v>
      </c>
      <c r="Q99" s="20">
        <v>1</v>
      </c>
      <c r="R99" s="20">
        <v>1</v>
      </c>
      <c r="S99" s="20">
        <v>1</v>
      </c>
      <c r="T99" s="20">
        <v>1</v>
      </c>
      <c r="U99" s="20">
        <v>1</v>
      </c>
      <c r="V99" s="20">
        <v>1</v>
      </c>
      <c r="W99" s="20">
        <v>1</v>
      </c>
      <c r="X99" s="20">
        <v>1</v>
      </c>
      <c r="Y99" s="20">
        <v>1</v>
      </c>
      <c r="Z99" s="20">
        <v>1</v>
      </c>
      <c r="AA99" s="20">
        <v>1</v>
      </c>
      <c r="AB99" s="20">
        <v>1</v>
      </c>
      <c r="AC99" s="20">
        <v>1</v>
      </c>
      <c r="AD99" s="62">
        <v>1</v>
      </c>
      <c r="AE99" s="62"/>
      <c r="AF99" s="20">
        <v>1</v>
      </c>
      <c r="AG99" s="20">
        <v>1</v>
      </c>
      <c r="AH99" s="20">
        <v>1</v>
      </c>
      <c r="AI99" s="20">
        <v>1</v>
      </c>
      <c r="AJ99" s="20">
        <v>1</v>
      </c>
      <c r="AK99" s="20">
        <v>1</v>
      </c>
      <c r="AL99" s="20" t="s">
        <v>137</v>
      </c>
      <c r="AM99" s="20">
        <v>0</v>
      </c>
    </row>
    <row r="100" spans="1:43" ht="16">
      <c r="A100" s="20" t="s">
        <v>137</v>
      </c>
      <c r="B100" s="20" t="s">
        <v>137</v>
      </c>
      <c r="C100" s="20" t="s">
        <v>137</v>
      </c>
      <c r="D100" s="20"/>
      <c r="E100" s="20" t="s">
        <v>137</v>
      </c>
      <c r="F100" s="20" t="s">
        <v>137</v>
      </c>
      <c r="G100" s="20" t="s">
        <v>137</v>
      </c>
      <c r="H100" s="20">
        <v>1</v>
      </c>
      <c r="I100" s="20">
        <v>1</v>
      </c>
      <c r="J100" s="20">
        <v>1</v>
      </c>
      <c r="K100" s="20">
        <v>1</v>
      </c>
      <c r="L100" s="20">
        <v>1</v>
      </c>
      <c r="M100" s="20">
        <v>1</v>
      </c>
      <c r="N100" s="20">
        <v>1</v>
      </c>
      <c r="O100" s="20">
        <v>1</v>
      </c>
      <c r="P100" s="20">
        <v>1</v>
      </c>
      <c r="Q100" s="20">
        <v>1</v>
      </c>
      <c r="R100" s="20">
        <v>1</v>
      </c>
      <c r="S100" s="20">
        <v>1</v>
      </c>
      <c r="T100" s="20">
        <v>1</v>
      </c>
      <c r="U100" s="20">
        <v>1</v>
      </c>
      <c r="V100" s="20">
        <v>1</v>
      </c>
      <c r="W100" s="20">
        <v>1</v>
      </c>
      <c r="X100" s="20">
        <v>1</v>
      </c>
      <c r="Y100" s="20">
        <v>1</v>
      </c>
      <c r="Z100" s="20">
        <v>1</v>
      </c>
      <c r="AA100" s="20">
        <v>1</v>
      </c>
      <c r="AB100" s="20">
        <v>1</v>
      </c>
      <c r="AC100" s="20">
        <v>1</v>
      </c>
      <c r="AD100" s="62">
        <v>1</v>
      </c>
      <c r="AE100" s="62"/>
      <c r="AF100" s="20">
        <v>1</v>
      </c>
      <c r="AG100" s="20">
        <v>1</v>
      </c>
      <c r="AH100" s="20">
        <v>1</v>
      </c>
      <c r="AI100" s="20">
        <v>1</v>
      </c>
      <c r="AJ100" s="20">
        <v>1</v>
      </c>
      <c r="AK100" s="20">
        <v>1</v>
      </c>
      <c r="AL100" s="20" t="s">
        <v>137</v>
      </c>
      <c r="AM100" s="20">
        <v>0</v>
      </c>
    </row>
    <row r="101" spans="1:43" ht="16">
      <c r="A101" s="20">
        <v>1</v>
      </c>
      <c r="B101" s="20">
        <v>1</v>
      </c>
      <c r="C101" s="20">
        <v>1</v>
      </c>
      <c r="D101" s="20"/>
      <c r="E101" s="20">
        <v>1</v>
      </c>
      <c r="F101" s="20">
        <v>1</v>
      </c>
      <c r="G101" s="20">
        <v>1</v>
      </c>
      <c r="H101" s="20">
        <v>1</v>
      </c>
      <c r="I101" s="20">
        <v>1</v>
      </c>
      <c r="J101" s="20">
        <v>1</v>
      </c>
      <c r="K101" s="20">
        <v>1</v>
      </c>
      <c r="L101" s="20">
        <v>1</v>
      </c>
      <c r="M101" s="20">
        <v>1</v>
      </c>
      <c r="N101" s="20">
        <v>1</v>
      </c>
      <c r="O101" s="20">
        <v>1</v>
      </c>
      <c r="P101" s="101">
        <v>1</v>
      </c>
      <c r="Q101" s="20">
        <v>1</v>
      </c>
      <c r="R101" s="20">
        <v>1</v>
      </c>
      <c r="S101" s="20">
        <v>1</v>
      </c>
      <c r="T101" s="20">
        <v>0</v>
      </c>
      <c r="U101" s="20" t="s">
        <v>137</v>
      </c>
      <c r="V101" s="20">
        <v>1</v>
      </c>
      <c r="W101" s="20">
        <v>1</v>
      </c>
      <c r="X101" s="20">
        <v>1</v>
      </c>
      <c r="Y101" s="20">
        <v>1</v>
      </c>
      <c r="Z101" s="20">
        <v>1</v>
      </c>
      <c r="AA101" s="20">
        <v>1</v>
      </c>
      <c r="AB101" s="20">
        <v>1</v>
      </c>
      <c r="AC101" s="20">
        <v>1</v>
      </c>
      <c r="AD101" s="20">
        <v>1</v>
      </c>
      <c r="AE101" s="20"/>
      <c r="AF101" s="20">
        <v>1</v>
      </c>
      <c r="AG101" s="20">
        <v>1</v>
      </c>
      <c r="AH101" s="20">
        <v>1</v>
      </c>
      <c r="AI101" s="20">
        <v>1</v>
      </c>
      <c r="AJ101" s="20">
        <v>1</v>
      </c>
      <c r="AK101" s="20">
        <v>1</v>
      </c>
      <c r="AL101" s="20" t="s">
        <v>137</v>
      </c>
      <c r="AM101" s="20">
        <v>1</v>
      </c>
    </row>
    <row r="102" spans="1:43" ht="16">
      <c r="A102" s="20" t="s">
        <v>137</v>
      </c>
      <c r="B102" s="20" t="s">
        <v>137</v>
      </c>
      <c r="C102" s="20" t="s">
        <v>137</v>
      </c>
      <c r="D102" s="20"/>
      <c r="E102" s="20" t="s">
        <v>137</v>
      </c>
      <c r="F102" s="20" t="s">
        <v>137</v>
      </c>
      <c r="G102" s="20" t="s">
        <v>137</v>
      </c>
      <c r="H102" s="20">
        <v>1</v>
      </c>
      <c r="I102" s="20">
        <v>1</v>
      </c>
      <c r="J102" s="20">
        <v>1</v>
      </c>
      <c r="K102" s="20">
        <v>1</v>
      </c>
      <c r="L102" s="20">
        <v>1</v>
      </c>
      <c r="M102" s="20">
        <v>1</v>
      </c>
      <c r="N102" s="20">
        <v>1</v>
      </c>
      <c r="O102" s="20">
        <v>1</v>
      </c>
      <c r="P102" s="101">
        <v>1</v>
      </c>
      <c r="Q102" s="20">
        <v>1</v>
      </c>
      <c r="R102" s="20">
        <v>1</v>
      </c>
      <c r="S102" s="20">
        <v>1</v>
      </c>
      <c r="T102" s="20">
        <v>0</v>
      </c>
      <c r="U102" s="20">
        <v>1</v>
      </c>
      <c r="V102" s="20">
        <v>1</v>
      </c>
      <c r="W102" s="20">
        <v>1</v>
      </c>
      <c r="X102" s="20">
        <v>1</v>
      </c>
      <c r="Y102" s="20">
        <v>1</v>
      </c>
      <c r="Z102" s="20">
        <v>1</v>
      </c>
      <c r="AA102" s="20">
        <v>1</v>
      </c>
      <c r="AB102" s="20">
        <v>1</v>
      </c>
      <c r="AC102" s="20">
        <v>1</v>
      </c>
      <c r="AD102" s="20">
        <v>1</v>
      </c>
      <c r="AE102" s="20"/>
      <c r="AF102" s="20">
        <v>1</v>
      </c>
      <c r="AG102" s="20">
        <v>1</v>
      </c>
      <c r="AH102" s="20">
        <v>1</v>
      </c>
      <c r="AI102" s="20">
        <v>0</v>
      </c>
      <c r="AJ102" s="20">
        <v>1</v>
      </c>
      <c r="AK102" s="20">
        <v>1</v>
      </c>
      <c r="AL102" s="20" t="s">
        <v>137</v>
      </c>
      <c r="AM102" s="20">
        <v>1</v>
      </c>
    </row>
    <row r="103" spans="1:43" ht="16">
      <c r="A103" s="20">
        <v>1</v>
      </c>
      <c r="B103" s="20">
        <v>1</v>
      </c>
      <c r="C103" s="20">
        <v>1</v>
      </c>
      <c r="D103" s="20"/>
      <c r="E103" s="20">
        <v>1</v>
      </c>
      <c r="F103" s="20">
        <v>1</v>
      </c>
      <c r="G103" s="20">
        <v>1</v>
      </c>
      <c r="H103" s="20">
        <v>1</v>
      </c>
      <c r="I103" s="20">
        <v>1</v>
      </c>
      <c r="J103" s="20">
        <v>1</v>
      </c>
      <c r="K103" s="20">
        <v>1</v>
      </c>
      <c r="L103" s="20">
        <v>1</v>
      </c>
      <c r="M103" s="20">
        <v>1</v>
      </c>
      <c r="N103" s="20">
        <v>1</v>
      </c>
      <c r="O103" s="20">
        <v>1</v>
      </c>
      <c r="P103" s="20">
        <v>1</v>
      </c>
      <c r="Q103" s="20">
        <v>1</v>
      </c>
      <c r="R103" s="20">
        <v>1</v>
      </c>
      <c r="S103" s="20">
        <v>1</v>
      </c>
      <c r="T103" s="20">
        <v>1</v>
      </c>
      <c r="U103" s="20">
        <v>1</v>
      </c>
      <c r="V103" s="20">
        <v>1</v>
      </c>
      <c r="W103" s="20">
        <v>1</v>
      </c>
      <c r="X103" s="20">
        <v>1</v>
      </c>
      <c r="Y103" s="20">
        <v>1</v>
      </c>
      <c r="Z103" s="20">
        <v>1</v>
      </c>
      <c r="AA103" s="20">
        <v>1</v>
      </c>
      <c r="AB103" s="20">
        <v>1</v>
      </c>
      <c r="AC103" s="20">
        <v>1</v>
      </c>
      <c r="AD103" s="20">
        <v>1</v>
      </c>
      <c r="AE103" s="20"/>
      <c r="AF103" s="20">
        <v>1</v>
      </c>
      <c r="AG103" s="20">
        <v>1</v>
      </c>
      <c r="AH103" s="20">
        <v>1</v>
      </c>
      <c r="AI103" s="20">
        <v>1</v>
      </c>
      <c r="AJ103" s="20">
        <v>1</v>
      </c>
      <c r="AK103" s="20">
        <v>1</v>
      </c>
      <c r="AL103" s="20" t="s">
        <v>137</v>
      </c>
      <c r="AM103" s="20">
        <v>1</v>
      </c>
    </row>
    <row r="104" spans="1:43" ht="16">
      <c r="A104" s="20" t="s">
        <v>137</v>
      </c>
      <c r="B104" s="20" t="s">
        <v>137</v>
      </c>
      <c r="C104" s="20" t="s">
        <v>137</v>
      </c>
      <c r="D104" s="20"/>
      <c r="E104" s="20" t="s">
        <v>137</v>
      </c>
      <c r="F104" s="20" t="s">
        <v>137</v>
      </c>
      <c r="G104" s="20" t="s">
        <v>137</v>
      </c>
      <c r="H104" s="20">
        <v>1</v>
      </c>
      <c r="I104" s="20">
        <v>1</v>
      </c>
      <c r="J104" s="20">
        <v>1</v>
      </c>
      <c r="K104" s="20">
        <v>1</v>
      </c>
      <c r="L104" s="20">
        <v>1</v>
      </c>
      <c r="M104" s="20">
        <v>1</v>
      </c>
      <c r="N104" s="20">
        <v>1</v>
      </c>
      <c r="O104" s="20">
        <v>1</v>
      </c>
      <c r="P104" s="20">
        <v>1</v>
      </c>
      <c r="Q104" s="20">
        <v>1</v>
      </c>
      <c r="R104" s="20">
        <v>1</v>
      </c>
      <c r="S104" s="20">
        <v>1</v>
      </c>
      <c r="T104" s="20">
        <v>1</v>
      </c>
      <c r="U104" s="20">
        <v>1</v>
      </c>
      <c r="V104" s="20">
        <v>1</v>
      </c>
      <c r="W104" s="20">
        <v>1</v>
      </c>
      <c r="X104" s="20">
        <v>1</v>
      </c>
      <c r="Y104" s="20">
        <v>1</v>
      </c>
      <c r="Z104" s="20">
        <v>1</v>
      </c>
      <c r="AA104" s="20">
        <v>1</v>
      </c>
      <c r="AB104" s="20">
        <v>1</v>
      </c>
      <c r="AC104" s="20">
        <v>1</v>
      </c>
      <c r="AD104" s="20">
        <v>1</v>
      </c>
      <c r="AE104" s="20"/>
      <c r="AF104" s="20">
        <v>1</v>
      </c>
      <c r="AG104" s="20">
        <v>1</v>
      </c>
      <c r="AH104" s="20">
        <v>1</v>
      </c>
      <c r="AI104" s="20">
        <v>1</v>
      </c>
      <c r="AJ104" s="20">
        <v>1</v>
      </c>
      <c r="AK104" s="20">
        <v>1</v>
      </c>
      <c r="AL104" s="20" t="s">
        <v>137</v>
      </c>
      <c r="AM104" s="20">
        <v>1</v>
      </c>
    </row>
    <row r="105" spans="1:43" ht="16">
      <c r="A105" s="20" t="s">
        <v>137</v>
      </c>
      <c r="B105" s="20" t="s">
        <v>137</v>
      </c>
      <c r="C105" s="20" t="s">
        <v>137</v>
      </c>
      <c r="D105" s="20"/>
      <c r="E105" s="20" t="s">
        <v>137</v>
      </c>
      <c r="F105" s="20" t="s">
        <v>137</v>
      </c>
      <c r="G105" s="20" t="s">
        <v>137</v>
      </c>
      <c r="H105" s="20">
        <v>1</v>
      </c>
      <c r="I105" s="20">
        <v>1</v>
      </c>
      <c r="J105" s="20">
        <v>1</v>
      </c>
      <c r="K105" s="20">
        <v>1</v>
      </c>
      <c r="L105" s="20">
        <v>1</v>
      </c>
      <c r="M105" s="20">
        <v>1</v>
      </c>
      <c r="N105" s="20">
        <v>1</v>
      </c>
      <c r="O105" s="20">
        <v>1</v>
      </c>
      <c r="P105" s="20">
        <v>1</v>
      </c>
      <c r="Q105" s="20">
        <v>1</v>
      </c>
      <c r="R105" s="20">
        <v>1</v>
      </c>
      <c r="S105" s="20">
        <v>1</v>
      </c>
      <c r="T105" s="20">
        <v>1</v>
      </c>
      <c r="U105" s="20">
        <v>1</v>
      </c>
      <c r="V105" s="20">
        <v>1</v>
      </c>
      <c r="W105" s="20">
        <v>1</v>
      </c>
      <c r="X105" s="20">
        <v>1</v>
      </c>
      <c r="Y105" s="20">
        <v>1</v>
      </c>
      <c r="Z105" s="20">
        <v>1</v>
      </c>
      <c r="AA105" s="20">
        <v>1</v>
      </c>
      <c r="AB105" s="20">
        <v>1</v>
      </c>
      <c r="AC105" s="20">
        <v>1</v>
      </c>
      <c r="AD105" s="20">
        <v>1</v>
      </c>
      <c r="AE105" s="20"/>
      <c r="AF105" s="20">
        <v>1</v>
      </c>
      <c r="AG105" s="20">
        <v>1</v>
      </c>
      <c r="AH105" s="62">
        <v>1</v>
      </c>
      <c r="AI105" s="20">
        <v>1</v>
      </c>
      <c r="AJ105" s="20">
        <v>1</v>
      </c>
      <c r="AK105" s="62">
        <v>1</v>
      </c>
      <c r="AL105" s="20" t="s">
        <v>137</v>
      </c>
      <c r="AM105" s="20">
        <v>1</v>
      </c>
    </row>
    <row r="106" spans="1:43" ht="16">
      <c r="A106" s="20" t="s">
        <v>137</v>
      </c>
      <c r="B106" s="20" t="s">
        <v>137</v>
      </c>
      <c r="C106" s="20" t="s">
        <v>137</v>
      </c>
      <c r="D106" s="20"/>
      <c r="E106" s="20" t="s">
        <v>137</v>
      </c>
      <c r="F106" s="20" t="s">
        <v>137</v>
      </c>
      <c r="G106" s="20" t="s">
        <v>137</v>
      </c>
      <c r="H106" s="20">
        <v>1</v>
      </c>
      <c r="I106" s="20">
        <v>1</v>
      </c>
      <c r="J106" s="20">
        <v>1</v>
      </c>
      <c r="K106" s="20">
        <v>1</v>
      </c>
      <c r="L106" s="20">
        <v>1</v>
      </c>
      <c r="M106" s="20">
        <v>1</v>
      </c>
      <c r="N106" s="20">
        <v>1</v>
      </c>
      <c r="O106" s="20">
        <v>1</v>
      </c>
      <c r="P106" s="20">
        <v>1</v>
      </c>
      <c r="Q106" s="20">
        <v>1</v>
      </c>
      <c r="R106" s="20">
        <v>1</v>
      </c>
      <c r="S106" s="20">
        <v>1</v>
      </c>
      <c r="T106" s="20">
        <v>1</v>
      </c>
      <c r="U106" s="20">
        <v>1</v>
      </c>
      <c r="V106" s="20">
        <v>1</v>
      </c>
      <c r="W106" s="20">
        <v>1</v>
      </c>
      <c r="X106" s="20">
        <v>1</v>
      </c>
      <c r="Y106" s="20">
        <v>1</v>
      </c>
      <c r="Z106" s="20">
        <v>1</v>
      </c>
      <c r="AA106" s="20">
        <v>1</v>
      </c>
      <c r="AB106" s="20">
        <v>1</v>
      </c>
      <c r="AC106" s="20">
        <v>1</v>
      </c>
      <c r="AD106" s="20">
        <v>1</v>
      </c>
      <c r="AE106" s="20"/>
      <c r="AF106" s="20">
        <v>1</v>
      </c>
      <c r="AG106" s="20">
        <v>1</v>
      </c>
      <c r="AH106" s="62">
        <v>1</v>
      </c>
      <c r="AI106" s="20">
        <v>1</v>
      </c>
      <c r="AJ106" s="20">
        <v>0</v>
      </c>
      <c r="AK106" s="62">
        <v>1</v>
      </c>
      <c r="AL106" s="20" t="s">
        <v>137</v>
      </c>
      <c r="AM106" s="20">
        <v>1</v>
      </c>
    </row>
    <row r="107" spans="1:43" ht="16">
      <c r="A107" s="20" t="s">
        <v>137</v>
      </c>
      <c r="B107" s="20" t="s">
        <v>137</v>
      </c>
      <c r="C107" s="20" t="s">
        <v>137</v>
      </c>
      <c r="D107" s="20"/>
      <c r="E107" s="20" t="s">
        <v>137</v>
      </c>
      <c r="F107" s="20" t="s">
        <v>137</v>
      </c>
      <c r="G107" s="20" t="s">
        <v>137</v>
      </c>
      <c r="H107" s="20">
        <v>1</v>
      </c>
      <c r="I107" s="20">
        <v>1</v>
      </c>
      <c r="J107" s="20">
        <v>1</v>
      </c>
      <c r="K107" s="20">
        <v>1</v>
      </c>
      <c r="L107" s="20">
        <v>1</v>
      </c>
      <c r="M107" s="20">
        <v>1</v>
      </c>
      <c r="N107" s="20">
        <v>1</v>
      </c>
      <c r="O107" s="20">
        <v>1</v>
      </c>
      <c r="P107" s="20">
        <v>1</v>
      </c>
      <c r="Q107" s="20">
        <v>1</v>
      </c>
      <c r="R107" s="20">
        <v>1</v>
      </c>
      <c r="S107" s="20">
        <v>1</v>
      </c>
      <c r="T107" s="20">
        <v>1</v>
      </c>
      <c r="U107" s="20">
        <v>1</v>
      </c>
      <c r="V107" s="20">
        <v>1</v>
      </c>
      <c r="W107" s="20">
        <v>1</v>
      </c>
      <c r="X107" s="20">
        <v>1</v>
      </c>
      <c r="Y107" s="20">
        <v>1</v>
      </c>
      <c r="Z107" s="20">
        <v>1</v>
      </c>
      <c r="AA107" s="20">
        <v>1</v>
      </c>
      <c r="AB107" s="20">
        <v>1</v>
      </c>
      <c r="AC107" s="20">
        <v>1</v>
      </c>
      <c r="AD107" s="20">
        <v>1</v>
      </c>
      <c r="AE107" s="20"/>
      <c r="AF107" s="20">
        <v>1</v>
      </c>
      <c r="AG107" s="20">
        <v>1</v>
      </c>
      <c r="AH107" s="62">
        <v>1</v>
      </c>
      <c r="AI107" s="20">
        <v>1</v>
      </c>
      <c r="AJ107" s="20">
        <v>1</v>
      </c>
      <c r="AK107" s="62">
        <v>1</v>
      </c>
      <c r="AL107" s="20" t="s">
        <v>137</v>
      </c>
      <c r="AM107" s="20">
        <v>1</v>
      </c>
    </row>
    <row r="108" spans="1:43" s="107" customFormat="1" ht="17" thickBot="1">
      <c r="A108" s="66" t="s">
        <v>137</v>
      </c>
      <c r="B108" s="66" t="s">
        <v>137</v>
      </c>
      <c r="C108" s="66" t="s">
        <v>137</v>
      </c>
      <c r="D108" s="66"/>
      <c r="E108" s="66" t="s">
        <v>137</v>
      </c>
      <c r="F108" s="66" t="s">
        <v>137</v>
      </c>
      <c r="G108" s="66" t="s">
        <v>137</v>
      </c>
      <c r="H108" s="66">
        <v>1</v>
      </c>
      <c r="I108" s="66">
        <v>1</v>
      </c>
      <c r="J108" s="66">
        <v>1</v>
      </c>
      <c r="K108" s="66">
        <v>1</v>
      </c>
      <c r="L108" s="66">
        <v>1</v>
      </c>
      <c r="M108" s="66">
        <v>1</v>
      </c>
      <c r="N108" s="66">
        <v>1</v>
      </c>
      <c r="O108" s="66">
        <v>1</v>
      </c>
      <c r="P108" s="66">
        <v>1</v>
      </c>
      <c r="Q108" s="66">
        <v>1</v>
      </c>
      <c r="R108" s="66">
        <v>1</v>
      </c>
      <c r="S108" s="66">
        <v>1</v>
      </c>
      <c r="T108" s="66">
        <v>1</v>
      </c>
      <c r="U108" s="66">
        <v>1</v>
      </c>
      <c r="V108" s="66">
        <v>1</v>
      </c>
      <c r="W108" s="66">
        <v>1</v>
      </c>
      <c r="X108" s="66">
        <v>1</v>
      </c>
      <c r="Y108" s="66">
        <v>1</v>
      </c>
      <c r="Z108" s="66">
        <v>1</v>
      </c>
      <c r="AA108" s="66">
        <v>1</v>
      </c>
      <c r="AB108" s="66">
        <v>1</v>
      </c>
      <c r="AC108" s="66">
        <v>1</v>
      </c>
      <c r="AD108" s="66">
        <v>1</v>
      </c>
      <c r="AE108" s="66"/>
      <c r="AF108" s="66">
        <v>1</v>
      </c>
      <c r="AG108" s="66">
        <v>1</v>
      </c>
      <c r="AH108" s="72">
        <v>1</v>
      </c>
      <c r="AI108" s="66">
        <v>1</v>
      </c>
      <c r="AJ108" s="66">
        <v>1</v>
      </c>
      <c r="AK108" s="72">
        <v>1</v>
      </c>
      <c r="AL108" s="66" t="s">
        <v>137</v>
      </c>
      <c r="AM108" s="66">
        <v>1</v>
      </c>
      <c r="AN108" s="106"/>
      <c r="AP108" s="108"/>
      <c r="AQ108" s="108"/>
    </row>
    <row r="109" spans="1:43" ht="17" thickTop="1">
      <c r="A109" s="174">
        <v>1</v>
      </c>
      <c r="B109" s="174">
        <v>1</v>
      </c>
      <c r="C109" s="174">
        <v>1</v>
      </c>
      <c r="D109" s="174"/>
      <c r="E109" s="174">
        <v>1</v>
      </c>
      <c r="F109" s="174">
        <v>1</v>
      </c>
      <c r="G109" s="174">
        <v>1</v>
      </c>
      <c r="H109" s="174">
        <v>1</v>
      </c>
      <c r="I109" s="174">
        <v>1</v>
      </c>
      <c r="J109" s="174">
        <v>1</v>
      </c>
      <c r="K109" s="175">
        <v>1</v>
      </c>
      <c r="L109" s="175">
        <v>1</v>
      </c>
      <c r="M109" s="175">
        <v>0</v>
      </c>
      <c r="N109" s="175">
        <v>1</v>
      </c>
      <c r="O109" s="175">
        <v>1</v>
      </c>
      <c r="P109" s="175">
        <v>0</v>
      </c>
      <c r="Q109" s="175">
        <v>1</v>
      </c>
      <c r="R109" s="174">
        <v>1</v>
      </c>
      <c r="S109" s="176">
        <v>1</v>
      </c>
      <c r="T109" s="174">
        <v>1</v>
      </c>
      <c r="U109" s="174">
        <v>1</v>
      </c>
      <c r="V109" s="174">
        <v>1</v>
      </c>
      <c r="W109" s="174">
        <v>1</v>
      </c>
      <c r="X109" s="174">
        <v>1</v>
      </c>
      <c r="Y109" s="70">
        <v>1</v>
      </c>
      <c r="Z109" s="174">
        <v>1</v>
      </c>
      <c r="AA109" s="174">
        <v>1</v>
      </c>
      <c r="AB109" s="174">
        <v>1</v>
      </c>
      <c r="AC109" s="174">
        <v>1</v>
      </c>
      <c r="AD109" s="174">
        <v>1</v>
      </c>
      <c r="AE109" s="174"/>
      <c r="AF109" s="174">
        <v>1</v>
      </c>
      <c r="AG109" s="174">
        <v>1</v>
      </c>
      <c r="AH109" s="174">
        <v>1</v>
      </c>
      <c r="AI109" s="174">
        <v>1</v>
      </c>
      <c r="AJ109" s="174">
        <v>1</v>
      </c>
      <c r="AK109" s="174">
        <v>1</v>
      </c>
      <c r="AL109" s="174" t="s">
        <v>137</v>
      </c>
      <c r="AM109" s="174" t="s">
        <v>137</v>
      </c>
    </row>
    <row r="110" spans="1:43" ht="16">
      <c r="A110" s="11" t="s">
        <v>137</v>
      </c>
      <c r="B110" s="11" t="s">
        <v>137</v>
      </c>
      <c r="C110" s="11" t="s">
        <v>137</v>
      </c>
      <c r="E110" s="11" t="s">
        <v>137</v>
      </c>
      <c r="F110" s="11" t="s">
        <v>137</v>
      </c>
      <c r="G110" s="11" t="s">
        <v>137</v>
      </c>
      <c r="H110" s="11">
        <v>1</v>
      </c>
      <c r="I110" s="11">
        <v>1</v>
      </c>
      <c r="J110" s="11">
        <v>1</v>
      </c>
      <c r="K110" s="17">
        <v>1</v>
      </c>
      <c r="L110" s="17">
        <v>1</v>
      </c>
      <c r="M110" s="17">
        <v>0</v>
      </c>
      <c r="N110" s="17">
        <v>1</v>
      </c>
      <c r="O110" s="17">
        <v>1</v>
      </c>
      <c r="P110" s="17">
        <v>0</v>
      </c>
      <c r="Q110" s="17">
        <v>1</v>
      </c>
      <c r="R110" s="11">
        <v>1</v>
      </c>
      <c r="S110" s="12">
        <v>1</v>
      </c>
      <c r="T110" s="11">
        <v>1</v>
      </c>
      <c r="U110" s="11">
        <v>1</v>
      </c>
      <c r="V110" s="11">
        <v>1</v>
      </c>
      <c r="W110" s="11">
        <v>1</v>
      </c>
      <c r="X110" s="11">
        <v>1</v>
      </c>
      <c r="Y110" s="20">
        <v>1</v>
      </c>
      <c r="Z110" s="11">
        <v>1</v>
      </c>
      <c r="AA110" s="11">
        <v>1</v>
      </c>
      <c r="AB110" s="11">
        <v>1</v>
      </c>
      <c r="AC110" s="11">
        <v>1</v>
      </c>
      <c r="AD110" s="11">
        <v>1</v>
      </c>
      <c r="AF110" s="11">
        <v>1</v>
      </c>
      <c r="AG110" s="11">
        <v>1</v>
      </c>
      <c r="AH110" s="11">
        <v>1</v>
      </c>
      <c r="AI110" s="11">
        <v>1</v>
      </c>
      <c r="AJ110" s="11">
        <v>1</v>
      </c>
      <c r="AK110" s="11">
        <v>1</v>
      </c>
      <c r="AL110" s="11" t="s">
        <v>137</v>
      </c>
      <c r="AM110" s="11" t="s">
        <v>137</v>
      </c>
    </row>
    <row r="111" spans="1:43" ht="16">
      <c r="A111" s="11">
        <v>1</v>
      </c>
      <c r="B111" s="11">
        <v>1</v>
      </c>
      <c r="C111" s="11">
        <v>1</v>
      </c>
      <c r="E111" s="11">
        <v>1</v>
      </c>
      <c r="F111" s="11">
        <v>1</v>
      </c>
      <c r="G111" s="11">
        <v>1</v>
      </c>
      <c r="H111" s="11">
        <v>1</v>
      </c>
      <c r="I111" s="11">
        <v>1</v>
      </c>
      <c r="J111" s="11">
        <v>1</v>
      </c>
      <c r="K111" s="17">
        <v>1</v>
      </c>
      <c r="L111" s="17">
        <v>1</v>
      </c>
      <c r="M111" s="17">
        <v>1</v>
      </c>
      <c r="N111" s="17">
        <v>1</v>
      </c>
      <c r="O111" s="17">
        <v>1</v>
      </c>
      <c r="P111" s="17">
        <v>1</v>
      </c>
      <c r="Q111" s="17">
        <v>1</v>
      </c>
      <c r="R111" s="11">
        <v>1</v>
      </c>
      <c r="S111" s="12">
        <v>1</v>
      </c>
      <c r="T111" s="11">
        <v>1</v>
      </c>
      <c r="U111" s="11">
        <v>1</v>
      </c>
      <c r="V111" s="11">
        <v>1</v>
      </c>
      <c r="W111" s="11">
        <v>1</v>
      </c>
      <c r="X111" s="11">
        <v>1</v>
      </c>
      <c r="Y111" s="11">
        <v>1</v>
      </c>
      <c r="Z111" s="11">
        <v>1</v>
      </c>
      <c r="AA111" s="11">
        <v>1</v>
      </c>
      <c r="AB111" s="11">
        <v>1</v>
      </c>
      <c r="AC111" s="11">
        <v>1</v>
      </c>
      <c r="AD111" s="11">
        <v>1</v>
      </c>
      <c r="AF111" s="11">
        <v>1</v>
      </c>
      <c r="AG111" s="11">
        <v>1</v>
      </c>
      <c r="AH111" s="11">
        <v>1</v>
      </c>
      <c r="AI111" s="11">
        <v>1</v>
      </c>
      <c r="AJ111" s="11">
        <v>1</v>
      </c>
      <c r="AK111" s="11">
        <v>1</v>
      </c>
      <c r="AL111" s="11" t="s">
        <v>137</v>
      </c>
      <c r="AM111" s="11" t="s">
        <v>137</v>
      </c>
    </row>
    <row r="112" spans="1:43" ht="16">
      <c r="A112" s="11" t="s">
        <v>137</v>
      </c>
      <c r="B112" s="11" t="s">
        <v>137</v>
      </c>
      <c r="C112" s="11" t="s">
        <v>137</v>
      </c>
      <c r="E112" s="11" t="s">
        <v>137</v>
      </c>
      <c r="F112" s="11" t="s">
        <v>137</v>
      </c>
      <c r="G112" s="11" t="s">
        <v>137</v>
      </c>
      <c r="H112" s="11" t="s">
        <v>137</v>
      </c>
      <c r="I112" s="11" t="s">
        <v>137</v>
      </c>
      <c r="J112" s="11" t="s">
        <v>137</v>
      </c>
      <c r="K112" s="17" t="s">
        <v>137</v>
      </c>
      <c r="L112" s="17" t="s">
        <v>137</v>
      </c>
      <c r="M112" s="17" t="s">
        <v>137</v>
      </c>
      <c r="N112" s="17" t="s">
        <v>137</v>
      </c>
      <c r="O112" s="17" t="s">
        <v>137</v>
      </c>
      <c r="P112" s="17" t="s">
        <v>137</v>
      </c>
      <c r="Q112" s="17" t="s">
        <v>137</v>
      </c>
      <c r="R112" s="11" t="s">
        <v>137</v>
      </c>
      <c r="S112" s="12" t="s">
        <v>137</v>
      </c>
      <c r="T112" s="11" t="s">
        <v>137</v>
      </c>
      <c r="U112" s="11" t="s">
        <v>137</v>
      </c>
      <c r="V112" s="11" t="s">
        <v>137</v>
      </c>
      <c r="W112" s="11" t="s">
        <v>137</v>
      </c>
      <c r="X112" s="11" t="s">
        <v>137</v>
      </c>
      <c r="Y112" s="11" t="s">
        <v>137</v>
      </c>
      <c r="Z112" s="11" t="s">
        <v>137</v>
      </c>
      <c r="AA112" s="11" t="s">
        <v>137</v>
      </c>
      <c r="AB112" s="11">
        <v>1</v>
      </c>
      <c r="AC112" s="11">
        <v>1</v>
      </c>
      <c r="AD112" s="11">
        <v>1</v>
      </c>
      <c r="AF112" s="11">
        <v>1</v>
      </c>
      <c r="AG112" s="11">
        <v>1</v>
      </c>
      <c r="AH112" s="11">
        <v>1</v>
      </c>
      <c r="AI112" s="11">
        <v>1</v>
      </c>
      <c r="AJ112" s="11">
        <v>1</v>
      </c>
      <c r="AK112" s="11">
        <v>1</v>
      </c>
      <c r="AL112" s="11" t="s">
        <v>137</v>
      </c>
      <c r="AM112" s="11" t="s">
        <v>137</v>
      </c>
    </row>
    <row r="113" spans="1:39" ht="16">
      <c r="A113" s="11" t="s">
        <v>137</v>
      </c>
      <c r="B113" s="11" t="s">
        <v>137</v>
      </c>
      <c r="C113" s="11" t="s">
        <v>137</v>
      </c>
      <c r="E113" s="11" t="s">
        <v>137</v>
      </c>
      <c r="F113" s="11" t="s">
        <v>137</v>
      </c>
      <c r="G113" s="11" t="s">
        <v>137</v>
      </c>
      <c r="H113" s="11" t="s">
        <v>137</v>
      </c>
      <c r="I113" s="11" t="s">
        <v>137</v>
      </c>
      <c r="J113" s="11" t="s">
        <v>137</v>
      </c>
      <c r="K113" s="17" t="s">
        <v>137</v>
      </c>
      <c r="L113" s="17" t="s">
        <v>137</v>
      </c>
      <c r="M113" s="17" t="s">
        <v>137</v>
      </c>
      <c r="N113" s="17" t="s">
        <v>137</v>
      </c>
      <c r="O113" s="17" t="s">
        <v>137</v>
      </c>
      <c r="P113" s="17" t="s">
        <v>137</v>
      </c>
      <c r="Q113" s="17" t="s">
        <v>137</v>
      </c>
      <c r="R113" s="11" t="s">
        <v>137</v>
      </c>
      <c r="S113" s="12" t="s">
        <v>137</v>
      </c>
      <c r="T113" s="11" t="s">
        <v>137</v>
      </c>
      <c r="U113" s="11" t="s">
        <v>137</v>
      </c>
      <c r="V113" s="11" t="s">
        <v>137</v>
      </c>
      <c r="W113" s="11" t="s">
        <v>137</v>
      </c>
      <c r="X113" s="11" t="s">
        <v>137</v>
      </c>
      <c r="Y113" s="11" t="s">
        <v>137</v>
      </c>
      <c r="Z113" s="11" t="s">
        <v>137</v>
      </c>
      <c r="AA113" s="11" t="s">
        <v>137</v>
      </c>
      <c r="AB113" s="11">
        <v>1</v>
      </c>
      <c r="AC113" s="11">
        <v>1</v>
      </c>
      <c r="AD113" s="11">
        <v>1</v>
      </c>
      <c r="AF113" s="11">
        <v>1</v>
      </c>
      <c r="AG113" s="11">
        <v>1</v>
      </c>
      <c r="AH113" s="11">
        <v>1</v>
      </c>
      <c r="AI113" s="11">
        <v>1</v>
      </c>
      <c r="AJ113" s="11">
        <v>1</v>
      </c>
      <c r="AK113" s="11">
        <v>1</v>
      </c>
      <c r="AL113" s="11" t="s">
        <v>137</v>
      </c>
      <c r="AM113" s="11" t="s">
        <v>137</v>
      </c>
    </row>
    <row r="114" spans="1:39" ht="16">
      <c r="A114" s="11" t="s">
        <v>137</v>
      </c>
      <c r="B114" s="11" t="s">
        <v>137</v>
      </c>
      <c r="C114" s="11" t="s">
        <v>137</v>
      </c>
      <c r="E114" s="11" t="s">
        <v>137</v>
      </c>
      <c r="F114" s="11" t="s">
        <v>137</v>
      </c>
      <c r="G114" s="11" t="s">
        <v>137</v>
      </c>
      <c r="H114" s="11">
        <v>1</v>
      </c>
      <c r="I114" s="11">
        <v>1</v>
      </c>
      <c r="J114" s="11">
        <v>1</v>
      </c>
      <c r="K114" s="17">
        <v>1</v>
      </c>
      <c r="L114" s="17">
        <v>1</v>
      </c>
      <c r="M114" s="17">
        <v>1</v>
      </c>
      <c r="N114" s="17">
        <v>1</v>
      </c>
      <c r="O114" s="17">
        <v>1</v>
      </c>
      <c r="P114" s="17">
        <v>1</v>
      </c>
      <c r="Q114" s="17">
        <v>1</v>
      </c>
      <c r="R114" s="11">
        <v>1</v>
      </c>
      <c r="S114" s="12">
        <v>1</v>
      </c>
      <c r="T114" s="11">
        <v>1</v>
      </c>
      <c r="U114" s="11">
        <v>1</v>
      </c>
      <c r="V114" s="11">
        <v>1</v>
      </c>
      <c r="W114" s="11">
        <v>1</v>
      </c>
      <c r="X114" s="11">
        <v>1</v>
      </c>
      <c r="Y114" s="11">
        <v>1</v>
      </c>
      <c r="Z114" s="11">
        <v>1</v>
      </c>
      <c r="AA114" s="11">
        <v>1</v>
      </c>
      <c r="AB114" s="11">
        <v>1</v>
      </c>
      <c r="AC114" s="11">
        <v>1</v>
      </c>
      <c r="AD114" s="11">
        <v>1</v>
      </c>
      <c r="AF114" s="11">
        <v>1</v>
      </c>
      <c r="AG114" s="11">
        <v>1</v>
      </c>
      <c r="AH114" s="11">
        <v>1</v>
      </c>
      <c r="AI114" s="11">
        <v>1</v>
      </c>
      <c r="AJ114" s="11">
        <v>1</v>
      </c>
      <c r="AK114" s="11">
        <v>1</v>
      </c>
      <c r="AL114" s="11" t="s">
        <v>137</v>
      </c>
      <c r="AM114" s="11" t="s">
        <v>137</v>
      </c>
    </row>
    <row r="115" spans="1:39" ht="16">
      <c r="A115" s="11" t="s">
        <v>137</v>
      </c>
      <c r="B115" s="11" t="s">
        <v>137</v>
      </c>
      <c r="C115" s="11" t="s">
        <v>137</v>
      </c>
      <c r="E115" s="11" t="s">
        <v>137</v>
      </c>
      <c r="F115" s="11" t="s">
        <v>137</v>
      </c>
      <c r="G115" s="11" t="s">
        <v>137</v>
      </c>
      <c r="H115" s="11" t="s">
        <v>137</v>
      </c>
      <c r="I115" s="11" t="s">
        <v>137</v>
      </c>
      <c r="J115" s="11" t="s">
        <v>137</v>
      </c>
      <c r="K115" s="17" t="s">
        <v>137</v>
      </c>
      <c r="L115" s="17" t="s">
        <v>137</v>
      </c>
      <c r="M115" s="17" t="s">
        <v>137</v>
      </c>
      <c r="N115" s="17" t="s">
        <v>137</v>
      </c>
      <c r="O115" s="17" t="s">
        <v>137</v>
      </c>
      <c r="P115" s="17" t="s">
        <v>137</v>
      </c>
      <c r="Q115" s="17" t="s">
        <v>137</v>
      </c>
      <c r="R115" s="11" t="s">
        <v>137</v>
      </c>
      <c r="S115" s="12" t="s">
        <v>137</v>
      </c>
      <c r="T115" s="11" t="s">
        <v>137</v>
      </c>
      <c r="U115" s="11" t="s">
        <v>137</v>
      </c>
      <c r="V115" s="11" t="s">
        <v>137</v>
      </c>
      <c r="W115" s="11" t="s">
        <v>137</v>
      </c>
      <c r="X115" s="11" t="s">
        <v>137</v>
      </c>
      <c r="Y115" s="11" t="s">
        <v>137</v>
      </c>
      <c r="Z115" s="11" t="s">
        <v>137</v>
      </c>
      <c r="AA115" s="11" t="s">
        <v>137</v>
      </c>
      <c r="AB115" s="11">
        <v>1</v>
      </c>
      <c r="AC115" s="11">
        <v>1</v>
      </c>
      <c r="AD115" s="11">
        <v>1</v>
      </c>
      <c r="AF115" s="11">
        <v>1</v>
      </c>
      <c r="AG115" s="11">
        <v>1</v>
      </c>
      <c r="AH115" s="11">
        <v>1</v>
      </c>
      <c r="AI115" s="11">
        <v>1</v>
      </c>
      <c r="AJ115" s="11">
        <v>1</v>
      </c>
      <c r="AK115" s="11">
        <v>1</v>
      </c>
      <c r="AL115" s="11" t="s">
        <v>137</v>
      </c>
      <c r="AM115" s="11" t="s">
        <v>137</v>
      </c>
    </row>
    <row r="116" spans="1:39" ht="16">
      <c r="A116" s="11" t="s">
        <v>137</v>
      </c>
      <c r="B116" s="11" t="s">
        <v>137</v>
      </c>
      <c r="C116" s="11" t="s">
        <v>137</v>
      </c>
      <c r="E116" s="11" t="s">
        <v>137</v>
      </c>
      <c r="F116" s="11" t="s">
        <v>137</v>
      </c>
      <c r="G116" s="11" t="s">
        <v>137</v>
      </c>
      <c r="H116" s="11" t="s">
        <v>137</v>
      </c>
      <c r="I116" s="11" t="s">
        <v>137</v>
      </c>
      <c r="J116" s="11" t="s">
        <v>137</v>
      </c>
      <c r="K116" s="17" t="s">
        <v>137</v>
      </c>
      <c r="L116" s="17" t="s">
        <v>137</v>
      </c>
      <c r="M116" s="17" t="s">
        <v>137</v>
      </c>
      <c r="N116" s="17" t="s">
        <v>137</v>
      </c>
      <c r="O116" s="17" t="s">
        <v>137</v>
      </c>
      <c r="P116" s="17" t="s">
        <v>137</v>
      </c>
      <c r="Q116" s="17" t="s">
        <v>137</v>
      </c>
      <c r="R116" s="11" t="s">
        <v>137</v>
      </c>
      <c r="S116" s="12" t="s">
        <v>137</v>
      </c>
      <c r="T116" s="11" t="s">
        <v>137</v>
      </c>
      <c r="U116" s="11" t="s">
        <v>137</v>
      </c>
      <c r="V116" s="11" t="s">
        <v>137</v>
      </c>
      <c r="W116" s="11" t="s">
        <v>137</v>
      </c>
      <c r="X116" s="11" t="s">
        <v>137</v>
      </c>
      <c r="Y116" s="11" t="s">
        <v>137</v>
      </c>
      <c r="Z116" s="11" t="s">
        <v>137</v>
      </c>
      <c r="AA116" s="11" t="s">
        <v>137</v>
      </c>
      <c r="AB116" s="11">
        <v>1</v>
      </c>
      <c r="AC116" s="11">
        <v>1</v>
      </c>
      <c r="AD116" s="11">
        <v>1</v>
      </c>
      <c r="AF116" s="11">
        <v>1</v>
      </c>
      <c r="AG116" s="11">
        <v>1</v>
      </c>
      <c r="AH116" s="11">
        <v>1</v>
      </c>
      <c r="AI116" s="11">
        <v>1</v>
      </c>
      <c r="AJ116" s="11">
        <v>1</v>
      </c>
      <c r="AK116" s="11">
        <v>1</v>
      </c>
      <c r="AL116" s="11" t="s">
        <v>137</v>
      </c>
      <c r="AM116" s="11" t="s">
        <v>137</v>
      </c>
    </row>
    <row r="117" spans="1:39" ht="16">
      <c r="A117" s="11" t="s">
        <v>137</v>
      </c>
      <c r="B117" s="11" t="s">
        <v>137</v>
      </c>
      <c r="C117" s="11" t="s">
        <v>137</v>
      </c>
      <c r="E117" s="11" t="s">
        <v>137</v>
      </c>
      <c r="F117" s="11" t="s">
        <v>137</v>
      </c>
      <c r="G117" s="11" t="s">
        <v>137</v>
      </c>
      <c r="H117" s="11">
        <v>1</v>
      </c>
      <c r="I117" s="11">
        <v>1</v>
      </c>
      <c r="J117" s="11">
        <v>1</v>
      </c>
      <c r="K117" s="17">
        <v>1</v>
      </c>
      <c r="L117" s="17">
        <v>1</v>
      </c>
      <c r="M117" s="17">
        <v>1</v>
      </c>
      <c r="N117" s="17">
        <v>1</v>
      </c>
      <c r="O117" s="17">
        <v>1</v>
      </c>
      <c r="P117" s="17">
        <v>1</v>
      </c>
      <c r="Q117" s="17">
        <v>1</v>
      </c>
      <c r="R117" s="11">
        <v>1</v>
      </c>
      <c r="S117" s="12">
        <v>1</v>
      </c>
      <c r="T117" s="11">
        <v>1</v>
      </c>
      <c r="U117" s="11">
        <v>1</v>
      </c>
      <c r="V117" s="11">
        <v>1</v>
      </c>
      <c r="W117" s="11">
        <v>1</v>
      </c>
      <c r="X117" s="11">
        <v>1</v>
      </c>
      <c r="Y117" s="11">
        <v>1</v>
      </c>
      <c r="Z117" s="11">
        <v>1</v>
      </c>
      <c r="AA117" s="11">
        <v>1</v>
      </c>
      <c r="AB117" s="11">
        <v>1</v>
      </c>
      <c r="AC117" s="11">
        <v>1</v>
      </c>
      <c r="AD117" s="11">
        <v>1</v>
      </c>
      <c r="AF117" s="11">
        <v>1</v>
      </c>
      <c r="AG117" s="11">
        <v>1</v>
      </c>
      <c r="AH117" s="11">
        <v>1</v>
      </c>
      <c r="AI117" s="11">
        <v>1</v>
      </c>
      <c r="AJ117" s="11">
        <v>1</v>
      </c>
      <c r="AK117" s="11">
        <v>1</v>
      </c>
      <c r="AL117" s="11" t="s">
        <v>137</v>
      </c>
      <c r="AM117" s="11" t="s">
        <v>137</v>
      </c>
    </row>
    <row r="118" spans="1:39" ht="16">
      <c r="A118" s="11" t="s">
        <v>137</v>
      </c>
      <c r="B118" s="11" t="s">
        <v>137</v>
      </c>
      <c r="C118" s="11" t="s">
        <v>137</v>
      </c>
      <c r="E118" s="11" t="s">
        <v>137</v>
      </c>
      <c r="F118" s="11" t="s">
        <v>137</v>
      </c>
      <c r="G118" s="11" t="s">
        <v>137</v>
      </c>
      <c r="H118" s="11" t="s">
        <v>137</v>
      </c>
      <c r="I118" s="11" t="s">
        <v>137</v>
      </c>
      <c r="J118" s="11" t="s">
        <v>137</v>
      </c>
      <c r="K118" s="17" t="s">
        <v>137</v>
      </c>
      <c r="L118" s="17" t="s">
        <v>137</v>
      </c>
      <c r="M118" s="17" t="s">
        <v>137</v>
      </c>
      <c r="N118" s="17" t="s">
        <v>137</v>
      </c>
      <c r="O118" s="17" t="s">
        <v>137</v>
      </c>
      <c r="P118" s="17" t="s">
        <v>137</v>
      </c>
      <c r="Q118" s="17" t="s">
        <v>137</v>
      </c>
      <c r="R118" s="11" t="s">
        <v>137</v>
      </c>
      <c r="S118" s="12" t="s">
        <v>137</v>
      </c>
      <c r="T118" s="11" t="s">
        <v>137</v>
      </c>
      <c r="U118" s="11" t="s">
        <v>137</v>
      </c>
      <c r="V118" s="11" t="s">
        <v>137</v>
      </c>
      <c r="W118" s="11" t="s">
        <v>137</v>
      </c>
      <c r="X118" s="11" t="s">
        <v>137</v>
      </c>
      <c r="Y118" s="11" t="s">
        <v>137</v>
      </c>
      <c r="Z118" s="11" t="s">
        <v>137</v>
      </c>
      <c r="AA118" s="11" t="s">
        <v>137</v>
      </c>
      <c r="AB118" s="11">
        <v>1</v>
      </c>
      <c r="AC118" s="11">
        <v>1</v>
      </c>
      <c r="AD118" s="11">
        <v>1</v>
      </c>
      <c r="AF118" s="11">
        <v>1</v>
      </c>
      <c r="AG118" s="11">
        <v>1</v>
      </c>
      <c r="AH118" s="11">
        <v>1</v>
      </c>
      <c r="AI118" s="11">
        <v>1</v>
      </c>
      <c r="AJ118" s="11">
        <v>1</v>
      </c>
      <c r="AK118" s="11">
        <v>1</v>
      </c>
      <c r="AL118" s="11" t="s">
        <v>137</v>
      </c>
      <c r="AM118" s="11" t="s">
        <v>137</v>
      </c>
    </row>
    <row r="119" spans="1:39" ht="16">
      <c r="A119" s="11" t="s">
        <v>137</v>
      </c>
      <c r="B119" s="11" t="s">
        <v>137</v>
      </c>
      <c r="C119" s="11" t="s">
        <v>137</v>
      </c>
      <c r="E119" s="11" t="s">
        <v>137</v>
      </c>
      <c r="F119" s="11" t="s">
        <v>137</v>
      </c>
      <c r="G119" s="11" t="s">
        <v>137</v>
      </c>
      <c r="H119" s="11" t="s">
        <v>137</v>
      </c>
      <c r="I119" s="11" t="s">
        <v>137</v>
      </c>
      <c r="J119" s="11" t="s">
        <v>137</v>
      </c>
      <c r="K119" s="17" t="s">
        <v>137</v>
      </c>
      <c r="L119" s="17" t="s">
        <v>137</v>
      </c>
      <c r="M119" s="17" t="s">
        <v>137</v>
      </c>
      <c r="N119" s="17" t="s">
        <v>137</v>
      </c>
      <c r="O119" s="17" t="s">
        <v>137</v>
      </c>
      <c r="P119" s="17" t="s">
        <v>137</v>
      </c>
      <c r="Q119" s="17" t="s">
        <v>137</v>
      </c>
      <c r="R119" s="11" t="s">
        <v>137</v>
      </c>
      <c r="S119" s="12" t="s">
        <v>137</v>
      </c>
      <c r="T119" s="11" t="s">
        <v>137</v>
      </c>
      <c r="U119" s="11" t="s">
        <v>137</v>
      </c>
      <c r="V119" s="11" t="s">
        <v>137</v>
      </c>
      <c r="W119" s="11" t="s">
        <v>137</v>
      </c>
      <c r="X119" s="11" t="s">
        <v>137</v>
      </c>
      <c r="Y119" s="11" t="s">
        <v>137</v>
      </c>
      <c r="Z119" s="11" t="s">
        <v>137</v>
      </c>
      <c r="AA119" s="11" t="s">
        <v>137</v>
      </c>
      <c r="AB119" s="11">
        <v>1</v>
      </c>
      <c r="AC119" s="11">
        <v>1</v>
      </c>
      <c r="AD119" s="11">
        <v>1</v>
      </c>
      <c r="AF119" s="11">
        <v>1</v>
      </c>
      <c r="AG119" s="11">
        <v>1</v>
      </c>
      <c r="AH119" s="11">
        <v>1</v>
      </c>
      <c r="AI119" s="11">
        <v>1</v>
      </c>
      <c r="AJ119" s="11">
        <v>1</v>
      </c>
      <c r="AK119" s="11">
        <v>1</v>
      </c>
      <c r="AL119" s="11" t="s">
        <v>137</v>
      </c>
      <c r="AM119" s="11" t="s">
        <v>137</v>
      </c>
    </row>
    <row r="120" spans="1:39" ht="16">
      <c r="A120" s="11" t="s">
        <v>137</v>
      </c>
      <c r="B120" s="11" t="s">
        <v>137</v>
      </c>
      <c r="C120" s="11" t="s">
        <v>137</v>
      </c>
      <c r="E120" s="11" t="s">
        <v>137</v>
      </c>
      <c r="F120" s="11" t="s">
        <v>137</v>
      </c>
      <c r="G120" s="11" t="s">
        <v>137</v>
      </c>
      <c r="H120" s="11">
        <v>1</v>
      </c>
      <c r="I120" s="11">
        <v>1</v>
      </c>
      <c r="J120" s="11">
        <v>1</v>
      </c>
      <c r="K120" s="17">
        <v>1</v>
      </c>
      <c r="L120" s="17">
        <v>1</v>
      </c>
      <c r="M120" s="17">
        <v>1</v>
      </c>
      <c r="N120" s="17">
        <v>1</v>
      </c>
      <c r="O120" s="17">
        <v>1</v>
      </c>
      <c r="P120" s="17">
        <v>1</v>
      </c>
      <c r="Q120" s="17">
        <v>1</v>
      </c>
      <c r="R120" s="11">
        <v>1</v>
      </c>
      <c r="S120" s="12">
        <v>1</v>
      </c>
      <c r="T120" s="11">
        <v>1</v>
      </c>
      <c r="U120" s="11">
        <v>1</v>
      </c>
      <c r="V120" s="11">
        <v>1</v>
      </c>
      <c r="W120" s="11">
        <v>1</v>
      </c>
      <c r="X120" s="11">
        <v>1</v>
      </c>
      <c r="Y120" s="11">
        <v>1</v>
      </c>
      <c r="Z120" s="11">
        <v>1</v>
      </c>
      <c r="AA120" s="11">
        <v>1</v>
      </c>
      <c r="AB120" s="11">
        <v>1</v>
      </c>
      <c r="AC120" s="11">
        <v>1</v>
      </c>
      <c r="AD120" s="11">
        <v>1</v>
      </c>
      <c r="AF120" s="11">
        <v>1</v>
      </c>
      <c r="AG120" s="11">
        <v>1</v>
      </c>
      <c r="AH120" s="11">
        <v>1</v>
      </c>
      <c r="AI120" s="11">
        <v>1</v>
      </c>
      <c r="AJ120" s="11">
        <v>1</v>
      </c>
      <c r="AK120" s="11">
        <v>1</v>
      </c>
      <c r="AL120" s="11" t="s">
        <v>137</v>
      </c>
      <c r="AM120" s="11" t="s">
        <v>137</v>
      </c>
    </row>
    <row r="121" spans="1:39" ht="16">
      <c r="A121" s="11" t="s">
        <v>137</v>
      </c>
      <c r="B121" s="11" t="s">
        <v>137</v>
      </c>
      <c r="C121" s="11" t="s">
        <v>137</v>
      </c>
      <c r="E121" s="11" t="s">
        <v>137</v>
      </c>
      <c r="F121" s="11" t="s">
        <v>137</v>
      </c>
      <c r="G121" s="11" t="s">
        <v>137</v>
      </c>
      <c r="H121" s="11" t="s">
        <v>137</v>
      </c>
      <c r="I121" s="11" t="s">
        <v>137</v>
      </c>
      <c r="J121" s="11" t="s">
        <v>137</v>
      </c>
      <c r="K121" s="17" t="s">
        <v>137</v>
      </c>
      <c r="L121" s="17" t="s">
        <v>137</v>
      </c>
      <c r="M121" s="17" t="s">
        <v>137</v>
      </c>
      <c r="N121" s="17" t="s">
        <v>137</v>
      </c>
      <c r="O121" s="17" t="s">
        <v>137</v>
      </c>
      <c r="P121" s="17" t="s">
        <v>137</v>
      </c>
      <c r="Q121" s="17" t="s">
        <v>137</v>
      </c>
      <c r="R121" s="11" t="s">
        <v>137</v>
      </c>
      <c r="S121" s="12" t="s">
        <v>137</v>
      </c>
      <c r="T121" s="11" t="s">
        <v>137</v>
      </c>
      <c r="U121" s="11" t="s">
        <v>137</v>
      </c>
      <c r="V121" s="11" t="s">
        <v>137</v>
      </c>
      <c r="W121" s="11" t="s">
        <v>137</v>
      </c>
      <c r="X121" s="11" t="s">
        <v>137</v>
      </c>
      <c r="Y121" s="11" t="s">
        <v>137</v>
      </c>
      <c r="Z121" s="11" t="s">
        <v>137</v>
      </c>
      <c r="AA121" s="11" t="s">
        <v>137</v>
      </c>
      <c r="AB121" s="11">
        <v>1</v>
      </c>
      <c r="AC121" s="11">
        <v>1</v>
      </c>
      <c r="AD121" s="11">
        <v>1</v>
      </c>
      <c r="AF121" s="11">
        <v>1</v>
      </c>
      <c r="AG121" s="11">
        <v>1</v>
      </c>
      <c r="AH121" s="11">
        <v>1</v>
      </c>
      <c r="AI121" s="11">
        <v>1</v>
      </c>
      <c r="AJ121" s="11">
        <v>1</v>
      </c>
      <c r="AK121" s="11">
        <v>1</v>
      </c>
      <c r="AL121" s="11" t="s">
        <v>137</v>
      </c>
      <c r="AM121" s="11" t="s">
        <v>137</v>
      </c>
    </row>
    <row r="122" spans="1:39" ht="16">
      <c r="A122" s="11" t="s">
        <v>137</v>
      </c>
      <c r="B122" s="11" t="s">
        <v>137</v>
      </c>
      <c r="C122" s="11" t="s">
        <v>137</v>
      </c>
      <c r="E122" s="11" t="s">
        <v>137</v>
      </c>
      <c r="F122" s="11" t="s">
        <v>137</v>
      </c>
      <c r="G122" s="11" t="s">
        <v>137</v>
      </c>
      <c r="H122" s="11" t="s">
        <v>137</v>
      </c>
      <c r="I122" s="11" t="s">
        <v>137</v>
      </c>
      <c r="J122" s="11" t="s">
        <v>137</v>
      </c>
      <c r="K122" s="17" t="s">
        <v>137</v>
      </c>
      <c r="L122" s="17" t="s">
        <v>137</v>
      </c>
      <c r="M122" s="17" t="s">
        <v>137</v>
      </c>
      <c r="N122" s="17" t="s">
        <v>137</v>
      </c>
      <c r="O122" s="17" t="s">
        <v>137</v>
      </c>
      <c r="P122" s="17" t="s">
        <v>137</v>
      </c>
      <c r="Q122" s="17" t="s">
        <v>137</v>
      </c>
      <c r="R122" s="11" t="s">
        <v>137</v>
      </c>
      <c r="S122" s="12" t="s">
        <v>137</v>
      </c>
      <c r="T122" s="11" t="s">
        <v>137</v>
      </c>
      <c r="U122" s="11" t="s">
        <v>137</v>
      </c>
      <c r="V122" s="11" t="s">
        <v>137</v>
      </c>
      <c r="W122" s="11" t="s">
        <v>137</v>
      </c>
      <c r="X122" s="11" t="s">
        <v>137</v>
      </c>
      <c r="Y122" s="11" t="s">
        <v>137</v>
      </c>
      <c r="Z122" s="11" t="s">
        <v>137</v>
      </c>
      <c r="AA122" s="11" t="s">
        <v>137</v>
      </c>
      <c r="AB122" s="11">
        <v>1</v>
      </c>
      <c r="AC122" s="11">
        <v>1</v>
      </c>
      <c r="AD122" s="11">
        <v>1</v>
      </c>
      <c r="AF122" s="11">
        <v>1</v>
      </c>
      <c r="AG122" s="11">
        <v>1</v>
      </c>
      <c r="AH122" s="11">
        <v>1</v>
      </c>
      <c r="AI122" s="11">
        <v>1</v>
      </c>
      <c r="AJ122" s="11">
        <v>1</v>
      </c>
      <c r="AK122" s="11">
        <v>1</v>
      </c>
      <c r="AL122" s="11" t="s">
        <v>137</v>
      </c>
      <c r="AM122" s="11" t="s">
        <v>137</v>
      </c>
    </row>
    <row r="123" spans="1:39" ht="16">
      <c r="A123" s="11" t="s">
        <v>137</v>
      </c>
      <c r="B123" s="11" t="s">
        <v>137</v>
      </c>
      <c r="C123" s="11" t="s">
        <v>137</v>
      </c>
      <c r="E123" s="11" t="s">
        <v>137</v>
      </c>
      <c r="F123" s="11" t="s">
        <v>137</v>
      </c>
      <c r="G123" s="11" t="s">
        <v>137</v>
      </c>
      <c r="H123" s="11">
        <v>1</v>
      </c>
      <c r="I123" s="11">
        <v>1</v>
      </c>
      <c r="J123" s="11">
        <v>1</v>
      </c>
      <c r="K123" s="17">
        <v>1</v>
      </c>
      <c r="L123" s="17">
        <v>1</v>
      </c>
      <c r="M123" s="17">
        <v>1</v>
      </c>
      <c r="N123" s="17">
        <v>1</v>
      </c>
      <c r="O123" s="17">
        <v>1</v>
      </c>
      <c r="P123" s="17">
        <v>1</v>
      </c>
      <c r="Q123" s="17">
        <v>1</v>
      </c>
      <c r="R123" s="11">
        <v>1</v>
      </c>
      <c r="S123" s="12">
        <v>1</v>
      </c>
      <c r="T123" s="11">
        <v>1</v>
      </c>
      <c r="U123" s="11">
        <v>1</v>
      </c>
      <c r="V123" s="11">
        <v>1</v>
      </c>
      <c r="W123" s="11">
        <v>1</v>
      </c>
      <c r="X123" s="11">
        <v>1</v>
      </c>
      <c r="Y123" s="11">
        <v>1</v>
      </c>
      <c r="Z123" s="11">
        <v>1</v>
      </c>
      <c r="AA123" s="11">
        <v>1</v>
      </c>
      <c r="AB123" s="11">
        <v>1</v>
      </c>
      <c r="AC123" s="11">
        <v>1</v>
      </c>
      <c r="AD123" s="11">
        <v>1</v>
      </c>
      <c r="AF123" s="11">
        <v>1</v>
      </c>
      <c r="AG123" s="11">
        <v>1</v>
      </c>
      <c r="AH123" s="11">
        <v>1</v>
      </c>
      <c r="AI123" s="11">
        <v>1</v>
      </c>
      <c r="AJ123" s="11">
        <v>1</v>
      </c>
      <c r="AK123" s="11">
        <v>1</v>
      </c>
      <c r="AL123" s="11" t="s">
        <v>137</v>
      </c>
      <c r="AM123" s="11" t="s">
        <v>137</v>
      </c>
    </row>
    <row r="124" spans="1:39" ht="16">
      <c r="A124" s="11" t="s">
        <v>137</v>
      </c>
      <c r="B124" s="11" t="s">
        <v>137</v>
      </c>
      <c r="C124" s="11" t="s">
        <v>137</v>
      </c>
      <c r="E124" s="11" t="s">
        <v>137</v>
      </c>
      <c r="F124" s="11" t="s">
        <v>137</v>
      </c>
      <c r="G124" s="11" t="s">
        <v>137</v>
      </c>
      <c r="H124" s="11" t="s">
        <v>137</v>
      </c>
      <c r="I124" s="11" t="s">
        <v>137</v>
      </c>
      <c r="J124" s="11" t="s">
        <v>137</v>
      </c>
      <c r="K124" s="17" t="s">
        <v>137</v>
      </c>
      <c r="L124" s="17" t="s">
        <v>137</v>
      </c>
      <c r="M124" s="17" t="s">
        <v>137</v>
      </c>
      <c r="N124" s="17" t="s">
        <v>137</v>
      </c>
      <c r="O124" s="17" t="s">
        <v>137</v>
      </c>
      <c r="P124" s="17" t="s">
        <v>137</v>
      </c>
      <c r="Q124" s="17" t="s">
        <v>137</v>
      </c>
      <c r="R124" s="11" t="s">
        <v>137</v>
      </c>
      <c r="S124" s="12" t="s">
        <v>137</v>
      </c>
      <c r="T124" s="11" t="s">
        <v>137</v>
      </c>
      <c r="U124" s="11" t="s">
        <v>137</v>
      </c>
      <c r="V124" s="11" t="s">
        <v>137</v>
      </c>
      <c r="W124" s="11" t="s">
        <v>137</v>
      </c>
      <c r="X124" s="11" t="s">
        <v>137</v>
      </c>
      <c r="Y124" s="11" t="s">
        <v>137</v>
      </c>
      <c r="Z124" s="11" t="s">
        <v>137</v>
      </c>
      <c r="AA124" s="11" t="s">
        <v>137</v>
      </c>
      <c r="AB124" s="11">
        <v>1</v>
      </c>
      <c r="AC124" s="11">
        <v>1</v>
      </c>
      <c r="AD124" s="11">
        <v>1</v>
      </c>
      <c r="AF124" s="11">
        <v>1</v>
      </c>
      <c r="AG124" s="11">
        <v>1</v>
      </c>
      <c r="AH124" s="11">
        <v>1</v>
      </c>
      <c r="AI124" s="11">
        <v>1</v>
      </c>
      <c r="AJ124" s="11">
        <v>1</v>
      </c>
      <c r="AK124" s="11">
        <v>1</v>
      </c>
      <c r="AL124" s="11" t="s">
        <v>137</v>
      </c>
      <c r="AM124" s="11" t="s">
        <v>137</v>
      </c>
    </row>
    <row r="125" spans="1:39" ht="16">
      <c r="A125" s="11" t="s">
        <v>137</v>
      </c>
      <c r="B125" s="11" t="s">
        <v>137</v>
      </c>
      <c r="C125" s="11" t="s">
        <v>137</v>
      </c>
      <c r="E125" s="11" t="s">
        <v>137</v>
      </c>
      <c r="F125" s="11" t="s">
        <v>137</v>
      </c>
      <c r="G125" s="11" t="s">
        <v>137</v>
      </c>
      <c r="H125" s="11" t="s">
        <v>137</v>
      </c>
      <c r="I125" s="11" t="s">
        <v>137</v>
      </c>
      <c r="J125" s="11" t="s">
        <v>137</v>
      </c>
      <c r="K125" s="17" t="s">
        <v>137</v>
      </c>
      <c r="L125" s="17" t="s">
        <v>137</v>
      </c>
      <c r="M125" s="17" t="s">
        <v>137</v>
      </c>
      <c r="N125" s="17" t="s">
        <v>137</v>
      </c>
      <c r="O125" s="17" t="s">
        <v>137</v>
      </c>
      <c r="P125" s="17" t="s">
        <v>137</v>
      </c>
      <c r="Q125" s="17" t="s">
        <v>137</v>
      </c>
      <c r="R125" s="11" t="s">
        <v>137</v>
      </c>
      <c r="S125" s="12" t="s">
        <v>137</v>
      </c>
      <c r="T125" s="11" t="s">
        <v>137</v>
      </c>
      <c r="U125" s="11" t="s">
        <v>137</v>
      </c>
      <c r="V125" s="11" t="s">
        <v>137</v>
      </c>
      <c r="W125" s="11" t="s">
        <v>137</v>
      </c>
      <c r="X125" s="11" t="s">
        <v>137</v>
      </c>
      <c r="Y125" s="11" t="s">
        <v>137</v>
      </c>
      <c r="Z125" s="11" t="s">
        <v>137</v>
      </c>
      <c r="AA125" s="11" t="s">
        <v>137</v>
      </c>
      <c r="AB125" s="11">
        <v>1</v>
      </c>
      <c r="AC125" s="11">
        <v>1</v>
      </c>
      <c r="AD125" s="11">
        <v>1</v>
      </c>
      <c r="AF125" s="11">
        <v>0</v>
      </c>
      <c r="AG125" s="11">
        <v>1</v>
      </c>
      <c r="AH125" s="11">
        <v>1</v>
      </c>
      <c r="AI125" s="11">
        <v>1</v>
      </c>
      <c r="AJ125" s="11">
        <v>1</v>
      </c>
      <c r="AK125" s="11">
        <v>1</v>
      </c>
      <c r="AL125" s="11" t="s">
        <v>137</v>
      </c>
      <c r="AM125" s="11" t="s">
        <v>137</v>
      </c>
    </row>
    <row r="126" spans="1:39" ht="16">
      <c r="A126" s="11" t="s">
        <v>137</v>
      </c>
      <c r="B126" s="11" t="s">
        <v>137</v>
      </c>
      <c r="C126" s="11" t="s">
        <v>137</v>
      </c>
      <c r="E126" s="11" t="s">
        <v>137</v>
      </c>
      <c r="F126" s="11" t="s">
        <v>137</v>
      </c>
      <c r="G126" s="11" t="s">
        <v>137</v>
      </c>
      <c r="H126" s="11">
        <v>1</v>
      </c>
      <c r="I126" s="11">
        <v>1</v>
      </c>
      <c r="J126" s="11">
        <v>1</v>
      </c>
      <c r="K126" s="17">
        <v>1</v>
      </c>
      <c r="L126" s="17">
        <v>1</v>
      </c>
      <c r="M126" s="17">
        <v>1</v>
      </c>
      <c r="N126" s="17">
        <v>1</v>
      </c>
      <c r="O126" s="17">
        <v>1</v>
      </c>
      <c r="P126" s="17">
        <v>1</v>
      </c>
      <c r="Q126" s="17">
        <v>1</v>
      </c>
      <c r="R126" s="11">
        <v>1</v>
      </c>
      <c r="S126" s="12">
        <v>1</v>
      </c>
      <c r="T126" s="11">
        <v>1</v>
      </c>
      <c r="U126" s="11">
        <v>1</v>
      </c>
      <c r="V126" s="11">
        <v>1</v>
      </c>
      <c r="W126" s="11">
        <v>1</v>
      </c>
      <c r="X126" s="11">
        <v>1</v>
      </c>
      <c r="Y126" s="11">
        <v>1</v>
      </c>
      <c r="Z126" s="11">
        <v>1</v>
      </c>
      <c r="AA126" s="11">
        <v>1</v>
      </c>
      <c r="AB126" s="11">
        <v>1</v>
      </c>
      <c r="AC126" s="11">
        <v>1</v>
      </c>
      <c r="AD126" s="11">
        <v>1</v>
      </c>
      <c r="AF126" s="11">
        <v>1</v>
      </c>
      <c r="AG126" s="11">
        <v>1</v>
      </c>
      <c r="AH126" s="11">
        <v>1</v>
      </c>
      <c r="AI126" s="11">
        <v>1</v>
      </c>
      <c r="AJ126" s="11">
        <v>1</v>
      </c>
      <c r="AK126" s="11">
        <v>1</v>
      </c>
      <c r="AL126" s="11" t="s">
        <v>137</v>
      </c>
      <c r="AM126" s="11" t="s">
        <v>137</v>
      </c>
    </row>
    <row r="127" spans="1:39" ht="16">
      <c r="A127" s="11" t="s">
        <v>137</v>
      </c>
      <c r="B127" s="11" t="s">
        <v>137</v>
      </c>
      <c r="C127" s="11" t="s">
        <v>137</v>
      </c>
      <c r="E127" s="11" t="s">
        <v>137</v>
      </c>
      <c r="F127" s="11" t="s">
        <v>137</v>
      </c>
      <c r="G127" s="11" t="s">
        <v>137</v>
      </c>
      <c r="H127" s="11" t="s">
        <v>137</v>
      </c>
      <c r="I127" s="11" t="s">
        <v>137</v>
      </c>
      <c r="J127" s="11" t="s">
        <v>137</v>
      </c>
      <c r="K127" s="17" t="s">
        <v>137</v>
      </c>
      <c r="L127" s="17" t="s">
        <v>137</v>
      </c>
      <c r="M127" s="17" t="s">
        <v>137</v>
      </c>
      <c r="N127" s="17" t="s">
        <v>137</v>
      </c>
      <c r="O127" s="17" t="s">
        <v>137</v>
      </c>
      <c r="P127" s="17" t="s">
        <v>137</v>
      </c>
      <c r="Q127" s="17" t="s">
        <v>137</v>
      </c>
      <c r="R127" s="11" t="s">
        <v>137</v>
      </c>
      <c r="S127" s="12" t="s">
        <v>137</v>
      </c>
      <c r="T127" s="11" t="s">
        <v>137</v>
      </c>
      <c r="U127" s="11" t="s">
        <v>137</v>
      </c>
      <c r="V127" s="11" t="s">
        <v>137</v>
      </c>
      <c r="W127" s="11" t="s">
        <v>137</v>
      </c>
      <c r="X127" s="11" t="s">
        <v>137</v>
      </c>
      <c r="Y127" s="11" t="s">
        <v>137</v>
      </c>
      <c r="Z127" s="11" t="s">
        <v>137</v>
      </c>
      <c r="AA127" s="11" t="s">
        <v>137</v>
      </c>
      <c r="AB127" s="11">
        <v>1</v>
      </c>
      <c r="AC127" s="11">
        <v>1</v>
      </c>
      <c r="AD127" s="11">
        <v>1</v>
      </c>
      <c r="AF127" s="11">
        <v>1</v>
      </c>
      <c r="AG127" s="11">
        <v>1</v>
      </c>
      <c r="AH127" s="11">
        <v>1</v>
      </c>
      <c r="AI127" s="11">
        <v>1</v>
      </c>
      <c r="AJ127" s="11">
        <v>1</v>
      </c>
      <c r="AK127" s="11">
        <v>1</v>
      </c>
      <c r="AL127" s="11" t="s">
        <v>137</v>
      </c>
      <c r="AM127" s="11" t="s">
        <v>137</v>
      </c>
    </row>
    <row r="128" spans="1:39" ht="16">
      <c r="A128" s="11" t="s">
        <v>137</v>
      </c>
      <c r="B128" s="11" t="s">
        <v>137</v>
      </c>
      <c r="C128" s="11" t="s">
        <v>137</v>
      </c>
      <c r="E128" s="11" t="s">
        <v>137</v>
      </c>
      <c r="F128" s="11" t="s">
        <v>137</v>
      </c>
      <c r="G128" s="11" t="s">
        <v>137</v>
      </c>
      <c r="H128" s="11" t="s">
        <v>137</v>
      </c>
      <c r="I128" s="11" t="s">
        <v>137</v>
      </c>
      <c r="J128" s="11" t="s">
        <v>137</v>
      </c>
      <c r="K128" s="17" t="s">
        <v>137</v>
      </c>
      <c r="L128" s="17" t="s">
        <v>137</v>
      </c>
      <c r="M128" s="17" t="s">
        <v>137</v>
      </c>
      <c r="N128" s="17" t="s">
        <v>137</v>
      </c>
      <c r="O128" s="17" t="s">
        <v>137</v>
      </c>
      <c r="P128" s="17" t="s">
        <v>137</v>
      </c>
      <c r="Q128" s="17" t="s">
        <v>137</v>
      </c>
      <c r="R128" s="11" t="s">
        <v>137</v>
      </c>
      <c r="S128" s="12" t="s">
        <v>137</v>
      </c>
      <c r="T128" s="11" t="s">
        <v>137</v>
      </c>
      <c r="U128" s="11" t="s">
        <v>137</v>
      </c>
      <c r="V128" s="11" t="s">
        <v>137</v>
      </c>
      <c r="W128" s="11" t="s">
        <v>137</v>
      </c>
      <c r="X128" s="11" t="s">
        <v>137</v>
      </c>
      <c r="Y128" s="11" t="s">
        <v>137</v>
      </c>
      <c r="Z128" s="11" t="s">
        <v>137</v>
      </c>
      <c r="AA128" s="11" t="s">
        <v>137</v>
      </c>
      <c r="AB128" s="11">
        <v>1</v>
      </c>
      <c r="AC128" s="11">
        <v>1</v>
      </c>
      <c r="AD128" s="11">
        <v>1</v>
      </c>
      <c r="AF128" s="11">
        <v>0</v>
      </c>
      <c r="AG128" s="11">
        <v>1</v>
      </c>
      <c r="AH128" s="11">
        <v>1</v>
      </c>
      <c r="AI128" s="11">
        <v>1</v>
      </c>
      <c r="AJ128" s="11">
        <v>1</v>
      </c>
      <c r="AK128" s="11">
        <v>1</v>
      </c>
      <c r="AL128" s="11" t="s">
        <v>137</v>
      </c>
      <c r="AM128" s="11" t="s">
        <v>137</v>
      </c>
    </row>
    <row r="129" spans="1:39" ht="16">
      <c r="A129" s="11" t="s">
        <v>137</v>
      </c>
      <c r="B129" s="11" t="s">
        <v>137</v>
      </c>
      <c r="C129" s="11" t="s">
        <v>137</v>
      </c>
      <c r="E129" s="11" t="s">
        <v>137</v>
      </c>
      <c r="F129" s="11" t="s">
        <v>137</v>
      </c>
      <c r="G129" s="11" t="s">
        <v>137</v>
      </c>
      <c r="H129" s="11">
        <v>1</v>
      </c>
      <c r="I129" s="11">
        <v>1</v>
      </c>
      <c r="J129" s="11">
        <v>1</v>
      </c>
      <c r="K129" s="17">
        <v>1</v>
      </c>
      <c r="L129" s="17">
        <v>1</v>
      </c>
      <c r="M129" s="17">
        <v>1</v>
      </c>
      <c r="N129" s="17">
        <v>1</v>
      </c>
      <c r="O129" s="17">
        <v>1</v>
      </c>
      <c r="P129" s="17">
        <v>1</v>
      </c>
      <c r="Q129" s="17">
        <v>1</v>
      </c>
      <c r="R129" s="11">
        <v>1</v>
      </c>
      <c r="S129" s="12">
        <v>1</v>
      </c>
      <c r="T129" s="11">
        <v>1</v>
      </c>
      <c r="U129" s="11">
        <v>1</v>
      </c>
      <c r="V129" s="11">
        <v>1</v>
      </c>
      <c r="W129" s="11">
        <v>1</v>
      </c>
      <c r="X129" s="11">
        <v>1</v>
      </c>
      <c r="Y129" s="11">
        <v>1</v>
      </c>
      <c r="Z129" s="11">
        <v>1</v>
      </c>
      <c r="AA129" s="11">
        <v>1</v>
      </c>
      <c r="AB129" s="11">
        <v>1</v>
      </c>
      <c r="AC129" s="11">
        <v>1</v>
      </c>
      <c r="AD129" s="11">
        <v>1</v>
      </c>
      <c r="AF129" s="11">
        <v>1</v>
      </c>
      <c r="AG129" s="11">
        <v>1</v>
      </c>
      <c r="AH129" s="11">
        <v>1</v>
      </c>
      <c r="AI129" s="11">
        <v>1</v>
      </c>
      <c r="AJ129" s="11">
        <v>1</v>
      </c>
      <c r="AK129" s="11">
        <v>1</v>
      </c>
      <c r="AL129" s="11" t="s">
        <v>137</v>
      </c>
      <c r="AM129" s="11" t="s">
        <v>137</v>
      </c>
    </row>
    <row r="130" spans="1:39" ht="16">
      <c r="A130" s="11" t="s">
        <v>137</v>
      </c>
      <c r="B130" s="11" t="s">
        <v>137</v>
      </c>
      <c r="C130" s="11" t="s">
        <v>137</v>
      </c>
      <c r="E130" s="11" t="s">
        <v>137</v>
      </c>
      <c r="F130" s="11" t="s">
        <v>137</v>
      </c>
      <c r="G130" s="11" t="s">
        <v>137</v>
      </c>
      <c r="H130" s="11" t="s">
        <v>137</v>
      </c>
      <c r="I130" s="11" t="s">
        <v>137</v>
      </c>
      <c r="J130" s="11" t="s">
        <v>137</v>
      </c>
      <c r="K130" s="17" t="s">
        <v>137</v>
      </c>
      <c r="L130" s="17" t="s">
        <v>137</v>
      </c>
      <c r="M130" s="17" t="s">
        <v>137</v>
      </c>
      <c r="N130" s="17" t="s">
        <v>137</v>
      </c>
      <c r="O130" s="17" t="s">
        <v>137</v>
      </c>
      <c r="P130" s="17" t="s">
        <v>137</v>
      </c>
      <c r="Q130" s="17" t="s">
        <v>137</v>
      </c>
      <c r="R130" s="11" t="s">
        <v>137</v>
      </c>
      <c r="S130" s="12" t="s">
        <v>137</v>
      </c>
      <c r="T130" s="11" t="s">
        <v>137</v>
      </c>
      <c r="U130" s="11" t="s">
        <v>137</v>
      </c>
      <c r="V130" s="11" t="s">
        <v>137</v>
      </c>
      <c r="W130" s="11" t="s">
        <v>137</v>
      </c>
      <c r="X130" s="11" t="s">
        <v>137</v>
      </c>
      <c r="Y130" s="11" t="s">
        <v>137</v>
      </c>
      <c r="Z130" s="11" t="s">
        <v>137</v>
      </c>
      <c r="AA130" s="11" t="s">
        <v>137</v>
      </c>
      <c r="AB130" s="11">
        <v>1</v>
      </c>
      <c r="AC130" s="11">
        <v>1</v>
      </c>
      <c r="AD130" s="11">
        <v>1</v>
      </c>
      <c r="AF130" s="11">
        <v>1</v>
      </c>
      <c r="AG130" s="11">
        <v>1</v>
      </c>
      <c r="AH130" s="11">
        <v>1</v>
      </c>
      <c r="AI130" s="11">
        <v>1</v>
      </c>
      <c r="AJ130" s="11">
        <v>1</v>
      </c>
      <c r="AK130" s="11">
        <v>1</v>
      </c>
      <c r="AL130" s="11" t="s">
        <v>137</v>
      </c>
      <c r="AM130" s="11" t="s">
        <v>137</v>
      </c>
    </row>
    <row r="131" spans="1:39" ht="16">
      <c r="A131" s="11" t="s">
        <v>137</v>
      </c>
      <c r="B131" s="11" t="s">
        <v>137</v>
      </c>
      <c r="C131" s="11" t="s">
        <v>137</v>
      </c>
      <c r="E131" s="11" t="s">
        <v>137</v>
      </c>
      <c r="F131" s="11" t="s">
        <v>137</v>
      </c>
      <c r="G131" s="11" t="s">
        <v>137</v>
      </c>
      <c r="H131" s="11" t="s">
        <v>137</v>
      </c>
      <c r="I131" s="11" t="s">
        <v>137</v>
      </c>
      <c r="J131" s="11" t="s">
        <v>137</v>
      </c>
      <c r="K131" s="17" t="s">
        <v>137</v>
      </c>
      <c r="L131" s="17" t="s">
        <v>137</v>
      </c>
      <c r="M131" s="17" t="s">
        <v>137</v>
      </c>
      <c r="N131" s="17" t="s">
        <v>137</v>
      </c>
      <c r="O131" s="17" t="s">
        <v>137</v>
      </c>
      <c r="P131" s="17" t="s">
        <v>137</v>
      </c>
      <c r="Q131" s="17" t="s">
        <v>137</v>
      </c>
      <c r="R131" s="11" t="s">
        <v>137</v>
      </c>
      <c r="S131" s="12" t="s">
        <v>137</v>
      </c>
      <c r="T131" s="11" t="s">
        <v>137</v>
      </c>
      <c r="U131" s="11" t="s">
        <v>137</v>
      </c>
      <c r="V131" s="11" t="s">
        <v>137</v>
      </c>
      <c r="W131" s="11" t="s">
        <v>137</v>
      </c>
      <c r="X131" s="11" t="s">
        <v>137</v>
      </c>
      <c r="Y131" s="11" t="s">
        <v>137</v>
      </c>
      <c r="Z131" s="11" t="s">
        <v>137</v>
      </c>
      <c r="AA131" s="11" t="s">
        <v>137</v>
      </c>
      <c r="AB131" s="11">
        <v>1</v>
      </c>
      <c r="AC131" s="11">
        <v>1</v>
      </c>
      <c r="AD131" s="11">
        <v>1</v>
      </c>
      <c r="AF131" s="11">
        <v>1</v>
      </c>
      <c r="AG131" s="11">
        <v>1</v>
      </c>
      <c r="AH131" s="11">
        <v>1</v>
      </c>
      <c r="AI131" s="11">
        <v>1</v>
      </c>
      <c r="AJ131" s="11">
        <v>1</v>
      </c>
      <c r="AK131" s="11">
        <v>1</v>
      </c>
      <c r="AL131" s="11" t="s">
        <v>137</v>
      </c>
      <c r="AM131" s="11" t="s">
        <v>137</v>
      </c>
    </row>
    <row r="132" spans="1:39" ht="16">
      <c r="A132" s="11" t="s">
        <v>137</v>
      </c>
      <c r="B132" s="11" t="s">
        <v>137</v>
      </c>
      <c r="C132" s="11" t="s">
        <v>137</v>
      </c>
      <c r="E132" s="11" t="s">
        <v>137</v>
      </c>
      <c r="F132" s="11" t="s">
        <v>137</v>
      </c>
      <c r="G132" s="11" t="s">
        <v>137</v>
      </c>
      <c r="H132" s="11">
        <v>1</v>
      </c>
      <c r="I132" s="11">
        <v>1</v>
      </c>
      <c r="J132" s="11">
        <v>1</v>
      </c>
      <c r="K132" s="17">
        <v>1</v>
      </c>
      <c r="L132" s="17">
        <v>1</v>
      </c>
      <c r="M132" s="17">
        <v>1</v>
      </c>
      <c r="N132" s="17">
        <v>1</v>
      </c>
      <c r="O132" s="17">
        <v>1</v>
      </c>
      <c r="P132" s="17">
        <v>1</v>
      </c>
      <c r="Q132" s="17">
        <v>1</v>
      </c>
      <c r="R132" s="11">
        <v>1</v>
      </c>
      <c r="S132" s="12">
        <v>1</v>
      </c>
      <c r="T132" s="11">
        <v>1</v>
      </c>
      <c r="U132" s="11">
        <v>1</v>
      </c>
      <c r="V132" s="11">
        <v>1</v>
      </c>
      <c r="W132" s="11">
        <v>1</v>
      </c>
      <c r="X132" s="11">
        <v>1</v>
      </c>
      <c r="Y132" s="11">
        <v>1</v>
      </c>
      <c r="Z132" s="11">
        <v>1</v>
      </c>
      <c r="AA132" s="11">
        <v>1</v>
      </c>
      <c r="AB132" s="11">
        <v>1</v>
      </c>
      <c r="AC132" s="11">
        <v>1</v>
      </c>
      <c r="AD132" s="11">
        <v>1</v>
      </c>
      <c r="AF132" s="11">
        <v>1</v>
      </c>
      <c r="AG132" s="11">
        <v>1</v>
      </c>
      <c r="AH132" s="11">
        <v>1</v>
      </c>
      <c r="AI132" s="11">
        <v>1</v>
      </c>
      <c r="AJ132" s="11">
        <v>1</v>
      </c>
      <c r="AK132" s="11">
        <v>1</v>
      </c>
      <c r="AL132" s="11" t="s">
        <v>137</v>
      </c>
      <c r="AM132" s="11" t="s">
        <v>137</v>
      </c>
    </row>
    <row r="133" spans="1:39" ht="16">
      <c r="A133" s="11" t="s">
        <v>137</v>
      </c>
      <c r="B133" s="11" t="s">
        <v>137</v>
      </c>
      <c r="C133" s="11" t="s">
        <v>137</v>
      </c>
      <c r="E133" s="11" t="s">
        <v>137</v>
      </c>
      <c r="F133" s="11" t="s">
        <v>137</v>
      </c>
      <c r="G133" s="11" t="s">
        <v>137</v>
      </c>
      <c r="H133" s="11" t="s">
        <v>137</v>
      </c>
      <c r="I133" s="11" t="s">
        <v>137</v>
      </c>
      <c r="J133" s="11" t="s">
        <v>137</v>
      </c>
      <c r="K133" s="17" t="s">
        <v>137</v>
      </c>
      <c r="L133" s="17" t="s">
        <v>137</v>
      </c>
      <c r="M133" s="17" t="s">
        <v>137</v>
      </c>
      <c r="N133" s="17" t="s">
        <v>137</v>
      </c>
      <c r="O133" s="17" t="s">
        <v>137</v>
      </c>
      <c r="P133" s="17" t="s">
        <v>137</v>
      </c>
      <c r="Q133" s="17" t="s">
        <v>137</v>
      </c>
      <c r="R133" s="11" t="s">
        <v>137</v>
      </c>
      <c r="S133" s="12" t="s">
        <v>137</v>
      </c>
      <c r="T133" s="11" t="s">
        <v>137</v>
      </c>
      <c r="U133" s="11" t="s">
        <v>137</v>
      </c>
      <c r="V133" s="11" t="s">
        <v>137</v>
      </c>
      <c r="W133" s="11" t="s">
        <v>137</v>
      </c>
      <c r="X133" s="11" t="s">
        <v>137</v>
      </c>
      <c r="Y133" s="11" t="s">
        <v>137</v>
      </c>
      <c r="Z133" s="11" t="s">
        <v>137</v>
      </c>
      <c r="AA133" s="11" t="s">
        <v>137</v>
      </c>
      <c r="AB133" s="11">
        <v>1</v>
      </c>
      <c r="AC133" s="11">
        <v>1</v>
      </c>
      <c r="AD133" s="11">
        <v>1</v>
      </c>
      <c r="AF133" s="11">
        <v>1</v>
      </c>
      <c r="AG133" s="11">
        <v>1</v>
      </c>
      <c r="AH133" s="11">
        <v>1</v>
      </c>
      <c r="AI133" s="11">
        <v>1</v>
      </c>
      <c r="AJ133" s="11">
        <v>1</v>
      </c>
      <c r="AK133" s="11">
        <v>1</v>
      </c>
      <c r="AL133" s="11" t="s">
        <v>137</v>
      </c>
      <c r="AM133" s="11" t="s">
        <v>137</v>
      </c>
    </row>
    <row r="134" spans="1:39" ht="16">
      <c r="A134" s="11" t="s">
        <v>137</v>
      </c>
      <c r="B134" s="11" t="s">
        <v>137</v>
      </c>
      <c r="C134" s="11" t="s">
        <v>137</v>
      </c>
      <c r="E134" s="11" t="s">
        <v>137</v>
      </c>
      <c r="F134" s="11" t="s">
        <v>137</v>
      </c>
      <c r="G134" s="11" t="s">
        <v>137</v>
      </c>
      <c r="H134" s="11" t="s">
        <v>137</v>
      </c>
      <c r="I134" s="11" t="s">
        <v>137</v>
      </c>
      <c r="J134" s="11" t="s">
        <v>137</v>
      </c>
      <c r="K134" s="17" t="s">
        <v>137</v>
      </c>
      <c r="L134" s="17" t="s">
        <v>137</v>
      </c>
      <c r="M134" s="17" t="s">
        <v>137</v>
      </c>
      <c r="N134" s="17" t="s">
        <v>137</v>
      </c>
      <c r="O134" s="17" t="s">
        <v>137</v>
      </c>
      <c r="P134" s="17" t="s">
        <v>137</v>
      </c>
      <c r="Q134" s="17" t="s">
        <v>137</v>
      </c>
      <c r="R134" s="11" t="s">
        <v>137</v>
      </c>
      <c r="S134" s="12" t="s">
        <v>137</v>
      </c>
      <c r="T134" s="11" t="s">
        <v>137</v>
      </c>
      <c r="U134" s="11" t="s">
        <v>137</v>
      </c>
      <c r="V134" s="11" t="s">
        <v>137</v>
      </c>
      <c r="W134" s="11" t="s">
        <v>137</v>
      </c>
      <c r="X134" s="11" t="s">
        <v>137</v>
      </c>
      <c r="Y134" s="11" t="s">
        <v>137</v>
      </c>
      <c r="Z134" s="11" t="s">
        <v>137</v>
      </c>
      <c r="AA134" s="11" t="s">
        <v>137</v>
      </c>
      <c r="AB134" s="11">
        <v>1</v>
      </c>
      <c r="AC134" s="11">
        <v>1</v>
      </c>
      <c r="AD134" s="11">
        <v>1</v>
      </c>
      <c r="AF134" s="11">
        <v>1</v>
      </c>
      <c r="AG134" s="11">
        <v>1</v>
      </c>
      <c r="AH134" s="11">
        <v>1</v>
      </c>
      <c r="AI134" s="11">
        <v>1</v>
      </c>
      <c r="AJ134" s="11">
        <v>1</v>
      </c>
      <c r="AK134" s="11">
        <v>1</v>
      </c>
      <c r="AL134" s="11" t="s">
        <v>137</v>
      </c>
      <c r="AM134" s="11" t="s">
        <v>137</v>
      </c>
    </row>
    <row r="135" spans="1:39" ht="16">
      <c r="A135" s="11">
        <v>1</v>
      </c>
      <c r="B135" s="11">
        <v>1</v>
      </c>
      <c r="C135" s="11">
        <v>1</v>
      </c>
      <c r="E135" s="11">
        <v>1</v>
      </c>
      <c r="F135" s="11">
        <v>1</v>
      </c>
      <c r="G135" s="11">
        <v>1</v>
      </c>
      <c r="H135" s="11">
        <v>1</v>
      </c>
      <c r="I135" s="11">
        <v>1</v>
      </c>
      <c r="J135" s="11">
        <v>1</v>
      </c>
      <c r="K135" s="17">
        <v>1</v>
      </c>
      <c r="L135" s="17">
        <v>1</v>
      </c>
      <c r="M135" s="17">
        <v>1</v>
      </c>
      <c r="N135" s="17">
        <v>1</v>
      </c>
      <c r="O135" s="17">
        <v>1</v>
      </c>
      <c r="P135" s="17">
        <v>1</v>
      </c>
      <c r="Q135" s="17">
        <v>1</v>
      </c>
      <c r="R135" s="11">
        <v>1</v>
      </c>
      <c r="S135" s="12">
        <v>1</v>
      </c>
      <c r="T135" s="11">
        <v>1</v>
      </c>
      <c r="U135" s="11">
        <v>1</v>
      </c>
      <c r="V135" s="11">
        <v>1</v>
      </c>
      <c r="W135" s="11">
        <v>1</v>
      </c>
      <c r="X135" s="11">
        <v>1</v>
      </c>
      <c r="Y135" s="11">
        <v>1</v>
      </c>
      <c r="Z135" s="11">
        <v>1</v>
      </c>
      <c r="AA135" s="11">
        <v>1</v>
      </c>
      <c r="AB135" s="11">
        <v>1</v>
      </c>
      <c r="AC135" s="11">
        <v>1</v>
      </c>
      <c r="AD135" s="11">
        <v>1</v>
      </c>
      <c r="AF135" s="11">
        <v>1</v>
      </c>
      <c r="AG135" s="11">
        <v>1</v>
      </c>
      <c r="AH135" s="11">
        <v>1</v>
      </c>
      <c r="AI135" s="11">
        <v>1</v>
      </c>
      <c r="AJ135" s="11">
        <v>1</v>
      </c>
      <c r="AK135" s="11">
        <v>1</v>
      </c>
      <c r="AL135" s="11" t="s">
        <v>137</v>
      </c>
      <c r="AM135" s="11" t="s">
        <v>137</v>
      </c>
    </row>
    <row r="136" spans="1:39" ht="16">
      <c r="A136" s="11" t="s">
        <v>137</v>
      </c>
      <c r="B136" s="11" t="s">
        <v>137</v>
      </c>
      <c r="C136" s="11" t="s">
        <v>137</v>
      </c>
      <c r="E136" s="11" t="s">
        <v>137</v>
      </c>
      <c r="F136" s="11" t="s">
        <v>137</v>
      </c>
      <c r="G136" s="11" t="s">
        <v>137</v>
      </c>
      <c r="H136" s="11" t="s">
        <v>137</v>
      </c>
      <c r="I136" s="11" t="s">
        <v>137</v>
      </c>
      <c r="J136" s="11" t="s">
        <v>137</v>
      </c>
      <c r="K136" s="17" t="s">
        <v>137</v>
      </c>
      <c r="L136" s="17" t="s">
        <v>137</v>
      </c>
      <c r="M136" s="17" t="s">
        <v>137</v>
      </c>
      <c r="N136" s="17" t="s">
        <v>137</v>
      </c>
      <c r="O136" s="17" t="s">
        <v>137</v>
      </c>
      <c r="P136" s="17" t="s">
        <v>137</v>
      </c>
      <c r="Q136" s="17" t="s">
        <v>137</v>
      </c>
      <c r="R136" s="11" t="s">
        <v>137</v>
      </c>
      <c r="S136" s="12" t="s">
        <v>137</v>
      </c>
      <c r="T136" s="11" t="s">
        <v>137</v>
      </c>
      <c r="U136" s="11" t="s">
        <v>137</v>
      </c>
      <c r="V136" s="11" t="s">
        <v>137</v>
      </c>
      <c r="W136" s="11" t="s">
        <v>137</v>
      </c>
      <c r="X136" s="11" t="s">
        <v>137</v>
      </c>
      <c r="Y136" s="11" t="s">
        <v>137</v>
      </c>
      <c r="Z136" s="11" t="s">
        <v>137</v>
      </c>
      <c r="AA136" s="11" t="s">
        <v>137</v>
      </c>
      <c r="AB136" s="11">
        <v>1</v>
      </c>
      <c r="AC136" s="11">
        <v>0</v>
      </c>
      <c r="AD136" s="11">
        <v>1</v>
      </c>
      <c r="AF136" s="11">
        <v>1</v>
      </c>
      <c r="AG136" s="11">
        <v>1</v>
      </c>
      <c r="AH136" s="11">
        <v>1</v>
      </c>
      <c r="AI136" s="11">
        <v>1</v>
      </c>
      <c r="AJ136" s="11">
        <v>1</v>
      </c>
      <c r="AK136" s="11">
        <v>1</v>
      </c>
      <c r="AL136" s="11" t="s">
        <v>137</v>
      </c>
      <c r="AM136" s="11" t="s">
        <v>137</v>
      </c>
    </row>
    <row r="137" spans="1:39" ht="16">
      <c r="A137" s="11" t="s">
        <v>137</v>
      </c>
      <c r="B137" s="11" t="s">
        <v>137</v>
      </c>
      <c r="C137" s="11" t="s">
        <v>137</v>
      </c>
      <c r="E137" s="11" t="s">
        <v>137</v>
      </c>
      <c r="F137" s="11" t="s">
        <v>137</v>
      </c>
      <c r="G137" s="11" t="s">
        <v>137</v>
      </c>
      <c r="H137" s="11">
        <v>1</v>
      </c>
      <c r="I137" s="11">
        <v>1</v>
      </c>
      <c r="J137" s="11">
        <v>1</v>
      </c>
      <c r="K137" s="17">
        <v>1</v>
      </c>
      <c r="L137" s="17">
        <v>1</v>
      </c>
      <c r="M137" s="17">
        <v>1</v>
      </c>
      <c r="N137" s="17">
        <v>1</v>
      </c>
      <c r="O137" s="17">
        <v>1</v>
      </c>
      <c r="P137" s="17">
        <v>1</v>
      </c>
      <c r="Q137" s="17">
        <v>1</v>
      </c>
      <c r="R137" s="11">
        <v>1</v>
      </c>
      <c r="S137" s="12">
        <v>1</v>
      </c>
      <c r="T137" s="11">
        <v>1</v>
      </c>
      <c r="U137" s="11">
        <v>1</v>
      </c>
      <c r="V137" s="11">
        <v>1</v>
      </c>
      <c r="W137" s="11">
        <v>1</v>
      </c>
      <c r="X137" s="11">
        <v>1</v>
      </c>
      <c r="Y137" s="11">
        <v>1</v>
      </c>
      <c r="Z137" s="11">
        <v>1</v>
      </c>
      <c r="AA137" s="11">
        <v>1</v>
      </c>
      <c r="AB137" s="11">
        <v>1</v>
      </c>
      <c r="AC137" s="11">
        <v>1</v>
      </c>
      <c r="AD137" s="11">
        <v>1</v>
      </c>
      <c r="AF137" s="11">
        <v>1</v>
      </c>
      <c r="AG137" s="11">
        <v>1</v>
      </c>
      <c r="AH137" s="11">
        <v>1</v>
      </c>
      <c r="AI137" s="11">
        <v>1</v>
      </c>
      <c r="AJ137" s="11">
        <v>1</v>
      </c>
      <c r="AK137" s="11">
        <v>1</v>
      </c>
      <c r="AL137" s="11" t="s">
        <v>137</v>
      </c>
      <c r="AM137" s="11" t="s">
        <v>137</v>
      </c>
    </row>
    <row r="138" spans="1:39" ht="16">
      <c r="A138" s="11" t="s">
        <v>137</v>
      </c>
      <c r="B138" s="11" t="s">
        <v>137</v>
      </c>
      <c r="C138" s="11" t="s">
        <v>137</v>
      </c>
      <c r="E138" s="11" t="s">
        <v>137</v>
      </c>
      <c r="F138" s="11" t="s">
        <v>137</v>
      </c>
      <c r="G138" s="11" t="s">
        <v>137</v>
      </c>
      <c r="H138" s="11" t="s">
        <v>137</v>
      </c>
      <c r="I138" s="11" t="s">
        <v>137</v>
      </c>
      <c r="J138" s="11" t="s">
        <v>137</v>
      </c>
      <c r="K138" s="17" t="s">
        <v>137</v>
      </c>
      <c r="L138" s="17" t="s">
        <v>137</v>
      </c>
      <c r="M138" s="17" t="s">
        <v>137</v>
      </c>
      <c r="N138" s="17" t="s">
        <v>137</v>
      </c>
      <c r="O138" s="17" t="s">
        <v>137</v>
      </c>
      <c r="P138" s="17" t="s">
        <v>137</v>
      </c>
      <c r="Q138" s="17" t="s">
        <v>137</v>
      </c>
      <c r="R138" s="11" t="s">
        <v>137</v>
      </c>
      <c r="S138" s="12" t="s">
        <v>137</v>
      </c>
      <c r="T138" s="11" t="s">
        <v>137</v>
      </c>
      <c r="U138" s="11" t="s">
        <v>137</v>
      </c>
      <c r="V138" s="11" t="s">
        <v>137</v>
      </c>
      <c r="W138" s="11" t="s">
        <v>137</v>
      </c>
      <c r="X138" s="11" t="s">
        <v>137</v>
      </c>
      <c r="Y138" s="11" t="s">
        <v>137</v>
      </c>
      <c r="Z138" s="11" t="s">
        <v>137</v>
      </c>
      <c r="AA138" s="11" t="s">
        <v>137</v>
      </c>
      <c r="AB138" s="11">
        <v>1</v>
      </c>
      <c r="AC138" s="11">
        <v>0</v>
      </c>
      <c r="AD138" s="11">
        <v>1</v>
      </c>
      <c r="AF138" s="11">
        <v>0</v>
      </c>
      <c r="AG138" s="11">
        <v>0</v>
      </c>
      <c r="AH138" s="11">
        <v>1</v>
      </c>
      <c r="AI138" s="11">
        <v>1</v>
      </c>
      <c r="AJ138" s="11">
        <v>1</v>
      </c>
      <c r="AK138" s="11">
        <v>1</v>
      </c>
      <c r="AL138" s="11" t="s">
        <v>137</v>
      </c>
      <c r="AM138" s="11" t="s">
        <v>137</v>
      </c>
    </row>
    <row r="139" spans="1:39" ht="16">
      <c r="A139" s="11" t="s">
        <v>137</v>
      </c>
      <c r="B139" s="11" t="s">
        <v>137</v>
      </c>
      <c r="C139" s="11" t="s">
        <v>137</v>
      </c>
      <c r="E139" s="11" t="s">
        <v>137</v>
      </c>
      <c r="F139" s="11" t="s">
        <v>137</v>
      </c>
      <c r="G139" s="11" t="s">
        <v>137</v>
      </c>
      <c r="H139" s="11">
        <v>1</v>
      </c>
      <c r="I139" s="11">
        <v>1</v>
      </c>
      <c r="J139" s="11">
        <v>1</v>
      </c>
      <c r="K139" s="17">
        <v>1</v>
      </c>
      <c r="L139" s="17">
        <v>1</v>
      </c>
      <c r="M139" s="17">
        <v>1</v>
      </c>
      <c r="N139" s="17">
        <v>1</v>
      </c>
      <c r="O139" s="17">
        <v>1</v>
      </c>
      <c r="P139" s="17">
        <v>1</v>
      </c>
      <c r="Q139" s="17">
        <v>1</v>
      </c>
      <c r="R139" s="11">
        <v>1</v>
      </c>
      <c r="S139" s="12">
        <v>1</v>
      </c>
      <c r="T139" s="11">
        <v>1</v>
      </c>
      <c r="U139" s="11">
        <v>1</v>
      </c>
      <c r="V139" s="11">
        <v>1</v>
      </c>
      <c r="W139" s="11">
        <v>1</v>
      </c>
      <c r="X139" s="11">
        <v>1</v>
      </c>
      <c r="Y139" s="11">
        <v>1</v>
      </c>
      <c r="Z139" s="11">
        <v>1</v>
      </c>
      <c r="AA139" s="11">
        <v>1</v>
      </c>
      <c r="AB139" s="11">
        <v>1</v>
      </c>
      <c r="AC139" s="11">
        <v>1</v>
      </c>
      <c r="AD139" s="11">
        <v>1</v>
      </c>
      <c r="AF139" s="11">
        <v>1</v>
      </c>
      <c r="AG139" s="11">
        <v>1</v>
      </c>
      <c r="AH139" s="11">
        <v>1</v>
      </c>
      <c r="AI139" s="11">
        <v>1</v>
      </c>
      <c r="AJ139" s="11">
        <v>1</v>
      </c>
      <c r="AK139" s="11">
        <v>1</v>
      </c>
      <c r="AL139" s="11" t="s">
        <v>137</v>
      </c>
      <c r="AM139" s="11" t="s">
        <v>137</v>
      </c>
    </row>
    <row r="140" spans="1:39" ht="16">
      <c r="A140" s="11" t="s">
        <v>137</v>
      </c>
      <c r="B140" s="11" t="s">
        <v>137</v>
      </c>
      <c r="C140" s="11" t="s">
        <v>137</v>
      </c>
      <c r="E140" s="11" t="s">
        <v>137</v>
      </c>
      <c r="F140" s="11" t="s">
        <v>137</v>
      </c>
      <c r="G140" s="11" t="s">
        <v>137</v>
      </c>
      <c r="H140" s="11" t="s">
        <v>137</v>
      </c>
      <c r="I140" s="11" t="s">
        <v>137</v>
      </c>
      <c r="J140" s="11" t="s">
        <v>137</v>
      </c>
      <c r="K140" s="17" t="s">
        <v>137</v>
      </c>
      <c r="L140" s="17" t="s">
        <v>137</v>
      </c>
      <c r="M140" s="17" t="s">
        <v>137</v>
      </c>
      <c r="N140" s="17" t="s">
        <v>137</v>
      </c>
      <c r="O140" s="17" t="s">
        <v>137</v>
      </c>
      <c r="P140" s="17" t="s">
        <v>137</v>
      </c>
      <c r="Q140" s="17" t="s">
        <v>137</v>
      </c>
      <c r="R140" s="11" t="s">
        <v>137</v>
      </c>
      <c r="S140" s="12" t="s">
        <v>137</v>
      </c>
      <c r="T140" s="11" t="s">
        <v>137</v>
      </c>
      <c r="U140" s="11" t="s">
        <v>137</v>
      </c>
      <c r="V140" s="11" t="s">
        <v>137</v>
      </c>
      <c r="W140" s="11" t="s">
        <v>137</v>
      </c>
      <c r="X140" s="11" t="s">
        <v>137</v>
      </c>
      <c r="Y140" s="11" t="s">
        <v>137</v>
      </c>
      <c r="Z140" s="11" t="s">
        <v>137</v>
      </c>
      <c r="AA140" s="11" t="s">
        <v>137</v>
      </c>
      <c r="AB140" s="11">
        <v>1</v>
      </c>
      <c r="AC140" s="11">
        <v>0</v>
      </c>
      <c r="AD140" s="11">
        <v>1</v>
      </c>
      <c r="AF140" s="11">
        <v>0</v>
      </c>
      <c r="AG140" s="11">
        <v>0</v>
      </c>
      <c r="AH140" s="11">
        <v>1</v>
      </c>
      <c r="AI140" s="11">
        <v>1</v>
      </c>
      <c r="AJ140" s="11">
        <v>1</v>
      </c>
      <c r="AK140" s="11">
        <v>1</v>
      </c>
      <c r="AL140" s="11" t="s">
        <v>137</v>
      </c>
      <c r="AM140" s="11" t="s">
        <v>137</v>
      </c>
    </row>
    <row r="141" spans="1:39" ht="16">
      <c r="A141" s="11" t="s">
        <v>137</v>
      </c>
      <c r="B141" s="11" t="s">
        <v>137</v>
      </c>
      <c r="C141" s="11" t="s">
        <v>137</v>
      </c>
      <c r="E141" s="11" t="s">
        <v>137</v>
      </c>
      <c r="F141" s="11" t="s">
        <v>137</v>
      </c>
      <c r="G141" s="11" t="s">
        <v>137</v>
      </c>
      <c r="H141" s="11">
        <v>1</v>
      </c>
      <c r="I141" s="11">
        <v>1</v>
      </c>
      <c r="J141" s="11">
        <v>1</v>
      </c>
      <c r="K141" s="17">
        <v>1</v>
      </c>
      <c r="L141" s="17">
        <v>1</v>
      </c>
      <c r="M141" s="17">
        <v>1</v>
      </c>
      <c r="N141" s="17">
        <v>1</v>
      </c>
      <c r="O141" s="17">
        <v>1</v>
      </c>
      <c r="P141" s="17">
        <v>1</v>
      </c>
      <c r="Q141" s="17">
        <v>1</v>
      </c>
      <c r="R141" s="11">
        <v>1</v>
      </c>
      <c r="S141" s="12">
        <v>1</v>
      </c>
      <c r="T141" s="11">
        <v>1</v>
      </c>
      <c r="U141" s="11">
        <v>1</v>
      </c>
      <c r="V141" s="11">
        <v>1</v>
      </c>
      <c r="W141" s="11">
        <v>1</v>
      </c>
      <c r="X141" s="11">
        <v>1</v>
      </c>
      <c r="Y141" s="11">
        <v>1</v>
      </c>
      <c r="Z141" s="11">
        <v>1</v>
      </c>
      <c r="AA141" s="11">
        <v>1</v>
      </c>
      <c r="AB141" s="11">
        <v>1</v>
      </c>
      <c r="AC141" s="11">
        <v>1</v>
      </c>
      <c r="AD141" s="11">
        <v>1</v>
      </c>
      <c r="AF141" s="11">
        <v>1</v>
      </c>
      <c r="AG141" s="11">
        <v>1</v>
      </c>
      <c r="AH141" s="11">
        <v>1</v>
      </c>
      <c r="AI141" s="11">
        <v>1</v>
      </c>
      <c r="AJ141" s="11">
        <v>1</v>
      </c>
      <c r="AK141" s="11">
        <v>1</v>
      </c>
      <c r="AL141" s="11" t="s">
        <v>137</v>
      </c>
      <c r="AM141" s="11" t="s">
        <v>137</v>
      </c>
    </row>
    <row r="142" spans="1:39" ht="16">
      <c r="A142" s="11" t="s">
        <v>137</v>
      </c>
      <c r="B142" s="11" t="s">
        <v>137</v>
      </c>
      <c r="C142" s="11" t="s">
        <v>137</v>
      </c>
      <c r="E142" s="11" t="s">
        <v>137</v>
      </c>
      <c r="F142" s="11" t="s">
        <v>137</v>
      </c>
      <c r="G142" s="11" t="s">
        <v>137</v>
      </c>
      <c r="H142" s="11" t="s">
        <v>137</v>
      </c>
      <c r="I142" s="11" t="s">
        <v>137</v>
      </c>
      <c r="J142" s="11" t="s">
        <v>137</v>
      </c>
      <c r="K142" s="17" t="s">
        <v>137</v>
      </c>
      <c r="L142" s="17" t="s">
        <v>137</v>
      </c>
      <c r="M142" s="17" t="s">
        <v>137</v>
      </c>
      <c r="N142" s="17" t="s">
        <v>137</v>
      </c>
      <c r="O142" s="17" t="s">
        <v>137</v>
      </c>
      <c r="P142" s="17" t="s">
        <v>137</v>
      </c>
      <c r="Q142" s="17" t="s">
        <v>137</v>
      </c>
      <c r="R142" s="11" t="s">
        <v>137</v>
      </c>
      <c r="S142" s="12" t="s">
        <v>137</v>
      </c>
      <c r="T142" s="11" t="s">
        <v>137</v>
      </c>
      <c r="U142" s="11" t="s">
        <v>137</v>
      </c>
      <c r="V142" s="11" t="s">
        <v>137</v>
      </c>
      <c r="W142" s="11" t="s">
        <v>137</v>
      </c>
      <c r="X142" s="11" t="s">
        <v>137</v>
      </c>
      <c r="Y142" s="11" t="s">
        <v>137</v>
      </c>
      <c r="Z142" s="11" t="s">
        <v>137</v>
      </c>
      <c r="AA142" s="11" t="s">
        <v>137</v>
      </c>
      <c r="AB142" s="11">
        <v>1</v>
      </c>
      <c r="AC142" s="11">
        <v>0</v>
      </c>
      <c r="AD142" s="11">
        <v>1</v>
      </c>
      <c r="AF142" s="11">
        <v>1</v>
      </c>
      <c r="AG142" s="11">
        <v>1</v>
      </c>
      <c r="AH142" s="11">
        <v>1</v>
      </c>
      <c r="AI142" s="11">
        <v>1</v>
      </c>
      <c r="AJ142" s="11">
        <v>1</v>
      </c>
      <c r="AK142" s="11">
        <v>1</v>
      </c>
      <c r="AL142" s="11" t="s">
        <v>137</v>
      </c>
      <c r="AM142" s="11" t="s">
        <v>137</v>
      </c>
    </row>
    <row r="143" spans="1:39" ht="16">
      <c r="A143" s="11">
        <v>1</v>
      </c>
      <c r="B143" s="11">
        <v>1</v>
      </c>
      <c r="C143" s="11">
        <v>1</v>
      </c>
      <c r="E143" s="11">
        <v>1</v>
      </c>
      <c r="F143" s="11">
        <v>1</v>
      </c>
      <c r="G143" s="11">
        <v>1</v>
      </c>
      <c r="H143" s="11">
        <v>1</v>
      </c>
      <c r="I143" s="11">
        <v>1</v>
      </c>
      <c r="J143" s="11">
        <v>1</v>
      </c>
      <c r="K143" s="17">
        <v>1</v>
      </c>
      <c r="L143" s="17">
        <v>1</v>
      </c>
      <c r="M143" s="17">
        <v>1</v>
      </c>
      <c r="N143" s="17">
        <v>1</v>
      </c>
      <c r="O143" s="17">
        <v>1</v>
      </c>
      <c r="P143" s="17">
        <v>1</v>
      </c>
      <c r="Q143" s="17">
        <v>1</v>
      </c>
      <c r="R143" s="11">
        <v>1</v>
      </c>
      <c r="S143" s="12">
        <v>1</v>
      </c>
      <c r="T143" s="11">
        <v>1</v>
      </c>
      <c r="U143" s="11">
        <v>1</v>
      </c>
      <c r="V143" s="11">
        <v>1</v>
      </c>
      <c r="W143" s="11">
        <v>1</v>
      </c>
      <c r="X143" s="11">
        <v>1</v>
      </c>
      <c r="Y143" s="11">
        <v>1</v>
      </c>
      <c r="Z143" s="11">
        <v>1</v>
      </c>
      <c r="AA143" s="11">
        <v>1</v>
      </c>
      <c r="AB143" s="11">
        <v>1</v>
      </c>
      <c r="AC143" s="11">
        <v>1</v>
      </c>
      <c r="AD143" s="11">
        <v>1</v>
      </c>
      <c r="AF143" s="11">
        <v>1</v>
      </c>
      <c r="AG143" s="11">
        <v>1</v>
      </c>
      <c r="AH143" s="11">
        <v>1</v>
      </c>
      <c r="AI143" s="11">
        <v>1</v>
      </c>
      <c r="AJ143" s="11">
        <v>1</v>
      </c>
      <c r="AK143" s="11">
        <v>1</v>
      </c>
      <c r="AL143" s="11" t="s">
        <v>137</v>
      </c>
      <c r="AM143" s="11" t="s">
        <v>137</v>
      </c>
    </row>
    <row r="144" spans="1:39" ht="16">
      <c r="A144" s="11" t="s">
        <v>137</v>
      </c>
      <c r="B144" s="11" t="s">
        <v>137</v>
      </c>
      <c r="C144" s="11" t="s">
        <v>137</v>
      </c>
      <c r="E144" s="11" t="s">
        <v>137</v>
      </c>
      <c r="F144" s="11" t="s">
        <v>137</v>
      </c>
      <c r="G144" s="11" t="s">
        <v>137</v>
      </c>
      <c r="H144" s="11">
        <v>1</v>
      </c>
      <c r="I144" s="11">
        <v>1</v>
      </c>
      <c r="J144" s="11">
        <v>1</v>
      </c>
      <c r="K144" s="17">
        <v>1</v>
      </c>
      <c r="L144" s="17">
        <v>1</v>
      </c>
      <c r="M144" s="17">
        <v>1</v>
      </c>
      <c r="N144" s="17">
        <v>1</v>
      </c>
      <c r="O144" s="17">
        <v>1</v>
      </c>
      <c r="P144" s="17">
        <v>1</v>
      </c>
      <c r="Q144" s="17">
        <v>1</v>
      </c>
      <c r="R144" s="11">
        <v>1</v>
      </c>
      <c r="S144" s="12">
        <v>1</v>
      </c>
      <c r="T144" s="11">
        <v>1</v>
      </c>
      <c r="U144" s="11">
        <v>1</v>
      </c>
      <c r="V144" s="11">
        <v>1</v>
      </c>
      <c r="W144" s="11">
        <v>1</v>
      </c>
      <c r="X144" s="11">
        <v>1</v>
      </c>
      <c r="Y144" s="11">
        <v>1</v>
      </c>
      <c r="Z144" s="11">
        <v>1</v>
      </c>
      <c r="AA144" s="11">
        <v>1</v>
      </c>
      <c r="AB144" s="11">
        <v>1</v>
      </c>
      <c r="AC144" s="11">
        <v>1</v>
      </c>
      <c r="AD144" s="11">
        <v>1</v>
      </c>
      <c r="AF144" s="11">
        <v>1</v>
      </c>
      <c r="AG144" s="11">
        <v>1</v>
      </c>
      <c r="AH144" s="11">
        <v>1</v>
      </c>
      <c r="AI144" s="11">
        <v>1</v>
      </c>
      <c r="AJ144" s="11">
        <v>1</v>
      </c>
      <c r="AK144" s="11">
        <v>1</v>
      </c>
      <c r="AL144" s="11" t="s">
        <v>137</v>
      </c>
      <c r="AM144" s="11" t="s">
        <v>137</v>
      </c>
    </row>
    <row r="145" spans="1:39" ht="16">
      <c r="A145" s="11" t="s">
        <v>137</v>
      </c>
      <c r="B145" s="11" t="s">
        <v>137</v>
      </c>
      <c r="C145" s="11" t="s">
        <v>137</v>
      </c>
      <c r="E145" s="11" t="s">
        <v>137</v>
      </c>
      <c r="F145" s="11" t="s">
        <v>137</v>
      </c>
      <c r="G145" s="11" t="s">
        <v>137</v>
      </c>
      <c r="H145" s="11">
        <v>1</v>
      </c>
      <c r="I145" s="11">
        <v>1</v>
      </c>
      <c r="J145" s="11">
        <v>1</v>
      </c>
      <c r="K145" s="17">
        <v>1</v>
      </c>
      <c r="L145" s="17">
        <v>1</v>
      </c>
      <c r="M145" s="17">
        <v>1</v>
      </c>
      <c r="N145" s="17">
        <v>1</v>
      </c>
      <c r="O145" s="17">
        <v>1</v>
      </c>
      <c r="P145" s="17">
        <v>1</v>
      </c>
      <c r="Q145" s="17">
        <v>1</v>
      </c>
      <c r="R145" s="11">
        <v>1</v>
      </c>
      <c r="S145" s="12">
        <v>1</v>
      </c>
      <c r="T145" s="11">
        <v>1</v>
      </c>
      <c r="U145" s="11">
        <v>1</v>
      </c>
      <c r="V145" s="11">
        <v>1</v>
      </c>
      <c r="W145" s="11">
        <v>1</v>
      </c>
      <c r="X145" s="11">
        <v>1</v>
      </c>
      <c r="Y145" s="11">
        <v>1</v>
      </c>
      <c r="Z145" s="11">
        <v>1</v>
      </c>
      <c r="AA145" s="11">
        <v>1</v>
      </c>
      <c r="AB145" s="11">
        <v>1</v>
      </c>
      <c r="AC145" s="11">
        <v>1</v>
      </c>
      <c r="AD145" s="11">
        <v>1</v>
      </c>
      <c r="AF145" s="11">
        <v>1</v>
      </c>
      <c r="AG145" s="11">
        <v>1</v>
      </c>
      <c r="AH145" s="11">
        <v>1</v>
      </c>
      <c r="AI145" s="11">
        <v>1</v>
      </c>
      <c r="AJ145" s="11">
        <v>1</v>
      </c>
      <c r="AK145" s="11">
        <v>1</v>
      </c>
      <c r="AL145" s="11" t="s">
        <v>137</v>
      </c>
      <c r="AM145" s="11" t="s">
        <v>137</v>
      </c>
    </row>
    <row r="146" spans="1:39" ht="16">
      <c r="A146" s="11" t="s">
        <v>137</v>
      </c>
      <c r="B146" s="11" t="s">
        <v>137</v>
      </c>
      <c r="C146" s="11" t="s">
        <v>137</v>
      </c>
      <c r="E146" s="11" t="s">
        <v>137</v>
      </c>
      <c r="F146" s="11" t="s">
        <v>137</v>
      </c>
      <c r="G146" s="11" t="s">
        <v>137</v>
      </c>
      <c r="H146" s="11">
        <v>1</v>
      </c>
      <c r="I146" s="11">
        <v>1</v>
      </c>
      <c r="J146" s="11">
        <v>1</v>
      </c>
      <c r="K146" s="17">
        <v>1</v>
      </c>
      <c r="L146" s="17">
        <v>1</v>
      </c>
      <c r="M146" s="17">
        <v>1</v>
      </c>
      <c r="N146" s="17">
        <v>1</v>
      </c>
      <c r="O146" s="17">
        <v>1</v>
      </c>
      <c r="P146" s="17">
        <v>1</v>
      </c>
      <c r="Q146" s="17">
        <v>1</v>
      </c>
      <c r="R146" s="11">
        <v>1</v>
      </c>
      <c r="S146" s="12">
        <v>1</v>
      </c>
      <c r="T146" s="11">
        <v>1</v>
      </c>
      <c r="U146" s="11">
        <v>1</v>
      </c>
      <c r="V146" s="11">
        <v>1</v>
      </c>
      <c r="W146" s="11">
        <v>1</v>
      </c>
      <c r="X146" s="11">
        <v>1</v>
      </c>
      <c r="Y146" s="11">
        <v>1</v>
      </c>
      <c r="Z146" s="11">
        <v>1</v>
      </c>
      <c r="AA146" s="11">
        <v>1</v>
      </c>
      <c r="AB146" s="11">
        <v>1</v>
      </c>
      <c r="AC146" s="11">
        <v>1</v>
      </c>
      <c r="AD146" s="11">
        <v>1</v>
      </c>
      <c r="AF146" s="11">
        <v>1</v>
      </c>
      <c r="AG146" s="11">
        <v>1</v>
      </c>
      <c r="AH146" s="11">
        <v>1</v>
      </c>
      <c r="AI146" s="11">
        <v>1</v>
      </c>
      <c r="AJ146" s="11">
        <v>1</v>
      </c>
      <c r="AK146" s="11">
        <v>1</v>
      </c>
      <c r="AL146" s="11" t="s">
        <v>137</v>
      </c>
      <c r="AM146" s="11" t="s">
        <v>137</v>
      </c>
    </row>
    <row r="147" spans="1:39" ht="16">
      <c r="A147" s="11" t="s">
        <v>137</v>
      </c>
      <c r="B147" s="11" t="s">
        <v>137</v>
      </c>
      <c r="C147" s="11" t="s">
        <v>137</v>
      </c>
      <c r="E147" s="11" t="s">
        <v>137</v>
      </c>
      <c r="F147" s="11" t="s">
        <v>137</v>
      </c>
      <c r="G147" s="11" t="s">
        <v>137</v>
      </c>
      <c r="H147" s="11">
        <v>1</v>
      </c>
      <c r="I147" s="11">
        <v>1</v>
      </c>
      <c r="J147" s="11">
        <v>1</v>
      </c>
      <c r="K147" s="17">
        <v>1</v>
      </c>
      <c r="L147" s="17">
        <v>1</v>
      </c>
      <c r="M147" s="17">
        <v>1</v>
      </c>
      <c r="N147" s="17">
        <v>1</v>
      </c>
      <c r="O147" s="17">
        <v>1</v>
      </c>
      <c r="P147" s="17">
        <v>1</v>
      </c>
      <c r="Q147" s="17">
        <v>1</v>
      </c>
      <c r="R147" s="11">
        <v>1</v>
      </c>
      <c r="S147" s="12">
        <v>1</v>
      </c>
      <c r="T147" s="11">
        <v>1</v>
      </c>
      <c r="U147" s="11">
        <v>1</v>
      </c>
      <c r="V147" s="11">
        <v>1</v>
      </c>
      <c r="W147" s="11">
        <v>1</v>
      </c>
      <c r="X147" s="11">
        <v>1</v>
      </c>
      <c r="Y147" s="11">
        <v>1</v>
      </c>
      <c r="Z147" s="11">
        <v>1</v>
      </c>
      <c r="AA147" s="11">
        <v>1</v>
      </c>
      <c r="AB147" s="11">
        <v>1</v>
      </c>
      <c r="AC147" s="11">
        <v>1</v>
      </c>
      <c r="AD147" s="11">
        <v>1</v>
      </c>
      <c r="AF147" s="11">
        <v>1</v>
      </c>
      <c r="AG147" s="11">
        <v>1</v>
      </c>
      <c r="AH147" s="11">
        <v>1</v>
      </c>
      <c r="AI147" s="11">
        <v>1</v>
      </c>
      <c r="AJ147" s="11">
        <v>1</v>
      </c>
      <c r="AK147" s="11">
        <v>1</v>
      </c>
      <c r="AL147" s="11" t="s">
        <v>137</v>
      </c>
      <c r="AM147" s="11" t="s">
        <v>137</v>
      </c>
    </row>
    <row r="148" spans="1:39" ht="16">
      <c r="A148" s="11" t="s">
        <v>137</v>
      </c>
      <c r="B148" s="11" t="s">
        <v>137</v>
      </c>
      <c r="C148" s="11" t="s">
        <v>137</v>
      </c>
      <c r="E148" s="11" t="s">
        <v>137</v>
      </c>
      <c r="F148" s="11" t="s">
        <v>137</v>
      </c>
      <c r="G148" s="11" t="s">
        <v>137</v>
      </c>
      <c r="H148" s="11">
        <v>1</v>
      </c>
      <c r="I148" s="11">
        <v>1</v>
      </c>
      <c r="J148" s="11">
        <v>1</v>
      </c>
      <c r="K148" s="17">
        <v>1</v>
      </c>
      <c r="L148" s="17">
        <v>1</v>
      </c>
      <c r="M148" s="17">
        <v>1</v>
      </c>
      <c r="N148" s="17">
        <v>1</v>
      </c>
      <c r="O148" s="17">
        <v>1</v>
      </c>
      <c r="P148" s="17">
        <v>1</v>
      </c>
      <c r="Q148" s="17">
        <v>1</v>
      </c>
      <c r="R148" s="11">
        <v>1</v>
      </c>
      <c r="S148" s="12">
        <v>1</v>
      </c>
      <c r="T148" s="11">
        <v>1</v>
      </c>
      <c r="U148" s="11">
        <v>1</v>
      </c>
      <c r="V148" s="11">
        <v>1</v>
      </c>
      <c r="W148" s="11">
        <v>1</v>
      </c>
      <c r="X148" s="11">
        <v>1</v>
      </c>
      <c r="Y148" s="11">
        <v>1</v>
      </c>
      <c r="Z148" s="11">
        <v>1</v>
      </c>
      <c r="AA148" s="11">
        <v>1</v>
      </c>
      <c r="AB148" s="11">
        <v>1</v>
      </c>
      <c r="AC148" s="11">
        <v>1</v>
      </c>
      <c r="AD148" s="11">
        <v>1</v>
      </c>
      <c r="AF148" s="11">
        <v>1</v>
      </c>
      <c r="AG148" s="11">
        <v>1</v>
      </c>
      <c r="AH148" s="11">
        <v>1</v>
      </c>
      <c r="AI148" s="11">
        <v>1</v>
      </c>
      <c r="AJ148" s="11">
        <v>1</v>
      </c>
      <c r="AK148" s="11">
        <v>1</v>
      </c>
      <c r="AL148" s="11" t="s">
        <v>137</v>
      </c>
      <c r="AM148" s="11" t="s">
        <v>137</v>
      </c>
    </row>
    <row r="149" spans="1:39" ht="16">
      <c r="A149" s="11" t="s">
        <v>137</v>
      </c>
      <c r="B149" s="11" t="s">
        <v>137</v>
      </c>
      <c r="C149" s="11" t="s">
        <v>137</v>
      </c>
      <c r="E149" s="11" t="s">
        <v>137</v>
      </c>
      <c r="F149" s="11" t="s">
        <v>137</v>
      </c>
      <c r="G149" s="11" t="s">
        <v>137</v>
      </c>
      <c r="H149" s="11">
        <v>1</v>
      </c>
      <c r="I149" s="11">
        <v>1</v>
      </c>
      <c r="J149" s="11">
        <v>1</v>
      </c>
      <c r="K149" s="17">
        <v>1</v>
      </c>
      <c r="L149" s="17">
        <v>1</v>
      </c>
      <c r="M149" s="17">
        <v>1</v>
      </c>
      <c r="N149" s="17">
        <v>1</v>
      </c>
      <c r="O149" s="17">
        <v>1</v>
      </c>
      <c r="P149" s="17">
        <v>1</v>
      </c>
      <c r="Q149" s="17">
        <v>1</v>
      </c>
      <c r="R149" s="11">
        <v>1</v>
      </c>
      <c r="S149" s="12">
        <v>1</v>
      </c>
      <c r="T149" s="11">
        <v>1</v>
      </c>
      <c r="U149" s="11">
        <v>1</v>
      </c>
      <c r="V149" s="11">
        <v>1</v>
      </c>
      <c r="W149" s="11">
        <v>1</v>
      </c>
      <c r="X149" s="11">
        <v>1</v>
      </c>
      <c r="Y149" s="11">
        <v>1</v>
      </c>
      <c r="Z149" s="11">
        <v>1</v>
      </c>
      <c r="AA149" s="11">
        <v>1</v>
      </c>
      <c r="AB149" s="11">
        <v>1</v>
      </c>
      <c r="AC149" s="11">
        <v>1</v>
      </c>
      <c r="AD149" s="11">
        <v>1</v>
      </c>
      <c r="AF149" s="11">
        <v>1</v>
      </c>
      <c r="AG149" s="11">
        <v>1</v>
      </c>
      <c r="AH149" s="11">
        <v>1</v>
      </c>
      <c r="AI149" s="11">
        <v>1</v>
      </c>
      <c r="AJ149" s="11">
        <v>1</v>
      </c>
      <c r="AK149" s="11">
        <v>1</v>
      </c>
      <c r="AL149" s="11" t="s">
        <v>137</v>
      </c>
      <c r="AM149" s="11" t="s">
        <v>137</v>
      </c>
    </row>
    <row r="150" spans="1:39" ht="16">
      <c r="A150" s="11" t="s">
        <v>137</v>
      </c>
      <c r="B150" s="11" t="s">
        <v>137</v>
      </c>
      <c r="C150" s="11" t="s">
        <v>137</v>
      </c>
      <c r="E150" s="11" t="s">
        <v>137</v>
      </c>
      <c r="F150" s="11" t="s">
        <v>137</v>
      </c>
      <c r="G150" s="11" t="s">
        <v>137</v>
      </c>
      <c r="H150" s="11">
        <v>1</v>
      </c>
      <c r="I150" s="11">
        <v>1</v>
      </c>
      <c r="J150" s="11">
        <v>1</v>
      </c>
      <c r="K150" s="17">
        <v>1</v>
      </c>
      <c r="L150" s="17">
        <v>1</v>
      </c>
      <c r="M150" s="17">
        <v>1</v>
      </c>
      <c r="N150" s="17">
        <v>1</v>
      </c>
      <c r="O150" s="17">
        <v>1</v>
      </c>
      <c r="P150" s="17">
        <v>1</v>
      </c>
      <c r="Q150" s="17">
        <v>1</v>
      </c>
      <c r="R150" s="11">
        <v>1</v>
      </c>
      <c r="S150" s="12">
        <v>1</v>
      </c>
      <c r="T150" s="11">
        <v>1</v>
      </c>
      <c r="U150" s="11">
        <v>1</v>
      </c>
      <c r="V150" s="11">
        <v>1</v>
      </c>
      <c r="W150" s="11">
        <v>1</v>
      </c>
      <c r="X150" s="11">
        <v>1</v>
      </c>
      <c r="Y150" s="11">
        <v>1</v>
      </c>
      <c r="Z150" s="11">
        <v>1</v>
      </c>
      <c r="AA150" s="11">
        <v>1</v>
      </c>
      <c r="AB150" s="11">
        <v>1</v>
      </c>
      <c r="AC150" s="11">
        <v>1</v>
      </c>
      <c r="AD150" s="11">
        <v>1</v>
      </c>
      <c r="AF150" s="11">
        <v>1</v>
      </c>
      <c r="AG150" s="11">
        <v>1</v>
      </c>
      <c r="AH150" s="11">
        <v>1</v>
      </c>
      <c r="AI150" s="11">
        <v>1</v>
      </c>
      <c r="AJ150" s="11">
        <v>1</v>
      </c>
      <c r="AK150" s="11">
        <v>1</v>
      </c>
      <c r="AL150" s="11" t="s">
        <v>137</v>
      </c>
      <c r="AM150" s="11" t="s">
        <v>137</v>
      </c>
    </row>
    <row r="151" spans="1:39" ht="16">
      <c r="A151" s="11" t="s">
        <v>137</v>
      </c>
      <c r="B151" s="11" t="s">
        <v>137</v>
      </c>
      <c r="C151" s="11" t="s">
        <v>137</v>
      </c>
      <c r="E151" s="11" t="s">
        <v>137</v>
      </c>
      <c r="F151" s="11" t="s">
        <v>137</v>
      </c>
      <c r="G151" s="11" t="s">
        <v>137</v>
      </c>
      <c r="H151" s="11">
        <v>1</v>
      </c>
      <c r="I151" s="11">
        <v>1</v>
      </c>
      <c r="J151" s="11">
        <v>1</v>
      </c>
      <c r="K151" s="17">
        <v>1</v>
      </c>
      <c r="L151" s="17">
        <v>1</v>
      </c>
      <c r="M151" s="17">
        <v>1</v>
      </c>
      <c r="N151" s="17">
        <v>1</v>
      </c>
      <c r="O151" s="17">
        <v>1</v>
      </c>
      <c r="P151" s="17">
        <v>1</v>
      </c>
      <c r="Q151" s="17">
        <v>1</v>
      </c>
      <c r="R151" s="11">
        <v>1</v>
      </c>
      <c r="S151" s="12">
        <v>1</v>
      </c>
      <c r="T151" s="11">
        <v>1</v>
      </c>
      <c r="U151" s="11">
        <v>1</v>
      </c>
      <c r="V151" s="11">
        <v>1</v>
      </c>
      <c r="W151" s="11">
        <v>1</v>
      </c>
      <c r="X151" s="11">
        <v>1</v>
      </c>
      <c r="Y151" s="11">
        <v>1</v>
      </c>
      <c r="Z151" s="11">
        <v>1</v>
      </c>
      <c r="AA151" s="11">
        <v>1</v>
      </c>
      <c r="AB151" s="11">
        <v>1</v>
      </c>
      <c r="AC151" s="11">
        <v>1</v>
      </c>
      <c r="AD151" s="11">
        <v>1</v>
      </c>
      <c r="AF151" s="11">
        <v>1</v>
      </c>
      <c r="AG151" s="11">
        <v>1</v>
      </c>
      <c r="AH151" s="11">
        <v>1</v>
      </c>
      <c r="AI151" s="11">
        <v>1</v>
      </c>
      <c r="AJ151" s="11">
        <v>1</v>
      </c>
      <c r="AK151" s="11">
        <v>1</v>
      </c>
      <c r="AL151" s="11" t="s">
        <v>137</v>
      </c>
      <c r="AM151" s="11" t="s">
        <v>137</v>
      </c>
    </row>
    <row r="152" spans="1:39" ht="16">
      <c r="A152" s="11" t="s">
        <v>137</v>
      </c>
      <c r="B152" s="11" t="s">
        <v>137</v>
      </c>
      <c r="C152" s="11" t="s">
        <v>137</v>
      </c>
      <c r="E152" s="11" t="s">
        <v>137</v>
      </c>
      <c r="F152" s="11" t="s">
        <v>137</v>
      </c>
      <c r="G152" s="11" t="s">
        <v>137</v>
      </c>
      <c r="H152" s="11">
        <v>1</v>
      </c>
      <c r="I152" s="11">
        <v>1</v>
      </c>
      <c r="J152" s="11">
        <v>1</v>
      </c>
      <c r="K152" s="17">
        <v>1</v>
      </c>
      <c r="L152" s="17">
        <v>1</v>
      </c>
      <c r="M152" s="17">
        <v>1</v>
      </c>
      <c r="N152" s="17">
        <v>1</v>
      </c>
      <c r="O152" s="17">
        <v>1</v>
      </c>
      <c r="P152" s="17">
        <v>1</v>
      </c>
      <c r="Q152" s="17">
        <v>1</v>
      </c>
      <c r="R152" s="11">
        <v>1</v>
      </c>
      <c r="S152" s="12">
        <v>1</v>
      </c>
      <c r="T152" s="11">
        <v>1</v>
      </c>
      <c r="U152" s="11">
        <v>1</v>
      </c>
      <c r="V152" s="11">
        <v>1</v>
      </c>
      <c r="W152" s="11">
        <v>1</v>
      </c>
      <c r="X152" s="11">
        <v>1</v>
      </c>
      <c r="Y152" s="11">
        <v>1</v>
      </c>
      <c r="Z152" s="11">
        <v>1</v>
      </c>
      <c r="AA152" s="11">
        <v>1</v>
      </c>
      <c r="AB152" s="11">
        <v>1</v>
      </c>
      <c r="AC152" s="11">
        <v>1</v>
      </c>
      <c r="AD152" s="11">
        <v>1</v>
      </c>
      <c r="AF152" s="11">
        <v>1</v>
      </c>
      <c r="AG152" s="11">
        <v>1</v>
      </c>
      <c r="AH152" s="11">
        <v>1</v>
      </c>
      <c r="AI152" s="11">
        <v>1</v>
      </c>
      <c r="AJ152" s="11">
        <v>1</v>
      </c>
      <c r="AK152" s="11">
        <v>1</v>
      </c>
      <c r="AL152" s="11" t="s">
        <v>137</v>
      </c>
      <c r="AM152" s="11" t="s">
        <v>137</v>
      </c>
    </row>
    <row r="153" spans="1:39" ht="16">
      <c r="A153" s="11" t="s">
        <v>137</v>
      </c>
      <c r="B153" s="11" t="s">
        <v>137</v>
      </c>
      <c r="C153" s="11" t="s">
        <v>137</v>
      </c>
      <c r="E153" s="11" t="s">
        <v>137</v>
      </c>
      <c r="F153" s="11" t="s">
        <v>137</v>
      </c>
      <c r="G153" s="11" t="s">
        <v>137</v>
      </c>
      <c r="H153" s="11">
        <v>1</v>
      </c>
      <c r="I153" s="11">
        <v>1</v>
      </c>
      <c r="J153" s="11">
        <v>1</v>
      </c>
      <c r="K153" s="17">
        <v>1</v>
      </c>
      <c r="L153" s="17">
        <v>1</v>
      </c>
      <c r="M153" s="17">
        <v>1</v>
      </c>
      <c r="N153" s="17">
        <v>1</v>
      </c>
      <c r="O153" s="17">
        <v>1</v>
      </c>
      <c r="P153" s="17">
        <v>1</v>
      </c>
      <c r="Q153" s="17">
        <v>1</v>
      </c>
      <c r="R153" s="11">
        <v>1</v>
      </c>
      <c r="S153" s="12">
        <v>1</v>
      </c>
      <c r="T153" s="11">
        <v>1</v>
      </c>
      <c r="U153" s="11">
        <v>1</v>
      </c>
      <c r="V153" s="11">
        <v>1</v>
      </c>
      <c r="W153" s="11">
        <v>1</v>
      </c>
      <c r="X153" s="11">
        <v>1</v>
      </c>
      <c r="Y153" s="11">
        <v>1</v>
      </c>
      <c r="Z153" s="11">
        <v>1</v>
      </c>
      <c r="AA153" s="11">
        <v>1</v>
      </c>
      <c r="AB153" s="11">
        <v>1</v>
      </c>
      <c r="AC153" s="11">
        <v>1</v>
      </c>
      <c r="AD153" s="11">
        <v>1</v>
      </c>
      <c r="AF153" s="11">
        <v>1</v>
      </c>
      <c r="AG153" s="11">
        <v>1</v>
      </c>
      <c r="AH153" s="11">
        <v>1</v>
      </c>
      <c r="AI153" s="11">
        <v>1</v>
      </c>
      <c r="AJ153" s="11">
        <v>1</v>
      </c>
      <c r="AK153" s="11">
        <v>1</v>
      </c>
      <c r="AL153" s="11" t="s">
        <v>137</v>
      </c>
      <c r="AM153" s="11" t="s">
        <v>137</v>
      </c>
    </row>
    <row r="154" spans="1:39" ht="16">
      <c r="A154" s="11" t="s">
        <v>137</v>
      </c>
      <c r="B154" s="11" t="s">
        <v>137</v>
      </c>
      <c r="C154" s="11" t="s">
        <v>137</v>
      </c>
      <c r="E154" s="11" t="s">
        <v>137</v>
      </c>
      <c r="F154" s="11" t="s">
        <v>137</v>
      </c>
      <c r="G154" s="11" t="s">
        <v>137</v>
      </c>
      <c r="H154" s="11">
        <v>1</v>
      </c>
      <c r="I154" s="11">
        <v>1</v>
      </c>
      <c r="J154" s="11">
        <v>1</v>
      </c>
      <c r="K154" s="17">
        <v>1</v>
      </c>
      <c r="L154" s="17">
        <v>1</v>
      </c>
      <c r="M154" s="17">
        <v>1</v>
      </c>
      <c r="N154" s="17">
        <v>1</v>
      </c>
      <c r="O154" s="17">
        <v>1</v>
      </c>
      <c r="P154" s="17">
        <v>1</v>
      </c>
      <c r="Q154" s="17">
        <v>1</v>
      </c>
      <c r="R154" s="11">
        <v>1</v>
      </c>
      <c r="S154" s="12">
        <v>1</v>
      </c>
      <c r="T154" s="11">
        <v>1</v>
      </c>
      <c r="U154" s="11">
        <v>1</v>
      </c>
      <c r="V154" s="11">
        <v>1</v>
      </c>
      <c r="W154" s="11">
        <v>1</v>
      </c>
      <c r="X154" s="11">
        <v>1</v>
      </c>
      <c r="Y154" s="11">
        <v>1</v>
      </c>
      <c r="Z154" s="11">
        <v>1</v>
      </c>
      <c r="AA154" s="11">
        <v>1</v>
      </c>
      <c r="AB154" s="11">
        <v>1</v>
      </c>
      <c r="AC154" s="11">
        <v>1</v>
      </c>
      <c r="AD154" s="11">
        <v>1</v>
      </c>
      <c r="AF154" s="11">
        <v>1</v>
      </c>
      <c r="AG154" s="11">
        <v>1</v>
      </c>
      <c r="AH154" s="11">
        <v>1</v>
      </c>
      <c r="AI154" s="11">
        <v>1</v>
      </c>
      <c r="AJ154" s="11">
        <v>1</v>
      </c>
      <c r="AK154" s="11">
        <v>1</v>
      </c>
      <c r="AL154" s="11" t="s">
        <v>137</v>
      </c>
      <c r="AM154" s="11" t="s">
        <v>137</v>
      </c>
    </row>
    <row r="155" spans="1:39" ht="16">
      <c r="A155" s="11" t="s">
        <v>137</v>
      </c>
      <c r="B155" s="11" t="s">
        <v>137</v>
      </c>
      <c r="C155" s="11" t="s">
        <v>137</v>
      </c>
      <c r="E155" s="11" t="s">
        <v>137</v>
      </c>
      <c r="F155" s="11" t="s">
        <v>137</v>
      </c>
      <c r="G155" s="11" t="s">
        <v>137</v>
      </c>
      <c r="H155" s="11">
        <v>1</v>
      </c>
      <c r="I155" s="11">
        <v>1</v>
      </c>
      <c r="J155" s="11">
        <v>1</v>
      </c>
      <c r="K155" s="17">
        <v>1</v>
      </c>
      <c r="L155" s="17">
        <v>1</v>
      </c>
      <c r="M155" s="17">
        <v>1</v>
      </c>
      <c r="N155" s="17">
        <v>1</v>
      </c>
      <c r="O155" s="17">
        <v>1</v>
      </c>
      <c r="P155" s="17">
        <v>1</v>
      </c>
      <c r="Q155" s="17">
        <v>1</v>
      </c>
      <c r="R155" s="11">
        <v>1</v>
      </c>
      <c r="S155" s="12">
        <v>1</v>
      </c>
      <c r="T155" s="11">
        <v>1</v>
      </c>
      <c r="U155" s="11">
        <v>1</v>
      </c>
      <c r="V155" s="11">
        <v>1</v>
      </c>
      <c r="W155" s="11">
        <v>1</v>
      </c>
      <c r="X155" s="11">
        <v>1</v>
      </c>
      <c r="Y155" s="11">
        <v>1</v>
      </c>
      <c r="Z155" s="11">
        <v>1</v>
      </c>
      <c r="AA155" s="11">
        <v>1</v>
      </c>
      <c r="AB155" s="11">
        <v>1</v>
      </c>
      <c r="AC155" s="11">
        <v>1</v>
      </c>
      <c r="AD155" s="11">
        <v>1</v>
      </c>
      <c r="AF155" s="11">
        <v>1</v>
      </c>
      <c r="AG155" s="11">
        <v>1</v>
      </c>
      <c r="AH155" s="11">
        <v>1</v>
      </c>
      <c r="AI155" s="11">
        <v>1</v>
      </c>
      <c r="AJ155" s="11">
        <v>1</v>
      </c>
      <c r="AK155" s="11">
        <v>1</v>
      </c>
      <c r="AL155" s="11" t="s">
        <v>137</v>
      </c>
      <c r="AM155" s="11" t="s">
        <v>137</v>
      </c>
    </row>
    <row r="156" spans="1:39" ht="16">
      <c r="A156" s="11" t="s">
        <v>137</v>
      </c>
      <c r="B156" s="11" t="s">
        <v>137</v>
      </c>
      <c r="C156" s="11" t="s">
        <v>137</v>
      </c>
      <c r="E156" s="11" t="s">
        <v>137</v>
      </c>
      <c r="F156" s="11" t="s">
        <v>137</v>
      </c>
      <c r="G156" s="11" t="s">
        <v>137</v>
      </c>
      <c r="H156" s="11">
        <v>1</v>
      </c>
      <c r="I156" s="11">
        <v>1</v>
      </c>
      <c r="J156" s="11">
        <v>1</v>
      </c>
      <c r="K156" s="17">
        <v>1</v>
      </c>
      <c r="L156" s="17">
        <v>1</v>
      </c>
      <c r="M156" s="17">
        <v>1</v>
      </c>
      <c r="N156" s="17">
        <v>1</v>
      </c>
      <c r="O156" s="17">
        <v>1</v>
      </c>
      <c r="P156" s="17">
        <v>1</v>
      </c>
      <c r="Q156" s="17">
        <v>1</v>
      </c>
      <c r="R156" s="11">
        <v>1</v>
      </c>
      <c r="S156" s="12">
        <v>1</v>
      </c>
      <c r="T156" s="11">
        <v>1</v>
      </c>
      <c r="U156" s="11">
        <v>1</v>
      </c>
      <c r="V156" s="11">
        <v>1</v>
      </c>
      <c r="W156" s="11">
        <v>1</v>
      </c>
      <c r="X156" s="11">
        <v>1</v>
      </c>
      <c r="Y156" s="11">
        <v>1</v>
      </c>
      <c r="Z156" s="11">
        <v>1</v>
      </c>
      <c r="AA156" s="11">
        <v>1</v>
      </c>
      <c r="AB156" s="11">
        <v>1</v>
      </c>
      <c r="AC156" s="11">
        <v>1</v>
      </c>
      <c r="AD156" s="11">
        <v>1</v>
      </c>
      <c r="AF156" s="11">
        <v>1</v>
      </c>
      <c r="AG156" s="11">
        <v>1</v>
      </c>
      <c r="AH156" s="11">
        <v>1</v>
      </c>
      <c r="AI156" s="11">
        <v>1</v>
      </c>
      <c r="AJ156" s="11">
        <v>1</v>
      </c>
      <c r="AK156" s="11">
        <v>1</v>
      </c>
      <c r="AL156" s="11" t="s">
        <v>137</v>
      </c>
      <c r="AM156" s="11" t="s">
        <v>137</v>
      </c>
    </row>
    <row r="157" spans="1:39" ht="16">
      <c r="A157" s="11" t="s">
        <v>137</v>
      </c>
      <c r="B157" s="11" t="s">
        <v>137</v>
      </c>
      <c r="C157" s="11" t="s">
        <v>137</v>
      </c>
      <c r="E157" s="11" t="s">
        <v>137</v>
      </c>
      <c r="F157" s="11" t="s">
        <v>137</v>
      </c>
      <c r="G157" s="11" t="s">
        <v>137</v>
      </c>
      <c r="H157" s="11">
        <v>1</v>
      </c>
      <c r="I157" s="11">
        <v>1</v>
      </c>
      <c r="J157" s="11">
        <v>1</v>
      </c>
      <c r="K157" s="17">
        <v>1</v>
      </c>
      <c r="L157" s="17">
        <v>1</v>
      </c>
      <c r="M157" s="17">
        <v>1</v>
      </c>
      <c r="N157" s="17">
        <v>1</v>
      </c>
      <c r="O157" s="17">
        <v>1</v>
      </c>
      <c r="P157" s="17">
        <v>1</v>
      </c>
      <c r="Q157" s="17">
        <v>1</v>
      </c>
      <c r="R157" s="11">
        <v>1</v>
      </c>
      <c r="S157" s="12">
        <v>1</v>
      </c>
      <c r="T157" s="11">
        <v>1</v>
      </c>
      <c r="U157" s="11">
        <v>1</v>
      </c>
      <c r="V157" s="11">
        <v>1</v>
      </c>
      <c r="W157" s="11">
        <v>1</v>
      </c>
      <c r="X157" s="11">
        <v>1</v>
      </c>
      <c r="Y157" s="11">
        <v>1</v>
      </c>
      <c r="Z157" s="11">
        <v>1</v>
      </c>
      <c r="AA157" s="11">
        <v>1</v>
      </c>
      <c r="AB157" s="11">
        <v>1</v>
      </c>
      <c r="AC157" s="11">
        <v>1</v>
      </c>
      <c r="AD157" s="11">
        <v>1</v>
      </c>
      <c r="AF157" s="11">
        <v>1</v>
      </c>
      <c r="AG157" s="11">
        <v>1</v>
      </c>
      <c r="AH157" s="11">
        <v>1</v>
      </c>
      <c r="AI157" s="11">
        <v>1</v>
      </c>
      <c r="AJ157" s="11">
        <v>1</v>
      </c>
      <c r="AK157" s="11">
        <v>1</v>
      </c>
      <c r="AL157" s="11" t="s">
        <v>137</v>
      </c>
      <c r="AM157" s="11" t="s">
        <v>137</v>
      </c>
    </row>
    <row r="158" spans="1:39" ht="16">
      <c r="A158" s="11" t="s">
        <v>137</v>
      </c>
      <c r="B158" s="11" t="s">
        <v>137</v>
      </c>
      <c r="C158" s="11" t="s">
        <v>137</v>
      </c>
      <c r="E158" s="11" t="s">
        <v>137</v>
      </c>
      <c r="F158" s="11" t="s">
        <v>137</v>
      </c>
      <c r="G158" s="11" t="s">
        <v>137</v>
      </c>
      <c r="H158" s="11">
        <v>1</v>
      </c>
      <c r="I158" s="11">
        <v>1</v>
      </c>
      <c r="J158" s="11">
        <v>1</v>
      </c>
      <c r="K158" s="17">
        <v>1</v>
      </c>
      <c r="L158" s="17">
        <v>1</v>
      </c>
      <c r="M158" s="17">
        <v>1</v>
      </c>
      <c r="N158" s="17">
        <v>1</v>
      </c>
      <c r="O158" s="17">
        <v>1</v>
      </c>
      <c r="P158" s="17">
        <v>1</v>
      </c>
      <c r="Q158" s="17">
        <v>1</v>
      </c>
      <c r="R158" s="11">
        <v>1</v>
      </c>
      <c r="S158" s="12">
        <v>1</v>
      </c>
      <c r="T158" s="11">
        <v>1</v>
      </c>
      <c r="U158" s="11">
        <v>1</v>
      </c>
      <c r="V158" s="11">
        <v>1</v>
      </c>
      <c r="W158" s="11">
        <v>1</v>
      </c>
      <c r="X158" s="11">
        <v>1</v>
      </c>
      <c r="Y158" s="11">
        <v>1</v>
      </c>
      <c r="Z158" s="11">
        <v>1</v>
      </c>
      <c r="AA158" s="11">
        <v>1</v>
      </c>
      <c r="AB158" s="11">
        <v>1</v>
      </c>
      <c r="AC158" s="11">
        <v>1</v>
      </c>
      <c r="AD158" s="11">
        <v>1</v>
      </c>
      <c r="AF158" s="11">
        <v>1</v>
      </c>
      <c r="AG158" s="11">
        <v>1</v>
      </c>
      <c r="AH158" s="11">
        <v>1</v>
      </c>
      <c r="AI158" s="11">
        <v>1</v>
      </c>
      <c r="AJ158" s="11">
        <v>1</v>
      </c>
      <c r="AK158" s="11">
        <v>1</v>
      </c>
      <c r="AL158" s="11" t="s">
        <v>137</v>
      </c>
      <c r="AM158" s="11" t="s">
        <v>137</v>
      </c>
    </row>
    <row r="159" spans="1:39" ht="16">
      <c r="A159" s="11" t="s">
        <v>137</v>
      </c>
      <c r="B159" s="11" t="s">
        <v>137</v>
      </c>
      <c r="C159" s="11" t="s">
        <v>137</v>
      </c>
      <c r="E159" s="11" t="s">
        <v>137</v>
      </c>
      <c r="F159" s="11" t="s">
        <v>137</v>
      </c>
      <c r="G159" s="11" t="s">
        <v>137</v>
      </c>
      <c r="H159" s="11">
        <v>1</v>
      </c>
      <c r="I159" s="11">
        <v>1</v>
      </c>
      <c r="J159" s="11">
        <v>1</v>
      </c>
      <c r="K159" s="17">
        <v>1</v>
      </c>
      <c r="L159" s="17">
        <v>1</v>
      </c>
      <c r="M159" s="17">
        <v>1</v>
      </c>
      <c r="N159" s="17">
        <v>1</v>
      </c>
      <c r="O159" s="17">
        <v>1</v>
      </c>
      <c r="P159" s="17">
        <v>1</v>
      </c>
      <c r="Q159" s="17">
        <v>1</v>
      </c>
      <c r="R159" s="11">
        <v>1</v>
      </c>
      <c r="S159" s="12">
        <v>1</v>
      </c>
      <c r="T159" s="11">
        <v>1</v>
      </c>
      <c r="U159" s="11">
        <v>1</v>
      </c>
      <c r="V159" s="11">
        <v>1</v>
      </c>
      <c r="W159" s="11">
        <v>1</v>
      </c>
      <c r="X159" s="11">
        <v>1</v>
      </c>
      <c r="Y159" s="11">
        <v>1</v>
      </c>
      <c r="Z159" s="11">
        <v>1</v>
      </c>
      <c r="AA159" s="11">
        <v>1</v>
      </c>
      <c r="AB159" s="11">
        <v>1</v>
      </c>
      <c r="AC159" s="11">
        <v>1</v>
      </c>
      <c r="AD159" s="11">
        <v>1</v>
      </c>
      <c r="AF159" s="11">
        <v>1</v>
      </c>
      <c r="AG159" s="11">
        <v>1</v>
      </c>
      <c r="AH159" s="11">
        <v>1</v>
      </c>
      <c r="AI159" s="11">
        <v>1</v>
      </c>
      <c r="AJ159" s="11">
        <v>1</v>
      </c>
      <c r="AK159" s="11">
        <v>1</v>
      </c>
      <c r="AL159" s="11" t="s">
        <v>137</v>
      </c>
      <c r="AM159" s="11" t="s">
        <v>137</v>
      </c>
    </row>
    <row r="160" spans="1:39" ht="16">
      <c r="A160" s="11" t="s">
        <v>137</v>
      </c>
      <c r="B160" s="11" t="s">
        <v>137</v>
      </c>
      <c r="C160" s="11" t="s">
        <v>137</v>
      </c>
      <c r="E160" s="11" t="s">
        <v>137</v>
      </c>
      <c r="F160" s="11" t="s">
        <v>137</v>
      </c>
      <c r="G160" s="11" t="s">
        <v>137</v>
      </c>
      <c r="H160" s="11">
        <v>1</v>
      </c>
      <c r="I160" s="11">
        <v>1</v>
      </c>
      <c r="J160" s="11">
        <v>1</v>
      </c>
      <c r="K160" s="17">
        <v>1</v>
      </c>
      <c r="L160" s="17">
        <v>1</v>
      </c>
      <c r="M160" s="17">
        <v>1</v>
      </c>
      <c r="N160" s="17">
        <v>1</v>
      </c>
      <c r="O160" s="17">
        <v>1</v>
      </c>
      <c r="P160" s="17">
        <v>1</v>
      </c>
      <c r="Q160" s="17">
        <v>1</v>
      </c>
      <c r="R160" s="11">
        <v>1</v>
      </c>
      <c r="S160" s="12">
        <v>1</v>
      </c>
      <c r="T160" s="11">
        <v>1</v>
      </c>
      <c r="U160" s="11">
        <v>1</v>
      </c>
      <c r="V160" s="11">
        <v>1</v>
      </c>
      <c r="W160" s="11">
        <v>1</v>
      </c>
      <c r="X160" s="11">
        <v>1</v>
      </c>
      <c r="Y160" s="11">
        <v>1</v>
      </c>
      <c r="Z160" s="11">
        <v>1</v>
      </c>
      <c r="AA160" s="11">
        <v>1</v>
      </c>
      <c r="AB160" s="11">
        <v>1</v>
      </c>
      <c r="AC160" s="11">
        <v>1</v>
      </c>
      <c r="AD160" s="11">
        <v>1</v>
      </c>
      <c r="AF160" s="11">
        <v>1</v>
      </c>
      <c r="AG160" s="11">
        <v>1</v>
      </c>
      <c r="AH160" s="11">
        <v>1</v>
      </c>
      <c r="AI160" s="11">
        <v>1</v>
      </c>
      <c r="AJ160" s="11">
        <v>1</v>
      </c>
      <c r="AK160" s="11">
        <v>1</v>
      </c>
      <c r="AL160" s="11" t="s">
        <v>137</v>
      </c>
      <c r="AM160" s="11" t="s">
        <v>137</v>
      </c>
    </row>
    <row r="161" spans="1:39" ht="16">
      <c r="A161" s="11" t="s">
        <v>137</v>
      </c>
      <c r="B161" s="11" t="s">
        <v>137</v>
      </c>
      <c r="C161" s="11" t="s">
        <v>137</v>
      </c>
      <c r="E161" s="11" t="s">
        <v>137</v>
      </c>
      <c r="F161" s="11" t="s">
        <v>137</v>
      </c>
      <c r="G161" s="11" t="s">
        <v>137</v>
      </c>
      <c r="H161" s="11">
        <v>1</v>
      </c>
      <c r="I161" s="11">
        <v>1</v>
      </c>
      <c r="J161" s="11">
        <v>1</v>
      </c>
      <c r="K161" s="17">
        <v>1</v>
      </c>
      <c r="L161" s="17">
        <v>1</v>
      </c>
      <c r="M161" s="17">
        <v>1</v>
      </c>
      <c r="N161" s="17">
        <v>1</v>
      </c>
      <c r="O161" s="17">
        <v>1</v>
      </c>
      <c r="P161" s="17">
        <v>1</v>
      </c>
      <c r="Q161" s="17">
        <v>1</v>
      </c>
      <c r="R161" s="11">
        <v>1</v>
      </c>
      <c r="S161" s="12">
        <v>1</v>
      </c>
      <c r="T161" s="11">
        <v>1</v>
      </c>
      <c r="U161" s="11">
        <v>1</v>
      </c>
      <c r="V161" s="11">
        <v>1</v>
      </c>
      <c r="W161" s="11">
        <v>1</v>
      </c>
      <c r="X161" s="11">
        <v>1</v>
      </c>
      <c r="Y161" s="11">
        <v>1</v>
      </c>
      <c r="Z161" s="11">
        <v>1</v>
      </c>
      <c r="AA161" s="11">
        <v>1</v>
      </c>
      <c r="AB161" s="11">
        <v>1</v>
      </c>
      <c r="AC161" s="11">
        <v>1</v>
      </c>
      <c r="AD161" s="11">
        <v>1</v>
      </c>
      <c r="AF161" s="11">
        <v>1</v>
      </c>
      <c r="AG161" s="11">
        <v>1</v>
      </c>
      <c r="AH161" s="11">
        <v>1</v>
      </c>
      <c r="AI161" s="11">
        <v>1</v>
      </c>
      <c r="AJ161" s="11">
        <v>1</v>
      </c>
      <c r="AK161" s="11">
        <v>1</v>
      </c>
      <c r="AL161" s="11" t="s">
        <v>137</v>
      </c>
      <c r="AM161" s="11" t="s">
        <v>137</v>
      </c>
    </row>
    <row r="162" spans="1:39" ht="16">
      <c r="A162" s="11" t="s">
        <v>137</v>
      </c>
      <c r="B162" s="11" t="s">
        <v>137</v>
      </c>
      <c r="C162" s="11" t="s">
        <v>137</v>
      </c>
      <c r="E162" s="11" t="s">
        <v>137</v>
      </c>
      <c r="F162" s="11" t="s">
        <v>137</v>
      </c>
      <c r="G162" s="11" t="s">
        <v>137</v>
      </c>
      <c r="H162" s="11">
        <v>1</v>
      </c>
      <c r="I162" s="11">
        <v>1</v>
      </c>
      <c r="J162" s="11">
        <v>1</v>
      </c>
      <c r="K162" s="17">
        <v>1</v>
      </c>
      <c r="L162" s="17">
        <v>1</v>
      </c>
      <c r="M162" s="17">
        <v>1</v>
      </c>
      <c r="N162" s="17">
        <v>1</v>
      </c>
      <c r="O162" s="17">
        <v>1</v>
      </c>
      <c r="P162" s="17">
        <v>1</v>
      </c>
      <c r="Q162" s="17">
        <v>1</v>
      </c>
      <c r="R162" s="11">
        <v>1</v>
      </c>
      <c r="S162" s="12">
        <v>1</v>
      </c>
      <c r="T162" s="11">
        <v>1</v>
      </c>
      <c r="U162" s="11">
        <v>1</v>
      </c>
      <c r="V162" s="11">
        <v>1</v>
      </c>
      <c r="W162" s="11">
        <v>1</v>
      </c>
      <c r="X162" s="11">
        <v>1</v>
      </c>
      <c r="Y162" s="11">
        <v>1</v>
      </c>
      <c r="Z162" s="11">
        <v>1</v>
      </c>
      <c r="AA162" s="11">
        <v>1</v>
      </c>
      <c r="AB162" s="11">
        <v>1</v>
      </c>
      <c r="AC162" s="11">
        <v>1</v>
      </c>
      <c r="AD162" s="11">
        <v>1</v>
      </c>
      <c r="AF162" s="11">
        <v>1</v>
      </c>
      <c r="AG162" s="11">
        <v>1</v>
      </c>
      <c r="AH162" s="11">
        <v>1</v>
      </c>
      <c r="AI162" s="11">
        <v>1</v>
      </c>
      <c r="AJ162" s="11">
        <v>1</v>
      </c>
      <c r="AK162" s="11">
        <v>1</v>
      </c>
      <c r="AL162" s="11" t="s">
        <v>137</v>
      </c>
      <c r="AM162" s="11" t="s">
        <v>137</v>
      </c>
    </row>
    <row r="163" spans="1:39" ht="16">
      <c r="A163" s="11" t="s">
        <v>137</v>
      </c>
      <c r="B163" s="11" t="s">
        <v>137</v>
      </c>
      <c r="C163" s="11" t="s">
        <v>137</v>
      </c>
      <c r="E163" s="11" t="s">
        <v>137</v>
      </c>
      <c r="F163" s="11" t="s">
        <v>137</v>
      </c>
      <c r="G163" s="11" t="s">
        <v>137</v>
      </c>
      <c r="H163" s="11">
        <v>1</v>
      </c>
      <c r="I163" s="11">
        <v>1</v>
      </c>
      <c r="J163" s="11">
        <v>1</v>
      </c>
      <c r="K163" s="17">
        <v>1</v>
      </c>
      <c r="L163" s="17">
        <v>1</v>
      </c>
      <c r="M163" s="17">
        <v>1</v>
      </c>
      <c r="N163" s="17">
        <v>1</v>
      </c>
      <c r="O163" s="17">
        <v>1</v>
      </c>
      <c r="P163" s="17">
        <v>1</v>
      </c>
      <c r="Q163" s="17">
        <v>1</v>
      </c>
      <c r="R163" s="11">
        <v>1</v>
      </c>
      <c r="S163" s="12">
        <v>1</v>
      </c>
      <c r="T163" s="11">
        <v>1</v>
      </c>
      <c r="U163" s="11">
        <v>1</v>
      </c>
      <c r="V163" s="11">
        <v>1</v>
      </c>
      <c r="W163" s="11">
        <v>1</v>
      </c>
      <c r="X163" s="11">
        <v>1</v>
      </c>
      <c r="Y163" s="11">
        <v>1</v>
      </c>
      <c r="Z163" s="11">
        <v>1</v>
      </c>
      <c r="AA163" s="11">
        <v>1</v>
      </c>
      <c r="AB163" s="11">
        <v>1</v>
      </c>
      <c r="AC163" s="11">
        <v>1</v>
      </c>
      <c r="AD163" s="11">
        <v>1</v>
      </c>
      <c r="AF163" s="11">
        <v>1</v>
      </c>
      <c r="AG163" s="11">
        <v>1</v>
      </c>
      <c r="AH163" s="11">
        <v>1</v>
      </c>
      <c r="AI163" s="11">
        <v>1</v>
      </c>
      <c r="AJ163" s="11">
        <v>1</v>
      </c>
      <c r="AK163" s="11">
        <v>1</v>
      </c>
      <c r="AL163" s="11" t="s">
        <v>137</v>
      </c>
      <c r="AM163" s="11" t="s">
        <v>137</v>
      </c>
    </row>
    <row r="164" spans="1:39" ht="16">
      <c r="A164" s="11" t="s">
        <v>137</v>
      </c>
      <c r="B164" s="11" t="s">
        <v>137</v>
      </c>
      <c r="C164" s="11" t="s">
        <v>137</v>
      </c>
      <c r="E164" s="11" t="s">
        <v>137</v>
      </c>
      <c r="F164" s="11" t="s">
        <v>137</v>
      </c>
      <c r="G164" s="11" t="s">
        <v>137</v>
      </c>
      <c r="H164" s="11">
        <v>1</v>
      </c>
      <c r="I164" s="11">
        <v>1</v>
      </c>
      <c r="J164" s="11">
        <v>1</v>
      </c>
      <c r="K164" s="17">
        <v>1</v>
      </c>
      <c r="L164" s="17">
        <v>1</v>
      </c>
      <c r="M164" s="17">
        <v>1</v>
      </c>
      <c r="N164" s="17">
        <v>1</v>
      </c>
      <c r="O164" s="17">
        <v>1</v>
      </c>
      <c r="P164" s="17">
        <v>1</v>
      </c>
      <c r="Q164" s="17">
        <v>1</v>
      </c>
      <c r="R164" s="11">
        <v>1</v>
      </c>
      <c r="S164" s="12">
        <v>1</v>
      </c>
      <c r="T164" s="11">
        <v>1</v>
      </c>
      <c r="U164" s="11">
        <v>1</v>
      </c>
      <c r="V164" s="11">
        <v>1</v>
      </c>
      <c r="W164" s="11">
        <v>1</v>
      </c>
      <c r="X164" s="11">
        <v>1</v>
      </c>
      <c r="Y164" s="11">
        <v>1</v>
      </c>
      <c r="Z164" s="11">
        <v>1</v>
      </c>
      <c r="AA164" s="11">
        <v>1</v>
      </c>
      <c r="AB164" s="11">
        <v>1</v>
      </c>
      <c r="AC164" s="11">
        <v>1</v>
      </c>
      <c r="AD164" s="11">
        <v>1</v>
      </c>
      <c r="AF164" s="11">
        <v>1</v>
      </c>
      <c r="AG164" s="11">
        <v>1</v>
      </c>
      <c r="AH164" s="11">
        <v>1</v>
      </c>
      <c r="AI164" s="11">
        <v>1</v>
      </c>
      <c r="AJ164" s="11">
        <v>1</v>
      </c>
      <c r="AK164" s="11">
        <v>1</v>
      </c>
      <c r="AL164" s="11" t="s">
        <v>137</v>
      </c>
      <c r="AM164" s="11" t="s">
        <v>137</v>
      </c>
    </row>
    <row r="165" spans="1:39" ht="16">
      <c r="A165" s="11">
        <v>1</v>
      </c>
      <c r="B165" s="11">
        <v>1</v>
      </c>
      <c r="C165" s="11">
        <v>1</v>
      </c>
      <c r="E165" s="11">
        <v>1</v>
      </c>
      <c r="F165" s="11">
        <v>1</v>
      </c>
      <c r="G165" s="11">
        <v>1</v>
      </c>
      <c r="H165" s="11">
        <v>1</v>
      </c>
      <c r="I165" s="11">
        <v>1</v>
      </c>
      <c r="J165" s="11">
        <v>1</v>
      </c>
      <c r="K165" s="17">
        <v>1</v>
      </c>
      <c r="L165" s="17">
        <v>1</v>
      </c>
      <c r="M165" s="17">
        <v>1</v>
      </c>
      <c r="N165" s="17">
        <v>1</v>
      </c>
      <c r="O165" s="17">
        <v>1</v>
      </c>
      <c r="P165" s="17">
        <v>1</v>
      </c>
      <c r="Q165" s="17">
        <v>1</v>
      </c>
      <c r="R165" s="11">
        <v>1</v>
      </c>
      <c r="S165" s="12">
        <v>1</v>
      </c>
      <c r="T165" s="11">
        <v>1</v>
      </c>
      <c r="U165" s="11">
        <v>1</v>
      </c>
      <c r="V165" s="11">
        <v>1</v>
      </c>
      <c r="W165" s="11">
        <v>1</v>
      </c>
      <c r="X165" s="11">
        <v>1</v>
      </c>
      <c r="Y165" s="11">
        <v>1</v>
      </c>
      <c r="Z165" s="11">
        <v>1</v>
      </c>
      <c r="AA165" s="11">
        <v>1</v>
      </c>
      <c r="AB165" s="11">
        <v>1</v>
      </c>
      <c r="AC165" s="11">
        <v>1</v>
      </c>
      <c r="AD165" s="11">
        <v>1</v>
      </c>
      <c r="AF165" s="11">
        <v>1</v>
      </c>
      <c r="AG165" s="11">
        <v>1</v>
      </c>
      <c r="AH165" s="11">
        <v>1</v>
      </c>
      <c r="AI165" s="11">
        <v>1</v>
      </c>
      <c r="AJ165" s="11">
        <v>1</v>
      </c>
      <c r="AK165" s="11">
        <v>1</v>
      </c>
      <c r="AL165" s="11" t="s">
        <v>137</v>
      </c>
      <c r="AM165" s="11" t="s">
        <v>137</v>
      </c>
    </row>
    <row r="166" spans="1:39" ht="16">
      <c r="A166" s="11" t="s">
        <v>137</v>
      </c>
      <c r="B166" s="11" t="s">
        <v>137</v>
      </c>
      <c r="C166" s="11" t="s">
        <v>137</v>
      </c>
      <c r="E166" s="11" t="s">
        <v>137</v>
      </c>
      <c r="F166" s="11" t="s">
        <v>137</v>
      </c>
      <c r="G166" s="11" t="s">
        <v>137</v>
      </c>
      <c r="H166" s="11">
        <v>1</v>
      </c>
      <c r="I166" s="11">
        <v>1</v>
      </c>
      <c r="J166" s="11">
        <v>1</v>
      </c>
      <c r="K166" s="17">
        <v>1</v>
      </c>
      <c r="L166" s="17">
        <v>1</v>
      </c>
      <c r="M166" s="17">
        <v>1</v>
      </c>
      <c r="N166" s="17">
        <v>1</v>
      </c>
      <c r="O166" s="17">
        <v>1</v>
      </c>
      <c r="P166" s="17">
        <v>1</v>
      </c>
      <c r="Q166" s="17">
        <v>1</v>
      </c>
      <c r="R166" s="11">
        <v>1</v>
      </c>
      <c r="S166" s="12">
        <v>1</v>
      </c>
      <c r="T166" s="11">
        <v>1</v>
      </c>
      <c r="U166" s="11">
        <v>1</v>
      </c>
      <c r="V166" s="11">
        <v>1</v>
      </c>
      <c r="W166" s="11">
        <v>1</v>
      </c>
      <c r="X166" s="11">
        <v>1</v>
      </c>
      <c r="Y166" s="11">
        <v>1</v>
      </c>
      <c r="Z166" s="11">
        <v>1</v>
      </c>
      <c r="AA166" s="11">
        <v>1</v>
      </c>
      <c r="AB166" s="11">
        <v>1</v>
      </c>
      <c r="AC166" s="11">
        <v>1</v>
      </c>
      <c r="AD166" s="11">
        <v>1</v>
      </c>
      <c r="AF166" s="11">
        <v>1</v>
      </c>
      <c r="AG166" s="11">
        <v>1</v>
      </c>
      <c r="AH166" s="11">
        <v>1</v>
      </c>
      <c r="AI166" s="11">
        <v>1</v>
      </c>
      <c r="AJ166" s="11">
        <v>1</v>
      </c>
      <c r="AK166" s="11">
        <v>1</v>
      </c>
      <c r="AL166" s="11" t="s">
        <v>137</v>
      </c>
      <c r="AM166" s="11" t="s">
        <v>137</v>
      </c>
    </row>
    <row r="167" spans="1:39" ht="16">
      <c r="A167" s="11">
        <v>1</v>
      </c>
      <c r="B167" s="11">
        <v>1</v>
      </c>
      <c r="C167" s="11">
        <v>1</v>
      </c>
      <c r="E167" s="11">
        <v>1</v>
      </c>
      <c r="F167" s="11">
        <v>1</v>
      </c>
      <c r="G167" s="11">
        <v>1</v>
      </c>
      <c r="H167" s="11">
        <v>1</v>
      </c>
      <c r="I167" s="11">
        <v>1</v>
      </c>
      <c r="J167" s="11">
        <v>1</v>
      </c>
      <c r="K167" s="17">
        <v>1</v>
      </c>
      <c r="L167" s="17">
        <v>1</v>
      </c>
      <c r="M167" s="17">
        <v>1</v>
      </c>
      <c r="N167" s="17">
        <v>1</v>
      </c>
      <c r="O167" s="17">
        <v>1</v>
      </c>
      <c r="P167" s="17">
        <v>1</v>
      </c>
      <c r="Q167" s="17">
        <v>1</v>
      </c>
      <c r="R167" s="11">
        <v>1</v>
      </c>
      <c r="S167" s="12">
        <v>1</v>
      </c>
      <c r="T167" s="11">
        <v>1</v>
      </c>
      <c r="U167" s="11">
        <v>1</v>
      </c>
      <c r="V167" s="11">
        <v>1</v>
      </c>
      <c r="W167" s="11">
        <v>1</v>
      </c>
      <c r="X167" s="11">
        <v>1</v>
      </c>
      <c r="Y167" s="11">
        <v>1</v>
      </c>
      <c r="Z167" s="11">
        <v>1</v>
      </c>
      <c r="AA167" s="11">
        <v>1</v>
      </c>
      <c r="AB167" s="11">
        <v>1</v>
      </c>
      <c r="AC167" s="11">
        <v>1</v>
      </c>
      <c r="AD167" s="11">
        <v>1</v>
      </c>
      <c r="AF167" s="11">
        <v>1</v>
      </c>
      <c r="AG167" s="11">
        <v>1</v>
      </c>
      <c r="AH167" s="11">
        <v>1</v>
      </c>
      <c r="AI167" s="11">
        <v>1</v>
      </c>
      <c r="AJ167" s="11">
        <v>1</v>
      </c>
      <c r="AK167" s="11">
        <v>1</v>
      </c>
      <c r="AL167" s="11" t="s">
        <v>137</v>
      </c>
      <c r="AM167" s="11" t="s">
        <v>137</v>
      </c>
    </row>
    <row r="168" spans="1:39" ht="16">
      <c r="A168" s="11" t="s">
        <v>137</v>
      </c>
      <c r="B168" s="11" t="s">
        <v>137</v>
      </c>
      <c r="C168" s="11" t="s">
        <v>137</v>
      </c>
      <c r="E168" s="11" t="s">
        <v>137</v>
      </c>
      <c r="F168" s="11" t="s">
        <v>137</v>
      </c>
      <c r="G168" s="11" t="s">
        <v>137</v>
      </c>
      <c r="H168" s="11" t="s">
        <v>137</v>
      </c>
      <c r="I168" s="11" t="s">
        <v>137</v>
      </c>
      <c r="J168" s="11" t="s">
        <v>137</v>
      </c>
      <c r="K168" s="17" t="s">
        <v>137</v>
      </c>
      <c r="L168" s="17" t="s">
        <v>137</v>
      </c>
      <c r="M168" s="17" t="s">
        <v>137</v>
      </c>
      <c r="N168" s="17" t="s">
        <v>137</v>
      </c>
      <c r="O168" s="17" t="s">
        <v>137</v>
      </c>
      <c r="P168" s="17" t="s">
        <v>137</v>
      </c>
      <c r="Q168" s="17" t="s">
        <v>137</v>
      </c>
      <c r="R168" s="11" t="s">
        <v>137</v>
      </c>
      <c r="S168" s="12" t="s">
        <v>137</v>
      </c>
      <c r="T168" s="11" t="s">
        <v>137</v>
      </c>
      <c r="U168" s="11" t="s">
        <v>137</v>
      </c>
      <c r="V168" s="11" t="s">
        <v>137</v>
      </c>
      <c r="W168" s="11" t="s">
        <v>137</v>
      </c>
      <c r="X168" s="11" t="s">
        <v>137</v>
      </c>
      <c r="Y168" s="11" t="s">
        <v>137</v>
      </c>
      <c r="Z168" s="11" t="s">
        <v>137</v>
      </c>
      <c r="AA168" s="11" t="s">
        <v>137</v>
      </c>
      <c r="AB168" s="11">
        <v>1</v>
      </c>
      <c r="AC168" s="11">
        <v>1</v>
      </c>
      <c r="AD168" s="11">
        <v>1</v>
      </c>
      <c r="AF168" s="11">
        <v>1</v>
      </c>
      <c r="AG168" s="11">
        <v>1</v>
      </c>
      <c r="AH168" s="11">
        <v>1</v>
      </c>
      <c r="AI168" s="11">
        <v>1</v>
      </c>
      <c r="AJ168" s="11">
        <v>1</v>
      </c>
      <c r="AK168" s="11">
        <v>1</v>
      </c>
      <c r="AL168" s="11" t="s">
        <v>137</v>
      </c>
      <c r="AM168" s="11" t="s">
        <v>137</v>
      </c>
    </row>
    <row r="169" spans="1:39" ht="16">
      <c r="A169" s="11" t="s">
        <v>137</v>
      </c>
      <c r="B169" s="11" t="s">
        <v>137</v>
      </c>
      <c r="C169" s="11" t="s">
        <v>137</v>
      </c>
      <c r="E169" s="11" t="s">
        <v>137</v>
      </c>
      <c r="F169" s="11" t="s">
        <v>137</v>
      </c>
      <c r="G169" s="11" t="s">
        <v>137</v>
      </c>
      <c r="H169" s="11" t="s">
        <v>137</v>
      </c>
      <c r="I169" s="11" t="s">
        <v>137</v>
      </c>
      <c r="J169" s="11" t="s">
        <v>137</v>
      </c>
      <c r="K169" s="17" t="s">
        <v>137</v>
      </c>
      <c r="L169" s="17" t="s">
        <v>137</v>
      </c>
      <c r="M169" s="17" t="s">
        <v>137</v>
      </c>
      <c r="N169" s="17" t="s">
        <v>137</v>
      </c>
      <c r="O169" s="17" t="s">
        <v>137</v>
      </c>
      <c r="P169" s="17" t="s">
        <v>137</v>
      </c>
      <c r="Q169" s="17" t="s">
        <v>137</v>
      </c>
      <c r="R169" s="11" t="s">
        <v>137</v>
      </c>
      <c r="S169" s="12" t="s">
        <v>137</v>
      </c>
      <c r="T169" s="11" t="s">
        <v>137</v>
      </c>
      <c r="U169" s="11" t="s">
        <v>137</v>
      </c>
      <c r="V169" s="11" t="s">
        <v>137</v>
      </c>
      <c r="W169" s="11" t="s">
        <v>137</v>
      </c>
      <c r="X169" s="11" t="s">
        <v>137</v>
      </c>
      <c r="Y169" s="11" t="s">
        <v>137</v>
      </c>
      <c r="Z169" s="11" t="s">
        <v>137</v>
      </c>
      <c r="AA169" s="11" t="s">
        <v>137</v>
      </c>
      <c r="AB169" s="11">
        <v>1</v>
      </c>
      <c r="AC169" s="11">
        <v>1</v>
      </c>
      <c r="AD169" s="11">
        <v>1</v>
      </c>
      <c r="AF169" s="11">
        <v>1</v>
      </c>
      <c r="AG169" s="11">
        <v>1</v>
      </c>
      <c r="AH169" s="11">
        <v>1</v>
      </c>
      <c r="AI169" s="11">
        <v>1</v>
      </c>
      <c r="AJ169" s="11">
        <v>1</v>
      </c>
      <c r="AK169" s="11">
        <v>1</v>
      </c>
      <c r="AL169" s="11" t="s">
        <v>137</v>
      </c>
      <c r="AM169" s="11" t="s">
        <v>137</v>
      </c>
    </row>
    <row r="170" spans="1:39" ht="16">
      <c r="A170" s="11" t="s">
        <v>137</v>
      </c>
      <c r="B170" s="11" t="s">
        <v>137</v>
      </c>
      <c r="C170" s="11" t="s">
        <v>137</v>
      </c>
      <c r="E170" s="11" t="s">
        <v>137</v>
      </c>
      <c r="F170" s="11" t="s">
        <v>137</v>
      </c>
      <c r="G170" s="11" t="s">
        <v>137</v>
      </c>
      <c r="H170" s="11" t="s">
        <v>137</v>
      </c>
      <c r="I170" s="11" t="s">
        <v>137</v>
      </c>
      <c r="J170" s="11" t="s">
        <v>137</v>
      </c>
      <c r="K170" s="17" t="s">
        <v>137</v>
      </c>
      <c r="L170" s="17" t="s">
        <v>137</v>
      </c>
      <c r="M170" s="17" t="s">
        <v>137</v>
      </c>
      <c r="N170" s="17" t="s">
        <v>137</v>
      </c>
      <c r="O170" s="17" t="s">
        <v>137</v>
      </c>
      <c r="P170" s="17" t="s">
        <v>137</v>
      </c>
      <c r="Q170" s="17" t="s">
        <v>137</v>
      </c>
      <c r="R170" s="11" t="s">
        <v>137</v>
      </c>
      <c r="S170" s="12" t="s">
        <v>137</v>
      </c>
      <c r="T170" s="11" t="s">
        <v>137</v>
      </c>
      <c r="U170" s="11" t="s">
        <v>137</v>
      </c>
      <c r="V170" s="11" t="s">
        <v>137</v>
      </c>
      <c r="W170" s="11" t="s">
        <v>137</v>
      </c>
      <c r="X170" s="11" t="s">
        <v>137</v>
      </c>
      <c r="Y170" s="11" t="s">
        <v>137</v>
      </c>
      <c r="Z170" s="11" t="s">
        <v>137</v>
      </c>
      <c r="AA170" s="11" t="s">
        <v>137</v>
      </c>
      <c r="AB170" s="11">
        <v>1</v>
      </c>
      <c r="AC170" s="11">
        <v>1</v>
      </c>
      <c r="AD170" s="11">
        <v>1</v>
      </c>
      <c r="AF170" s="11">
        <v>1</v>
      </c>
      <c r="AG170" s="11">
        <v>1</v>
      </c>
      <c r="AH170" s="11">
        <v>1</v>
      </c>
      <c r="AI170" s="11">
        <v>1</v>
      </c>
      <c r="AJ170" s="11">
        <v>1</v>
      </c>
      <c r="AK170" s="11">
        <v>1</v>
      </c>
      <c r="AL170" s="11" t="s">
        <v>137</v>
      </c>
      <c r="AM170" s="11" t="s">
        <v>137</v>
      </c>
    </row>
    <row r="171" spans="1:39" ht="16">
      <c r="A171" s="11" t="s">
        <v>137</v>
      </c>
      <c r="B171" s="11" t="s">
        <v>137</v>
      </c>
      <c r="C171" s="11" t="s">
        <v>137</v>
      </c>
      <c r="E171" s="11" t="s">
        <v>137</v>
      </c>
      <c r="F171" s="11" t="s">
        <v>137</v>
      </c>
      <c r="G171" s="11" t="s">
        <v>137</v>
      </c>
      <c r="H171" s="11" t="s">
        <v>137</v>
      </c>
      <c r="I171" s="11" t="s">
        <v>137</v>
      </c>
      <c r="J171" s="11" t="s">
        <v>137</v>
      </c>
      <c r="K171" s="17" t="s">
        <v>137</v>
      </c>
      <c r="L171" s="17" t="s">
        <v>137</v>
      </c>
      <c r="M171" s="17" t="s">
        <v>137</v>
      </c>
      <c r="N171" s="17" t="s">
        <v>137</v>
      </c>
      <c r="O171" s="17" t="s">
        <v>137</v>
      </c>
      <c r="P171" s="17" t="s">
        <v>137</v>
      </c>
      <c r="Q171" s="17" t="s">
        <v>137</v>
      </c>
      <c r="R171" s="11" t="s">
        <v>137</v>
      </c>
      <c r="S171" s="12" t="s">
        <v>137</v>
      </c>
      <c r="T171" s="11" t="s">
        <v>137</v>
      </c>
      <c r="U171" s="11" t="s">
        <v>137</v>
      </c>
      <c r="V171" s="11" t="s">
        <v>137</v>
      </c>
      <c r="W171" s="11" t="s">
        <v>137</v>
      </c>
      <c r="X171" s="11" t="s">
        <v>137</v>
      </c>
      <c r="Y171" s="11" t="s">
        <v>137</v>
      </c>
      <c r="Z171" s="11" t="s">
        <v>137</v>
      </c>
      <c r="AA171" s="11" t="s">
        <v>137</v>
      </c>
      <c r="AB171" s="11">
        <v>1</v>
      </c>
      <c r="AC171" s="11">
        <v>1</v>
      </c>
      <c r="AD171" s="11">
        <v>1</v>
      </c>
      <c r="AF171" s="11">
        <v>1</v>
      </c>
      <c r="AG171" s="11">
        <v>1</v>
      </c>
      <c r="AH171" s="11">
        <v>1</v>
      </c>
      <c r="AI171" s="11">
        <v>1</v>
      </c>
      <c r="AJ171" s="11">
        <v>1</v>
      </c>
      <c r="AK171" s="11">
        <v>1</v>
      </c>
      <c r="AL171" s="11" t="s">
        <v>137</v>
      </c>
      <c r="AM171" s="11" t="s">
        <v>137</v>
      </c>
    </row>
    <row r="172" spans="1:39" ht="16">
      <c r="A172" s="11" t="s">
        <v>137</v>
      </c>
      <c r="B172" s="11" t="s">
        <v>137</v>
      </c>
      <c r="C172" s="11" t="s">
        <v>137</v>
      </c>
      <c r="E172" s="11" t="s">
        <v>137</v>
      </c>
      <c r="F172" s="11" t="s">
        <v>137</v>
      </c>
      <c r="G172" s="11" t="s">
        <v>137</v>
      </c>
      <c r="H172" s="11">
        <v>1</v>
      </c>
      <c r="I172" s="11">
        <v>1</v>
      </c>
      <c r="J172" s="11">
        <v>1</v>
      </c>
      <c r="K172" s="17">
        <v>1</v>
      </c>
      <c r="L172" s="17">
        <v>1</v>
      </c>
      <c r="M172" s="17">
        <v>1</v>
      </c>
      <c r="N172" s="17">
        <v>1</v>
      </c>
      <c r="O172" s="17">
        <v>1</v>
      </c>
      <c r="P172" s="17">
        <v>1</v>
      </c>
      <c r="Q172" s="17">
        <v>1</v>
      </c>
      <c r="R172" s="11">
        <v>1</v>
      </c>
      <c r="S172" s="12">
        <v>1</v>
      </c>
      <c r="T172" s="11">
        <v>1</v>
      </c>
      <c r="U172" s="11">
        <v>1</v>
      </c>
      <c r="V172" s="11">
        <v>1</v>
      </c>
      <c r="W172" s="11">
        <v>1</v>
      </c>
      <c r="X172" s="11">
        <v>1</v>
      </c>
      <c r="Y172" s="11">
        <v>1</v>
      </c>
      <c r="Z172" s="11">
        <v>1</v>
      </c>
      <c r="AA172" s="11">
        <v>1</v>
      </c>
      <c r="AB172" s="11">
        <v>1</v>
      </c>
      <c r="AC172" s="11">
        <v>1</v>
      </c>
      <c r="AD172" s="11">
        <v>1</v>
      </c>
      <c r="AF172" s="11">
        <v>1</v>
      </c>
      <c r="AG172" s="11">
        <v>1</v>
      </c>
      <c r="AH172" s="11">
        <v>1</v>
      </c>
      <c r="AI172" s="11">
        <v>1</v>
      </c>
      <c r="AJ172" s="11">
        <v>1</v>
      </c>
      <c r="AK172" s="11">
        <v>1</v>
      </c>
      <c r="AL172" s="11" t="s">
        <v>137</v>
      </c>
      <c r="AM172" s="11" t="s">
        <v>137</v>
      </c>
    </row>
    <row r="173" spans="1:39" ht="16">
      <c r="A173" s="11" t="s">
        <v>137</v>
      </c>
      <c r="B173" s="11" t="s">
        <v>137</v>
      </c>
      <c r="C173" s="11" t="s">
        <v>137</v>
      </c>
      <c r="E173" s="11" t="s">
        <v>137</v>
      </c>
      <c r="F173" s="11" t="s">
        <v>137</v>
      </c>
      <c r="G173" s="11" t="s">
        <v>137</v>
      </c>
      <c r="H173" s="11" t="s">
        <v>137</v>
      </c>
      <c r="I173" s="11" t="s">
        <v>137</v>
      </c>
      <c r="J173" s="11" t="s">
        <v>137</v>
      </c>
      <c r="K173" s="17" t="s">
        <v>137</v>
      </c>
      <c r="L173" s="17" t="s">
        <v>137</v>
      </c>
      <c r="M173" s="17" t="s">
        <v>137</v>
      </c>
      <c r="N173" s="17" t="s">
        <v>137</v>
      </c>
      <c r="O173" s="17" t="s">
        <v>137</v>
      </c>
      <c r="P173" s="17" t="s">
        <v>137</v>
      </c>
      <c r="Q173" s="17" t="s">
        <v>137</v>
      </c>
      <c r="R173" s="11" t="s">
        <v>137</v>
      </c>
      <c r="S173" s="12" t="s">
        <v>137</v>
      </c>
      <c r="T173" s="11" t="s">
        <v>137</v>
      </c>
      <c r="U173" s="11" t="s">
        <v>137</v>
      </c>
      <c r="V173" s="11" t="s">
        <v>137</v>
      </c>
      <c r="W173" s="11" t="s">
        <v>137</v>
      </c>
      <c r="X173" s="11" t="s">
        <v>137</v>
      </c>
      <c r="Y173" s="11" t="s">
        <v>137</v>
      </c>
      <c r="Z173" s="11" t="s">
        <v>137</v>
      </c>
      <c r="AA173" s="11" t="s">
        <v>137</v>
      </c>
      <c r="AB173" s="11">
        <v>1</v>
      </c>
      <c r="AC173" s="11">
        <v>1</v>
      </c>
      <c r="AD173" s="11">
        <v>1</v>
      </c>
      <c r="AF173" s="11">
        <v>1</v>
      </c>
      <c r="AG173" s="11">
        <v>1</v>
      </c>
      <c r="AH173" s="11">
        <v>1</v>
      </c>
      <c r="AI173" s="11">
        <v>1</v>
      </c>
      <c r="AJ173" s="11">
        <v>1</v>
      </c>
      <c r="AK173" s="11">
        <v>1</v>
      </c>
      <c r="AL173" s="11" t="s">
        <v>137</v>
      </c>
      <c r="AM173" s="11" t="s">
        <v>137</v>
      </c>
    </row>
    <row r="174" spans="1:39" ht="16">
      <c r="A174" s="11" t="s">
        <v>137</v>
      </c>
      <c r="B174" s="11" t="s">
        <v>137</v>
      </c>
      <c r="C174" s="11" t="s">
        <v>137</v>
      </c>
      <c r="E174" s="11" t="s">
        <v>137</v>
      </c>
      <c r="F174" s="11" t="s">
        <v>137</v>
      </c>
      <c r="G174" s="11" t="s">
        <v>137</v>
      </c>
      <c r="H174" s="11" t="s">
        <v>137</v>
      </c>
      <c r="I174" s="11" t="s">
        <v>137</v>
      </c>
      <c r="J174" s="11" t="s">
        <v>137</v>
      </c>
      <c r="K174" s="17" t="s">
        <v>137</v>
      </c>
      <c r="L174" s="17" t="s">
        <v>137</v>
      </c>
      <c r="M174" s="17" t="s">
        <v>137</v>
      </c>
      <c r="N174" s="17" t="s">
        <v>137</v>
      </c>
      <c r="O174" s="17" t="s">
        <v>137</v>
      </c>
      <c r="P174" s="17" t="s">
        <v>137</v>
      </c>
      <c r="Q174" s="17" t="s">
        <v>137</v>
      </c>
      <c r="R174" s="11" t="s">
        <v>137</v>
      </c>
      <c r="S174" s="12" t="s">
        <v>137</v>
      </c>
      <c r="T174" s="11" t="s">
        <v>137</v>
      </c>
      <c r="U174" s="11" t="s">
        <v>137</v>
      </c>
      <c r="V174" s="11" t="s">
        <v>137</v>
      </c>
      <c r="W174" s="11" t="s">
        <v>137</v>
      </c>
      <c r="X174" s="11" t="s">
        <v>137</v>
      </c>
      <c r="Y174" s="11" t="s">
        <v>137</v>
      </c>
      <c r="Z174" s="11" t="s">
        <v>137</v>
      </c>
      <c r="AA174" s="11" t="s">
        <v>137</v>
      </c>
      <c r="AB174" s="11">
        <v>1</v>
      </c>
      <c r="AC174" s="11">
        <v>1</v>
      </c>
      <c r="AD174" s="11">
        <v>1</v>
      </c>
      <c r="AF174" s="11">
        <v>1</v>
      </c>
      <c r="AG174" s="11">
        <v>1</v>
      </c>
      <c r="AH174" s="11">
        <v>1</v>
      </c>
      <c r="AI174" s="11">
        <v>1</v>
      </c>
      <c r="AJ174" s="11">
        <v>1</v>
      </c>
      <c r="AK174" s="11">
        <v>1</v>
      </c>
      <c r="AL174" s="11" t="s">
        <v>137</v>
      </c>
      <c r="AM174" s="11" t="s">
        <v>137</v>
      </c>
    </row>
    <row r="175" spans="1:39" ht="16">
      <c r="A175" s="11" t="s">
        <v>137</v>
      </c>
      <c r="B175" s="11" t="s">
        <v>137</v>
      </c>
      <c r="C175" s="11" t="s">
        <v>137</v>
      </c>
      <c r="E175" s="11" t="s">
        <v>137</v>
      </c>
      <c r="F175" s="11" t="s">
        <v>137</v>
      </c>
      <c r="G175" s="11" t="s">
        <v>137</v>
      </c>
      <c r="H175" s="11" t="s">
        <v>137</v>
      </c>
      <c r="I175" s="11" t="s">
        <v>137</v>
      </c>
      <c r="J175" s="11" t="s">
        <v>137</v>
      </c>
      <c r="K175" s="17" t="s">
        <v>137</v>
      </c>
      <c r="L175" s="17" t="s">
        <v>137</v>
      </c>
      <c r="M175" s="17" t="s">
        <v>137</v>
      </c>
      <c r="N175" s="17" t="s">
        <v>137</v>
      </c>
      <c r="O175" s="17" t="s">
        <v>137</v>
      </c>
      <c r="P175" s="17" t="s">
        <v>137</v>
      </c>
      <c r="Q175" s="17" t="s">
        <v>137</v>
      </c>
      <c r="R175" s="11" t="s">
        <v>137</v>
      </c>
      <c r="S175" s="12" t="s">
        <v>137</v>
      </c>
      <c r="T175" s="11" t="s">
        <v>137</v>
      </c>
      <c r="U175" s="11" t="s">
        <v>137</v>
      </c>
      <c r="V175" s="11" t="s">
        <v>137</v>
      </c>
      <c r="W175" s="11" t="s">
        <v>137</v>
      </c>
      <c r="X175" s="11" t="s">
        <v>137</v>
      </c>
      <c r="Y175" s="11" t="s">
        <v>137</v>
      </c>
      <c r="Z175" s="11" t="s">
        <v>137</v>
      </c>
      <c r="AA175" s="11" t="s">
        <v>137</v>
      </c>
      <c r="AB175" s="11">
        <v>1</v>
      </c>
      <c r="AC175" s="11">
        <v>1</v>
      </c>
      <c r="AD175" s="11">
        <v>1</v>
      </c>
      <c r="AF175" s="11">
        <v>1</v>
      </c>
      <c r="AG175" s="11">
        <v>1</v>
      </c>
      <c r="AH175" s="11">
        <v>1</v>
      </c>
      <c r="AI175" s="11">
        <v>1</v>
      </c>
      <c r="AJ175" s="11">
        <v>1</v>
      </c>
      <c r="AK175" s="11">
        <v>1</v>
      </c>
      <c r="AL175" s="11" t="s">
        <v>137</v>
      </c>
      <c r="AM175" s="11" t="s">
        <v>137</v>
      </c>
    </row>
    <row r="176" spans="1:39" ht="16">
      <c r="A176" s="11" t="s">
        <v>137</v>
      </c>
      <c r="B176" s="11" t="s">
        <v>137</v>
      </c>
      <c r="C176" s="11" t="s">
        <v>137</v>
      </c>
      <c r="E176" s="11" t="s">
        <v>137</v>
      </c>
      <c r="F176" s="11" t="s">
        <v>137</v>
      </c>
      <c r="G176" s="11" t="s">
        <v>137</v>
      </c>
      <c r="H176" s="11" t="s">
        <v>137</v>
      </c>
      <c r="I176" s="11" t="s">
        <v>137</v>
      </c>
      <c r="J176" s="11" t="s">
        <v>137</v>
      </c>
      <c r="K176" s="17" t="s">
        <v>137</v>
      </c>
      <c r="L176" s="17" t="s">
        <v>137</v>
      </c>
      <c r="M176" s="17" t="s">
        <v>137</v>
      </c>
      <c r="N176" s="17" t="s">
        <v>137</v>
      </c>
      <c r="O176" s="17" t="s">
        <v>137</v>
      </c>
      <c r="P176" s="17" t="s">
        <v>137</v>
      </c>
      <c r="Q176" s="17" t="s">
        <v>137</v>
      </c>
      <c r="R176" s="11" t="s">
        <v>137</v>
      </c>
      <c r="S176" s="12" t="s">
        <v>137</v>
      </c>
      <c r="T176" s="11" t="s">
        <v>137</v>
      </c>
      <c r="U176" s="11" t="s">
        <v>137</v>
      </c>
      <c r="V176" s="11" t="s">
        <v>137</v>
      </c>
      <c r="W176" s="11" t="s">
        <v>137</v>
      </c>
      <c r="X176" s="11" t="s">
        <v>137</v>
      </c>
      <c r="Y176" s="11" t="s">
        <v>137</v>
      </c>
      <c r="Z176" s="11" t="s">
        <v>137</v>
      </c>
      <c r="AA176" s="11" t="s">
        <v>137</v>
      </c>
      <c r="AB176" s="11">
        <v>1</v>
      </c>
      <c r="AC176" s="11">
        <v>1</v>
      </c>
      <c r="AD176" s="11">
        <v>1</v>
      </c>
      <c r="AF176" s="11">
        <v>1</v>
      </c>
      <c r="AG176" s="11">
        <v>1</v>
      </c>
      <c r="AH176" s="11">
        <v>1</v>
      </c>
      <c r="AI176" s="11">
        <v>1</v>
      </c>
      <c r="AJ176" s="11">
        <v>1</v>
      </c>
      <c r="AK176" s="11">
        <v>1</v>
      </c>
      <c r="AL176" s="11" t="s">
        <v>137</v>
      </c>
      <c r="AM176" s="11" t="s">
        <v>137</v>
      </c>
    </row>
    <row r="177" spans="1:44" ht="16">
      <c r="A177" s="11" t="s">
        <v>137</v>
      </c>
      <c r="B177" s="11" t="s">
        <v>137</v>
      </c>
      <c r="C177" s="11" t="s">
        <v>137</v>
      </c>
      <c r="E177" s="11" t="s">
        <v>137</v>
      </c>
      <c r="F177" s="11" t="s">
        <v>137</v>
      </c>
      <c r="G177" s="11" t="s">
        <v>137</v>
      </c>
      <c r="H177" s="11">
        <v>1</v>
      </c>
      <c r="I177" s="11">
        <v>1</v>
      </c>
      <c r="J177" s="11">
        <v>1</v>
      </c>
      <c r="K177" s="17">
        <v>1</v>
      </c>
      <c r="L177" s="17">
        <v>1</v>
      </c>
      <c r="M177" s="17">
        <v>1</v>
      </c>
      <c r="N177" s="17">
        <v>1</v>
      </c>
      <c r="O177" s="17">
        <v>1</v>
      </c>
      <c r="P177" s="17">
        <v>1</v>
      </c>
      <c r="Q177" s="17">
        <v>1</v>
      </c>
      <c r="R177" s="11">
        <v>1</v>
      </c>
      <c r="S177" s="12">
        <v>1</v>
      </c>
      <c r="T177" s="11">
        <v>1</v>
      </c>
      <c r="U177" s="11">
        <v>1</v>
      </c>
      <c r="V177" s="11">
        <v>1</v>
      </c>
      <c r="W177" s="11">
        <v>1</v>
      </c>
      <c r="X177" s="11">
        <v>1</v>
      </c>
      <c r="Y177" s="11">
        <v>1</v>
      </c>
      <c r="Z177" s="11">
        <v>1</v>
      </c>
      <c r="AA177" s="11">
        <v>1</v>
      </c>
      <c r="AB177" s="11">
        <v>1</v>
      </c>
      <c r="AC177" s="11">
        <v>1</v>
      </c>
      <c r="AD177" s="11">
        <v>1</v>
      </c>
      <c r="AF177" s="11">
        <v>1</v>
      </c>
      <c r="AG177" s="11">
        <v>1</v>
      </c>
      <c r="AH177" s="11">
        <v>1</v>
      </c>
      <c r="AI177" s="11">
        <v>1</v>
      </c>
      <c r="AJ177" s="11">
        <v>1</v>
      </c>
      <c r="AK177" s="11">
        <v>1</v>
      </c>
      <c r="AL177" s="11" t="s">
        <v>137</v>
      </c>
      <c r="AM177" s="11" t="s">
        <v>137</v>
      </c>
    </row>
    <row r="178" spans="1:44" ht="16">
      <c r="A178" s="11" t="s">
        <v>137</v>
      </c>
      <c r="B178" s="11" t="s">
        <v>137</v>
      </c>
      <c r="C178" s="11" t="s">
        <v>137</v>
      </c>
      <c r="E178" s="11" t="s">
        <v>137</v>
      </c>
      <c r="F178" s="11" t="s">
        <v>137</v>
      </c>
      <c r="G178" s="11" t="s">
        <v>137</v>
      </c>
      <c r="H178" s="11" t="s">
        <v>137</v>
      </c>
      <c r="I178" s="11" t="s">
        <v>137</v>
      </c>
      <c r="J178" s="11" t="s">
        <v>137</v>
      </c>
      <c r="K178" s="17" t="s">
        <v>137</v>
      </c>
      <c r="L178" s="17" t="s">
        <v>137</v>
      </c>
      <c r="M178" s="17" t="s">
        <v>137</v>
      </c>
      <c r="N178" s="17" t="s">
        <v>137</v>
      </c>
      <c r="O178" s="17" t="s">
        <v>137</v>
      </c>
      <c r="P178" s="17" t="s">
        <v>137</v>
      </c>
      <c r="Q178" s="17" t="s">
        <v>137</v>
      </c>
      <c r="R178" s="11" t="s">
        <v>137</v>
      </c>
      <c r="S178" s="12" t="s">
        <v>137</v>
      </c>
      <c r="T178" s="11" t="s">
        <v>137</v>
      </c>
      <c r="U178" s="11" t="s">
        <v>137</v>
      </c>
      <c r="V178" s="11" t="s">
        <v>137</v>
      </c>
      <c r="W178" s="11" t="s">
        <v>137</v>
      </c>
      <c r="X178" s="11" t="s">
        <v>137</v>
      </c>
      <c r="Y178" s="11" t="s">
        <v>137</v>
      </c>
      <c r="Z178" s="11" t="s">
        <v>137</v>
      </c>
      <c r="AA178" s="11" t="s">
        <v>137</v>
      </c>
      <c r="AB178" s="11">
        <v>1</v>
      </c>
      <c r="AC178" s="11">
        <v>1</v>
      </c>
      <c r="AD178" s="11">
        <v>1</v>
      </c>
      <c r="AF178" s="11">
        <v>1</v>
      </c>
      <c r="AG178" s="11">
        <v>1</v>
      </c>
      <c r="AH178" s="11">
        <v>1</v>
      </c>
      <c r="AI178" s="11">
        <v>1</v>
      </c>
      <c r="AJ178" s="11">
        <v>1</v>
      </c>
      <c r="AK178" s="11">
        <v>1</v>
      </c>
      <c r="AL178" s="11" t="s">
        <v>137</v>
      </c>
      <c r="AM178" s="11" t="s">
        <v>137</v>
      </c>
    </row>
    <row r="179" spans="1:44" ht="16">
      <c r="A179" s="11" t="s">
        <v>137</v>
      </c>
      <c r="B179" s="11" t="s">
        <v>137</v>
      </c>
      <c r="C179" s="11" t="s">
        <v>137</v>
      </c>
      <c r="E179" s="11" t="s">
        <v>137</v>
      </c>
      <c r="F179" s="11" t="s">
        <v>137</v>
      </c>
      <c r="G179" s="11" t="s">
        <v>137</v>
      </c>
      <c r="H179" s="11" t="s">
        <v>137</v>
      </c>
      <c r="I179" s="11" t="s">
        <v>137</v>
      </c>
      <c r="J179" s="11" t="s">
        <v>137</v>
      </c>
      <c r="K179" s="17" t="s">
        <v>137</v>
      </c>
      <c r="L179" s="17" t="s">
        <v>137</v>
      </c>
      <c r="M179" s="17" t="s">
        <v>137</v>
      </c>
      <c r="N179" s="17" t="s">
        <v>137</v>
      </c>
      <c r="O179" s="17" t="s">
        <v>137</v>
      </c>
      <c r="P179" s="17" t="s">
        <v>137</v>
      </c>
      <c r="Q179" s="17" t="s">
        <v>137</v>
      </c>
      <c r="R179" s="11" t="s">
        <v>137</v>
      </c>
      <c r="S179" s="12" t="s">
        <v>137</v>
      </c>
      <c r="T179" s="11" t="s">
        <v>137</v>
      </c>
      <c r="U179" s="11" t="s">
        <v>137</v>
      </c>
      <c r="V179" s="11" t="s">
        <v>137</v>
      </c>
      <c r="W179" s="11" t="s">
        <v>137</v>
      </c>
      <c r="X179" s="11" t="s">
        <v>137</v>
      </c>
      <c r="Y179" s="11" t="s">
        <v>137</v>
      </c>
      <c r="Z179" s="11" t="s">
        <v>137</v>
      </c>
      <c r="AA179" s="11" t="s">
        <v>137</v>
      </c>
      <c r="AB179" s="11">
        <v>1</v>
      </c>
      <c r="AC179" s="11">
        <v>1</v>
      </c>
      <c r="AD179" s="11">
        <v>1</v>
      </c>
      <c r="AF179" s="11">
        <v>1</v>
      </c>
      <c r="AG179" s="11">
        <v>1</v>
      </c>
      <c r="AH179" s="11">
        <v>1</v>
      </c>
      <c r="AI179" s="11">
        <v>1</v>
      </c>
      <c r="AJ179" s="11">
        <v>1</v>
      </c>
      <c r="AK179" s="11">
        <v>1</v>
      </c>
      <c r="AL179" s="11" t="s">
        <v>137</v>
      </c>
      <c r="AM179" s="11" t="s">
        <v>137</v>
      </c>
    </row>
    <row r="180" spans="1:44" ht="16">
      <c r="A180" s="11" t="s">
        <v>137</v>
      </c>
      <c r="B180" s="11" t="s">
        <v>137</v>
      </c>
      <c r="C180" s="11" t="s">
        <v>137</v>
      </c>
      <c r="E180" s="11" t="s">
        <v>137</v>
      </c>
      <c r="F180" s="11" t="s">
        <v>137</v>
      </c>
      <c r="G180" s="11" t="s">
        <v>137</v>
      </c>
      <c r="H180" s="11" t="s">
        <v>137</v>
      </c>
      <c r="I180" s="11" t="s">
        <v>137</v>
      </c>
      <c r="J180" s="11" t="s">
        <v>137</v>
      </c>
      <c r="K180" s="17" t="s">
        <v>137</v>
      </c>
      <c r="L180" s="17" t="s">
        <v>137</v>
      </c>
      <c r="M180" s="17" t="s">
        <v>137</v>
      </c>
      <c r="N180" s="17" t="s">
        <v>137</v>
      </c>
      <c r="O180" s="17" t="s">
        <v>137</v>
      </c>
      <c r="P180" s="17" t="s">
        <v>137</v>
      </c>
      <c r="Q180" s="17" t="s">
        <v>137</v>
      </c>
      <c r="R180" s="11" t="s">
        <v>137</v>
      </c>
      <c r="S180" s="12" t="s">
        <v>137</v>
      </c>
      <c r="T180" s="11" t="s">
        <v>137</v>
      </c>
      <c r="U180" s="11" t="s">
        <v>137</v>
      </c>
      <c r="V180" s="11" t="s">
        <v>137</v>
      </c>
      <c r="W180" s="11" t="s">
        <v>137</v>
      </c>
      <c r="X180" s="11" t="s">
        <v>137</v>
      </c>
      <c r="Y180" s="11" t="s">
        <v>137</v>
      </c>
      <c r="Z180" s="11" t="s">
        <v>137</v>
      </c>
      <c r="AA180" s="11" t="s">
        <v>137</v>
      </c>
      <c r="AB180" s="11">
        <v>1</v>
      </c>
      <c r="AC180" s="11">
        <v>1</v>
      </c>
      <c r="AD180" s="11">
        <v>1</v>
      </c>
      <c r="AF180" s="11">
        <v>1</v>
      </c>
      <c r="AG180" s="11">
        <v>1</v>
      </c>
      <c r="AH180" s="11">
        <v>1</v>
      </c>
      <c r="AI180" s="11">
        <v>1</v>
      </c>
      <c r="AJ180" s="11">
        <v>1</v>
      </c>
      <c r="AK180" s="11">
        <v>1</v>
      </c>
      <c r="AL180" s="11" t="s">
        <v>137</v>
      </c>
      <c r="AM180" s="11" t="s">
        <v>137</v>
      </c>
    </row>
    <row r="181" spans="1:44" ht="16">
      <c r="A181" s="11" t="s">
        <v>137</v>
      </c>
      <c r="B181" s="11" t="s">
        <v>137</v>
      </c>
      <c r="C181" s="11" t="s">
        <v>137</v>
      </c>
      <c r="E181" s="11" t="s">
        <v>137</v>
      </c>
      <c r="F181" s="11" t="s">
        <v>137</v>
      </c>
      <c r="G181" s="11" t="s">
        <v>137</v>
      </c>
      <c r="H181" s="11" t="s">
        <v>137</v>
      </c>
      <c r="I181" s="11" t="s">
        <v>137</v>
      </c>
      <c r="J181" s="11" t="s">
        <v>137</v>
      </c>
      <c r="K181" s="17" t="s">
        <v>137</v>
      </c>
      <c r="L181" s="17" t="s">
        <v>137</v>
      </c>
      <c r="M181" s="17" t="s">
        <v>137</v>
      </c>
      <c r="N181" s="17" t="s">
        <v>137</v>
      </c>
      <c r="O181" s="17" t="s">
        <v>137</v>
      </c>
      <c r="P181" s="17" t="s">
        <v>137</v>
      </c>
      <c r="Q181" s="17" t="s">
        <v>137</v>
      </c>
      <c r="R181" s="11" t="s">
        <v>137</v>
      </c>
      <c r="S181" s="12" t="s">
        <v>137</v>
      </c>
      <c r="T181" s="11" t="s">
        <v>137</v>
      </c>
      <c r="U181" s="11" t="s">
        <v>137</v>
      </c>
      <c r="V181" s="11" t="s">
        <v>137</v>
      </c>
      <c r="W181" s="11" t="s">
        <v>137</v>
      </c>
      <c r="X181" s="11" t="s">
        <v>137</v>
      </c>
      <c r="Y181" s="11" t="s">
        <v>137</v>
      </c>
      <c r="Z181" s="11" t="s">
        <v>137</v>
      </c>
      <c r="AA181" s="11" t="s">
        <v>137</v>
      </c>
      <c r="AB181" s="11">
        <v>1</v>
      </c>
      <c r="AC181" s="11">
        <v>1</v>
      </c>
      <c r="AD181" s="11">
        <v>1</v>
      </c>
      <c r="AF181" s="11">
        <v>1</v>
      </c>
      <c r="AG181" s="11">
        <v>1</v>
      </c>
      <c r="AH181" s="11">
        <v>1</v>
      </c>
      <c r="AI181" s="11">
        <v>1</v>
      </c>
      <c r="AJ181" s="11">
        <v>1</v>
      </c>
      <c r="AK181" s="11">
        <v>1</v>
      </c>
      <c r="AL181" s="11" t="s">
        <v>137</v>
      </c>
      <c r="AM181" s="11" t="s">
        <v>137</v>
      </c>
    </row>
    <row r="182" spans="1:44" ht="16">
      <c r="A182" s="11" t="s">
        <v>137</v>
      </c>
      <c r="B182" s="11" t="s">
        <v>137</v>
      </c>
      <c r="C182" s="11" t="s">
        <v>137</v>
      </c>
      <c r="E182" s="11" t="s">
        <v>137</v>
      </c>
      <c r="F182" s="11" t="s">
        <v>137</v>
      </c>
      <c r="G182" s="11" t="s">
        <v>137</v>
      </c>
      <c r="H182" s="11">
        <v>1</v>
      </c>
      <c r="I182" s="11">
        <v>1</v>
      </c>
      <c r="J182" s="11">
        <v>1</v>
      </c>
      <c r="K182" s="17">
        <v>1</v>
      </c>
      <c r="L182" s="17">
        <v>1</v>
      </c>
      <c r="M182" s="17">
        <v>1</v>
      </c>
      <c r="N182" s="17">
        <v>1</v>
      </c>
      <c r="O182" s="17">
        <v>1</v>
      </c>
      <c r="P182" s="17">
        <v>1</v>
      </c>
      <c r="Q182" s="17">
        <v>1</v>
      </c>
      <c r="R182" s="11">
        <v>1</v>
      </c>
      <c r="S182" s="12">
        <v>1</v>
      </c>
      <c r="T182" s="11">
        <v>1</v>
      </c>
      <c r="U182" s="11">
        <v>1</v>
      </c>
      <c r="V182" s="11">
        <v>1</v>
      </c>
      <c r="W182" s="11">
        <v>1</v>
      </c>
      <c r="X182" s="11">
        <v>1</v>
      </c>
      <c r="Y182" s="11">
        <v>1</v>
      </c>
      <c r="Z182" s="11">
        <v>1</v>
      </c>
      <c r="AA182" s="11">
        <v>1</v>
      </c>
      <c r="AB182" s="11">
        <v>1</v>
      </c>
      <c r="AC182" s="11">
        <v>1</v>
      </c>
      <c r="AD182" s="11">
        <v>1</v>
      </c>
      <c r="AF182" s="11">
        <v>1</v>
      </c>
      <c r="AG182" s="11">
        <v>1</v>
      </c>
      <c r="AH182" s="11">
        <v>1</v>
      </c>
      <c r="AI182" s="11">
        <v>1</v>
      </c>
      <c r="AJ182" s="11">
        <v>1</v>
      </c>
      <c r="AK182" s="11">
        <v>1</v>
      </c>
      <c r="AL182" s="11" t="s">
        <v>137</v>
      </c>
      <c r="AM182" s="11" t="s">
        <v>137</v>
      </c>
    </row>
    <row r="183" spans="1:44" ht="16">
      <c r="A183" s="11" t="s">
        <v>137</v>
      </c>
      <c r="B183" s="11" t="s">
        <v>137</v>
      </c>
      <c r="C183" s="11" t="s">
        <v>137</v>
      </c>
      <c r="E183" s="11" t="s">
        <v>137</v>
      </c>
      <c r="F183" s="11" t="s">
        <v>137</v>
      </c>
      <c r="G183" s="11" t="s">
        <v>137</v>
      </c>
      <c r="H183" s="11" t="s">
        <v>137</v>
      </c>
      <c r="I183" s="11" t="s">
        <v>137</v>
      </c>
      <c r="J183" s="11" t="s">
        <v>137</v>
      </c>
      <c r="K183" s="17" t="s">
        <v>137</v>
      </c>
      <c r="L183" s="17" t="s">
        <v>137</v>
      </c>
      <c r="M183" s="17" t="s">
        <v>137</v>
      </c>
      <c r="N183" s="17" t="s">
        <v>137</v>
      </c>
      <c r="O183" s="17" t="s">
        <v>137</v>
      </c>
      <c r="P183" s="17" t="s">
        <v>137</v>
      </c>
      <c r="Q183" s="17" t="s">
        <v>137</v>
      </c>
      <c r="R183" s="11" t="s">
        <v>137</v>
      </c>
      <c r="S183" s="12" t="s">
        <v>137</v>
      </c>
      <c r="T183" s="11" t="s">
        <v>137</v>
      </c>
      <c r="U183" s="11" t="s">
        <v>137</v>
      </c>
      <c r="V183" s="11" t="s">
        <v>137</v>
      </c>
      <c r="W183" s="11" t="s">
        <v>137</v>
      </c>
      <c r="X183" s="11" t="s">
        <v>137</v>
      </c>
      <c r="Y183" s="11" t="s">
        <v>137</v>
      </c>
      <c r="Z183" s="11" t="s">
        <v>137</v>
      </c>
      <c r="AA183" s="11" t="s">
        <v>137</v>
      </c>
      <c r="AB183" s="11">
        <v>1</v>
      </c>
      <c r="AC183" s="11">
        <v>1</v>
      </c>
      <c r="AD183" s="11">
        <v>1</v>
      </c>
      <c r="AF183" s="11">
        <v>1</v>
      </c>
      <c r="AG183" s="11">
        <v>1</v>
      </c>
      <c r="AH183" s="11">
        <v>1</v>
      </c>
      <c r="AI183" s="11">
        <v>1</v>
      </c>
      <c r="AJ183" s="11">
        <v>1</v>
      </c>
      <c r="AK183" s="11">
        <v>1</v>
      </c>
      <c r="AL183" s="11" t="s">
        <v>137</v>
      </c>
      <c r="AM183" s="11" t="s">
        <v>137</v>
      </c>
    </row>
    <row r="184" spans="1:44" ht="16">
      <c r="A184" s="11" t="s">
        <v>137</v>
      </c>
      <c r="B184" s="11" t="s">
        <v>137</v>
      </c>
      <c r="C184" s="11" t="s">
        <v>137</v>
      </c>
      <c r="E184" s="11" t="s">
        <v>137</v>
      </c>
      <c r="F184" s="11" t="s">
        <v>137</v>
      </c>
      <c r="G184" s="11" t="s">
        <v>137</v>
      </c>
      <c r="H184" s="11" t="s">
        <v>137</v>
      </c>
      <c r="I184" s="11" t="s">
        <v>137</v>
      </c>
      <c r="J184" s="11" t="s">
        <v>137</v>
      </c>
      <c r="K184" s="17" t="s">
        <v>137</v>
      </c>
      <c r="L184" s="17" t="s">
        <v>137</v>
      </c>
      <c r="M184" s="17" t="s">
        <v>137</v>
      </c>
      <c r="N184" s="17" t="s">
        <v>137</v>
      </c>
      <c r="O184" s="17" t="s">
        <v>137</v>
      </c>
      <c r="P184" s="17" t="s">
        <v>137</v>
      </c>
      <c r="Q184" s="17" t="s">
        <v>137</v>
      </c>
      <c r="R184" s="11" t="s">
        <v>137</v>
      </c>
      <c r="S184" s="12" t="s">
        <v>137</v>
      </c>
      <c r="T184" s="11" t="s">
        <v>137</v>
      </c>
      <c r="U184" s="11" t="s">
        <v>137</v>
      </c>
      <c r="V184" s="11" t="s">
        <v>137</v>
      </c>
      <c r="W184" s="11" t="s">
        <v>137</v>
      </c>
      <c r="X184" s="11" t="s">
        <v>137</v>
      </c>
      <c r="Y184" s="11" t="s">
        <v>137</v>
      </c>
      <c r="Z184" s="11" t="s">
        <v>137</v>
      </c>
      <c r="AA184" s="11" t="s">
        <v>137</v>
      </c>
      <c r="AB184" s="11">
        <v>1</v>
      </c>
      <c r="AC184" s="11">
        <v>1</v>
      </c>
      <c r="AD184" s="11">
        <v>1</v>
      </c>
      <c r="AF184" s="11">
        <v>1</v>
      </c>
      <c r="AG184" s="11">
        <v>1</v>
      </c>
      <c r="AH184" s="11">
        <v>1</v>
      </c>
      <c r="AI184" s="11">
        <v>1</v>
      </c>
      <c r="AJ184" s="11">
        <v>1</v>
      </c>
      <c r="AK184" s="11">
        <v>1</v>
      </c>
      <c r="AL184" s="11" t="s">
        <v>137</v>
      </c>
      <c r="AM184" s="11" t="s">
        <v>137</v>
      </c>
    </row>
    <row r="185" spans="1:44" ht="16">
      <c r="A185" s="11" t="s">
        <v>137</v>
      </c>
      <c r="B185" s="11" t="s">
        <v>137</v>
      </c>
      <c r="C185" s="11" t="s">
        <v>137</v>
      </c>
      <c r="E185" s="11" t="s">
        <v>137</v>
      </c>
      <c r="F185" s="11" t="s">
        <v>137</v>
      </c>
      <c r="G185" s="11" t="s">
        <v>137</v>
      </c>
      <c r="H185" s="11" t="s">
        <v>137</v>
      </c>
      <c r="I185" s="11" t="s">
        <v>137</v>
      </c>
      <c r="J185" s="11" t="s">
        <v>137</v>
      </c>
      <c r="K185" s="17" t="s">
        <v>137</v>
      </c>
      <c r="L185" s="17" t="s">
        <v>137</v>
      </c>
      <c r="M185" s="17" t="s">
        <v>137</v>
      </c>
      <c r="N185" s="17" t="s">
        <v>137</v>
      </c>
      <c r="O185" s="17" t="s">
        <v>137</v>
      </c>
      <c r="P185" s="17" t="s">
        <v>137</v>
      </c>
      <c r="Q185" s="17" t="s">
        <v>137</v>
      </c>
      <c r="R185" s="11" t="s">
        <v>137</v>
      </c>
      <c r="S185" s="12" t="s">
        <v>137</v>
      </c>
      <c r="T185" s="11" t="s">
        <v>137</v>
      </c>
      <c r="U185" s="11" t="s">
        <v>137</v>
      </c>
      <c r="V185" s="11" t="s">
        <v>137</v>
      </c>
      <c r="W185" s="11" t="s">
        <v>137</v>
      </c>
      <c r="X185" s="11" t="s">
        <v>137</v>
      </c>
      <c r="Y185" s="11" t="s">
        <v>137</v>
      </c>
      <c r="Z185" s="11" t="s">
        <v>137</v>
      </c>
      <c r="AA185" s="11" t="s">
        <v>137</v>
      </c>
      <c r="AB185" s="11">
        <v>1</v>
      </c>
      <c r="AC185" s="11">
        <v>1</v>
      </c>
      <c r="AD185" s="11">
        <v>1</v>
      </c>
      <c r="AF185" s="11">
        <v>1</v>
      </c>
      <c r="AG185" s="11">
        <v>1</v>
      </c>
      <c r="AH185" s="11">
        <v>1</v>
      </c>
      <c r="AI185" s="11">
        <v>1</v>
      </c>
      <c r="AJ185" s="11">
        <v>1</v>
      </c>
      <c r="AK185" s="11">
        <v>1</v>
      </c>
      <c r="AL185" s="11" t="s">
        <v>137</v>
      </c>
      <c r="AM185" s="11" t="s">
        <v>137</v>
      </c>
    </row>
    <row r="186" spans="1:44" ht="16">
      <c r="A186" s="11" t="s">
        <v>137</v>
      </c>
      <c r="B186" s="11" t="s">
        <v>137</v>
      </c>
      <c r="C186" s="11" t="s">
        <v>137</v>
      </c>
      <c r="E186" s="11" t="s">
        <v>137</v>
      </c>
      <c r="F186" s="11" t="s">
        <v>137</v>
      </c>
      <c r="G186" s="11" t="s">
        <v>137</v>
      </c>
      <c r="H186" s="11" t="s">
        <v>137</v>
      </c>
      <c r="I186" s="11" t="s">
        <v>137</v>
      </c>
      <c r="J186" s="11" t="s">
        <v>137</v>
      </c>
      <c r="K186" s="17" t="s">
        <v>137</v>
      </c>
      <c r="L186" s="17" t="s">
        <v>137</v>
      </c>
      <c r="M186" s="17" t="s">
        <v>137</v>
      </c>
      <c r="N186" s="17" t="s">
        <v>137</v>
      </c>
      <c r="O186" s="17" t="s">
        <v>137</v>
      </c>
      <c r="P186" s="17" t="s">
        <v>137</v>
      </c>
      <c r="Q186" s="17" t="s">
        <v>137</v>
      </c>
      <c r="R186" s="11" t="s">
        <v>137</v>
      </c>
      <c r="S186" s="12" t="s">
        <v>137</v>
      </c>
      <c r="T186" s="11" t="s">
        <v>137</v>
      </c>
      <c r="U186" s="11" t="s">
        <v>137</v>
      </c>
      <c r="V186" s="11" t="s">
        <v>137</v>
      </c>
      <c r="W186" s="11" t="s">
        <v>137</v>
      </c>
      <c r="X186" s="11" t="s">
        <v>137</v>
      </c>
      <c r="Y186" s="11" t="s">
        <v>137</v>
      </c>
      <c r="Z186" s="11" t="s">
        <v>137</v>
      </c>
      <c r="AA186" s="11" t="s">
        <v>137</v>
      </c>
      <c r="AB186" s="11">
        <v>1</v>
      </c>
      <c r="AC186" s="11">
        <v>1</v>
      </c>
      <c r="AD186" s="11">
        <v>1</v>
      </c>
      <c r="AF186" s="11">
        <v>1</v>
      </c>
      <c r="AG186" s="11">
        <v>1</v>
      </c>
      <c r="AH186" s="11">
        <v>1</v>
      </c>
      <c r="AI186" s="11">
        <v>1</v>
      </c>
      <c r="AJ186" s="11">
        <v>1</v>
      </c>
      <c r="AK186" s="11">
        <v>1</v>
      </c>
      <c r="AL186" s="11" t="s">
        <v>137</v>
      </c>
      <c r="AM186" s="11" t="s">
        <v>137</v>
      </c>
    </row>
    <row r="187" spans="1:44" ht="16">
      <c r="A187" s="11">
        <v>1</v>
      </c>
      <c r="B187" s="11">
        <v>1</v>
      </c>
      <c r="C187" s="11">
        <v>1</v>
      </c>
      <c r="E187" s="11">
        <v>1</v>
      </c>
      <c r="F187" s="11">
        <v>1</v>
      </c>
      <c r="G187" s="11">
        <v>1</v>
      </c>
      <c r="H187" s="11">
        <v>1</v>
      </c>
      <c r="I187" s="11">
        <v>1</v>
      </c>
      <c r="J187" s="11">
        <v>0</v>
      </c>
      <c r="K187" s="17">
        <v>0</v>
      </c>
      <c r="L187" s="17">
        <v>1</v>
      </c>
      <c r="M187" s="17">
        <v>1</v>
      </c>
      <c r="N187" s="17">
        <v>1</v>
      </c>
      <c r="O187" s="17">
        <v>1</v>
      </c>
      <c r="P187" s="17">
        <v>1</v>
      </c>
      <c r="Q187" s="17">
        <v>1</v>
      </c>
      <c r="R187" s="11">
        <v>1</v>
      </c>
      <c r="S187" s="12">
        <v>1</v>
      </c>
      <c r="T187" s="11">
        <v>1</v>
      </c>
      <c r="U187" s="11">
        <v>1</v>
      </c>
      <c r="V187" s="11">
        <v>1</v>
      </c>
      <c r="W187" s="11">
        <v>1</v>
      </c>
      <c r="X187" s="11">
        <v>1</v>
      </c>
      <c r="Y187" s="11">
        <v>1</v>
      </c>
      <c r="Z187" s="11">
        <v>1</v>
      </c>
      <c r="AA187" s="11">
        <v>1</v>
      </c>
      <c r="AB187" s="11">
        <v>1</v>
      </c>
      <c r="AC187" s="11">
        <v>1</v>
      </c>
      <c r="AD187" s="11">
        <v>1</v>
      </c>
      <c r="AF187" s="11">
        <v>1</v>
      </c>
      <c r="AG187" s="11">
        <v>1</v>
      </c>
      <c r="AH187" s="11">
        <v>1</v>
      </c>
      <c r="AI187" s="11">
        <v>1</v>
      </c>
      <c r="AJ187" s="11">
        <v>1</v>
      </c>
      <c r="AK187" s="11">
        <v>1</v>
      </c>
      <c r="AL187" s="11" t="s">
        <v>137</v>
      </c>
      <c r="AM187" s="11" t="s">
        <v>137</v>
      </c>
    </row>
    <row r="188" spans="1:44" ht="17" thickBot="1">
      <c r="A188" s="107" t="s">
        <v>137</v>
      </c>
      <c r="B188" s="107" t="s">
        <v>137</v>
      </c>
      <c r="C188" s="107" t="s">
        <v>137</v>
      </c>
      <c r="D188" s="107"/>
      <c r="E188" s="107" t="s">
        <v>137</v>
      </c>
      <c r="F188" s="107" t="s">
        <v>137</v>
      </c>
      <c r="G188" s="107" t="s">
        <v>137</v>
      </c>
      <c r="H188" s="107">
        <v>1</v>
      </c>
      <c r="I188" s="107">
        <v>1</v>
      </c>
      <c r="J188" s="107">
        <v>0</v>
      </c>
      <c r="K188" s="177">
        <v>0</v>
      </c>
      <c r="L188" s="177">
        <v>1</v>
      </c>
      <c r="M188" s="177">
        <v>1</v>
      </c>
      <c r="N188" s="177">
        <v>1</v>
      </c>
      <c r="O188" s="177">
        <v>1</v>
      </c>
      <c r="P188" s="177">
        <v>1</v>
      </c>
      <c r="Q188" s="177">
        <v>1</v>
      </c>
      <c r="R188" s="107">
        <v>1</v>
      </c>
      <c r="S188" s="178">
        <v>1</v>
      </c>
      <c r="T188" s="107">
        <v>1</v>
      </c>
      <c r="U188" s="107">
        <v>1</v>
      </c>
      <c r="V188" s="107">
        <v>1</v>
      </c>
      <c r="W188" s="107">
        <v>1</v>
      </c>
      <c r="X188" s="107">
        <v>1</v>
      </c>
      <c r="Y188" s="107">
        <v>1</v>
      </c>
      <c r="Z188" s="107">
        <v>1</v>
      </c>
      <c r="AA188" s="107">
        <v>1</v>
      </c>
      <c r="AB188" s="107">
        <v>1</v>
      </c>
      <c r="AC188" s="107">
        <v>1</v>
      </c>
      <c r="AD188" s="107">
        <v>1</v>
      </c>
      <c r="AE188" s="107"/>
      <c r="AF188" s="107">
        <v>1</v>
      </c>
      <c r="AG188" s="107">
        <v>1</v>
      </c>
      <c r="AH188" s="107">
        <v>1</v>
      </c>
      <c r="AI188" s="107">
        <v>1</v>
      </c>
      <c r="AJ188" s="107">
        <v>1</v>
      </c>
      <c r="AK188" s="107">
        <v>1</v>
      </c>
      <c r="AL188" s="107" t="s">
        <v>137</v>
      </c>
      <c r="AM188" s="107" t="s">
        <v>137</v>
      </c>
    </row>
    <row r="189" spans="1:44" ht="17" thickTop="1">
      <c r="A189" s="11">
        <v>1</v>
      </c>
      <c r="B189" s="11">
        <v>1</v>
      </c>
      <c r="C189" s="11">
        <v>1</v>
      </c>
      <c r="E189" s="11">
        <v>1</v>
      </c>
      <c r="F189" s="11">
        <v>1</v>
      </c>
      <c r="G189" s="11">
        <v>1</v>
      </c>
      <c r="H189" s="11">
        <v>1</v>
      </c>
      <c r="I189" s="11">
        <v>1</v>
      </c>
      <c r="J189" s="11">
        <v>1</v>
      </c>
      <c r="K189" s="17">
        <v>1</v>
      </c>
      <c r="L189" s="17">
        <v>1</v>
      </c>
      <c r="M189" s="17">
        <v>1</v>
      </c>
      <c r="N189" s="17">
        <v>1</v>
      </c>
      <c r="O189" s="17">
        <v>1</v>
      </c>
      <c r="P189" s="17">
        <v>1</v>
      </c>
      <c r="Q189" s="17">
        <v>1</v>
      </c>
      <c r="R189" s="11">
        <v>1</v>
      </c>
      <c r="S189" s="12">
        <v>1</v>
      </c>
      <c r="T189" s="11">
        <v>1</v>
      </c>
      <c r="U189" s="11">
        <v>1</v>
      </c>
      <c r="V189" s="11">
        <v>1</v>
      </c>
      <c r="W189" s="11">
        <v>1</v>
      </c>
      <c r="X189" s="11">
        <v>1</v>
      </c>
      <c r="Y189" s="11">
        <v>1</v>
      </c>
      <c r="Z189" s="11">
        <v>1</v>
      </c>
      <c r="AA189" s="11">
        <v>1</v>
      </c>
      <c r="AB189" s="11">
        <v>1</v>
      </c>
      <c r="AC189" s="11">
        <v>1</v>
      </c>
      <c r="AD189" s="11">
        <v>1</v>
      </c>
      <c r="AF189" s="11">
        <v>1</v>
      </c>
      <c r="AG189" s="11">
        <v>1</v>
      </c>
      <c r="AH189" s="11">
        <v>1</v>
      </c>
      <c r="AI189" s="11">
        <v>1</v>
      </c>
      <c r="AJ189" s="11">
        <v>1</v>
      </c>
      <c r="AK189" s="11">
        <v>1</v>
      </c>
      <c r="AN189" s="2" t="s">
        <v>142</v>
      </c>
      <c r="AO189" s="20" t="s">
        <v>746</v>
      </c>
      <c r="AP189" s="54">
        <f>SUM(A189:AK205)</f>
        <v>425</v>
      </c>
      <c r="AQ189" s="20">
        <f>COUNT(A189:AK205)</f>
        <v>442</v>
      </c>
      <c r="AR189" s="55">
        <f>AP189/AQ189</f>
        <v>0.96153846153846156</v>
      </c>
    </row>
    <row r="190" spans="1:44" ht="16">
      <c r="A190" s="11" t="s">
        <v>137</v>
      </c>
      <c r="B190" s="11" t="s">
        <v>137</v>
      </c>
      <c r="C190" s="11" t="s">
        <v>137</v>
      </c>
      <c r="E190" s="11" t="s">
        <v>137</v>
      </c>
      <c r="F190" s="11" t="s">
        <v>137</v>
      </c>
      <c r="G190" s="11" t="s">
        <v>137</v>
      </c>
      <c r="H190" s="11">
        <v>1</v>
      </c>
      <c r="I190" s="11">
        <v>1</v>
      </c>
      <c r="J190" s="11">
        <v>1</v>
      </c>
      <c r="K190" s="17">
        <v>1</v>
      </c>
      <c r="L190" s="17">
        <v>1</v>
      </c>
      <c r="M190" s="17">
        <v>1</v>
      </c>
      <c r="N190" s="17">
        <v>1</v>
      </c>
      <c r="O190" s="17">
        <v>1</v>
      </c>
      <c r="P190" s="17">
        <v>1</v>
      </c>
      <c r="Q190" s="17">
        <v>1</v>
      </c>
      <c r="R190" s="11">
        <v>1</v>
      </c>
      <c r="S190" s="12">
        <v>1</v>
      </c>
      <c r="T190" s="11">
        <v>1</v>
      </c>
      <c r="U190" s="11">
        <v>1</v>
      </c>
      <c r="V190" s="11">
        <v>1</v>
      </c>
      <c r="W190" s="11">
        <v>1</v>
      </c>
      <c r="X190" s="11">
        <v>1</v>
      </c>
      <c r="Y190" s="11">
        <v>1</v>
      </c>
      <c r="Z190" s="11">
        <v>1</v>
      </c>
      <c r="AA190" s="11">
        <v>1</v>
      </c>
      <c r="AB190" s="11">
        <v>1</v>
      </c>
      <c r="AC190" s="11">
        <v>1</v>
      </c>
      <c r="AD190" s="11">
        <v>1</v>
      </c>
      <c r="AF190" s="11">
        <v>1</v>
      </c>
      <c r="AG190" s="11">
        <v>1</v>
      </c>
      <c r="AH190" s="11">
        <v>1</v>
      </c>
      <c r="AI190" s="11">
        <v>1</v>
      </c>
      <c r="AJ190" s="11">
        <v>1</v>
      </c>
      <c r="AK190" s="11">
        <v>1</v>
      </c>
      <c r="AN190" s="2"/>
      <c r="AO190" s="20"/>
      <c r="AP190" s="54"/>
      <c r="AQ190" s="54"/>
      <c r="AR190" s="55"/>
    </row>
    <row r="191" spans="1:44" ht="16">
      <c r="A191" s="11" t="s">
        <v>137</v>
      </c>
      <c r="B191" s="11" t="s">
        <v>137</v>
      </c>
      <c r="C191" s="11" t="s">
        <v>137</v>
      </c>
      <c r="E191" s="11" t="s">
        <v>137</v>
      </c>
      <c r="F191" s="11" t="s">
        <v>137</v>
      </c>
      <c r="G191" s="11" t="s">
        <v>137</v>
      </c>
      <c r="H191" s="11">
        <v>1</v>
      </c>
      <c r="I191" s="11">
        <v>1</v>
      </c>
      <c r="J191" s="11">
        <v>1</v>
      </c>
      <c r="K191" s="17">
        <v>1</v>
      </c>
      <c r="L191" s="17">
        <v>1</v>
      </c>
      <c r="M191" s="17">
        <v>1</v>
      </c>
      <c r="N191" s="17">
        <v>1</v>
      </c>
      <c r="O191" s="17">
        <v>1</v>
      </c>
      <c r="P191" s="17">
        <v>1</v>
      </c>
      <c r="Q191" s="17">
        <v>1</v>
      </c>
      <c r="R191" s="11">
        <v>1</v>
      </c>
      <c r="S191" s="12">
        <v>1</v>
      </c>
      <c r="T191" s="11">
        <v>1</v>
      </c>
      <c r="U191" s="11">
        <v>1</v>
      </c>
      <c r="V191" s="11">
        <v>1</v>
      </c>
      <c r="W191" s="11">
        <v>1</v>
      </c>
      <c r="X191" s="11">
        <v>1</v>
      </c>
      <c r="Y191" s="11">
        <v>1</v>
      </c>
      <c r="Z191" s="11">
        <v>1</v>
      </c>
      <c r="AA191" s="11">
        <v>1</v>
      </c>
      <c r="AB191" s="11">
        <v>1</v>
      </c>
      <c r="AC191" s="11">
        <v>1</v>
      </c>
      <c r="AD191" s="11">
        <v>1</v>
      </c>
      <c r="AF191" s="11">
        <v>1</v>
      </c>
      <c r="AG191" s="11">
        <v>1</v>
      </c>
      <c r="AH191" s="11">
        <v>1</v>
      </c>
      <c r="AI191" s="11">
        <v>1</v>
      </c>
      <c r="AJ191" s="11">
        <v>1</v>
      </c>
      <c r="AK191" s="11">
        <v>1</v>
      </c>
      <c r="AN191" s="2"/>
      <c r="AO191" s="20"/>
      <c r="AP191" s="20"/>
      <c r="AQ191" s="20"/>
      <c r="AR191" s="20"/>
    </row>
    <row r="192" spans="1:44" ht="16">
      <c r="A192" s="11" t="s">
        <v>137</v>
      </c>
      <c r="B192" s="11" t="s">
        <v>137</v>
      </c>
      <c r="C192" s="11" t="s">
        <v>137</v>
      </c>
      <c r="E192" s="11" t="s">
        <v>137</v>
      </c>
      <c r="F192" s="11" t="s">
        <v>137</v>
      </c>
      <c r="G192" s="11" t="s">
        <v>137</v>
      </c>
      <c r="H192" s="11">
        <v>1</v>
      </c>
      <c r="I192" s="11">
        <v>1</v>
      </c>
      <c r="J192" s="11">
        <v>1</v>
      </c>
      <c r="K192" s="17">
        <v>1</v>
      </c>
      <c r="L192" s="17">
        <v>1</v>
      </c>
      <c r="M192" s="17">
        <v>1</v>
      </c>
      <c r="N192" s="17">
        <v>1</v>
      </c>
      <c r="O192" s="17">
        <v>1</v>
      </c>
      <c r="P192" s="17">
        <v>1</v>
      </c>
      <c r="Q192" s="17">
        <v>1</v>
      </c>
      <c r="R192" s="11">
        <v>1</v>
      </c>
      <c r="S192" s="12">
        <v>1</v>
      </c>
      <c r="T192" s="11">
        <v>1</v>
      </c>
      <c r="U192" s="11">
        <v>1</v>
      </c>
      <c r="V192" s="11">
        <v>1</v>
      </c>
      <c r="W192" s="11">
        <v>1</v>
      </c>
      <c r="X192" s="11">
        <v>1</v>
      </c>
      <c r="Y192" s="11">
        <v>1</v>
      </c>
      <c r="Z192" s="11">
        <v>1</v>
      </c>
      <c r="AA192" s="11">
        <v>1</v>
      </c>
      <c r="AB192" s="11">
        <v>1</v>
      </c>
      <c r="AC192" s="11">
        <v>1</v>
      </c>
      <c r="AD192" s="11">
        <v>1</v>
      </c>
      <c r="AF192" s="11">
        <v>1</v>
      </c>
      <c r="AG192" s="11">
        <v>1</v>
      </c>
      <c r="AH192" s="11">
        <v>1</v>
      </c>
      <c r="AI192" s="11">
        <v>1</v>
      </c>
      <c r="AJ192" s="11">
        <v>1</v>
      </c>
      <c r="AK192" s="11">
        <v>1</v>
      </c>
      <c r="AN192" s="2" t="s">
        <v>224</v>
      </c>
      <c r="AO192" s="20" t="s">
        <v>745</v>
      </c>
      <c r="AP192" s="54">
        <f>SUM(A3:AK205)</f>
        <v>4323</v>
      </c>
      <c r="AQ192" s="20">
        <f>COUNT(A3:AK205)</f>
        <v>4437</v>
      </c>
      <c r="AR192" s="55">
        <f>AP192/AQ192</f>
        <v>0.97430696416497631</v>
      </c>
    </row>
    <row r="193" spans="1:43">
      <c r="A193" s="11">
        <v>1</v>
      </c>
      <c r="B193" s="11">
        <v>1</v>
      </c>
      <c r="C193" s="11">
        <v>1</v>
      </c>
      <c r="E193" s="11">
        <v>1</v>
      </c>
      <c r="F193" s="11">
        <v>1</v>
      </c>
      <c r="G193" s="11">
        <v>1</v>
      </c>
      <c r="H193" s="11">
        <v>1</v>
      </c>
      <c r="I193" s="11">
        <v>1</v>
      </c>
      <c r="J193" s="11">
        <v>1</v>
      </c>
      <c r="K193" s="17">
        <v>1</v>
      </c>
      <c r="L193" s="17">
        <v>1</v>
      </c>
      <c r="M193" s="17">
        <v>1</v>
      </c>
      <c r="N193" s="17">
        <v>1</v>
      </c>
      <c r="O193" s="17">
        <v>1</v>
      </c>
      <c r="P193" s="17">
        <v>1</v>
      </c>
      <c r="Q193" s="17">
        <v>1</v>
      </c>
      <c r="R193" s="11">
        <v>1</v>
      </c>
      <c r="S193" s="12">
        <v>1</v>
      </c>
      <c r="T193" s="11">
        <v>1</v>
      </c>
      <c r="U193" s="11">
        <v>1</v>
      </c>
      <c r="V193" s="11">
        <v>1</v>
      </c>
      <c r="W193" s="11">
        <v>1</v>
      </c>
      <c r="X193" s="11">
        <v>1</v>
      </c>
      <c r="Y193" s="11">
        <v>1</v>
      </c>
      <c r="Z193" s="11">
        <v>1</v>
      </c>
      <c r="AA193" s="11">
        <v>1</v>
      </c>
      <c r="AB193" s="11">
        <v>1</v>
      </c>
      <c r="AC193" s="11">
        <v>1</v>
      </c>
      <c r="AD193" s="11">
        <v>1</v>
      </c>
      <c r="AF193" s="11">
        <v>1</v>
      </c>
      <c r="AG193" s="11">
        <v>1</v>
      </c>
      <c r="AH193" s="11">
        <v>1</v>
      </c>
      <c r="AI193" s="11">
        <v>1</v>
      </c>
      <c r="AJ193" s="11">
        <v>1</v>
      </c>
      <c r="AK193" s="11">
        <v>1</v>
      </c>
    </row>
    <row r="194" spans="1:43" ht="16">
      <c r="A194" s="11" t="s">
        <v>137</v>
      </c>
      <c r="B194" s="11" t="s">
        <v>137</v>
      </c>
      <c r="C194" s="11" t="s">
        <v>137</v>
      </c>
      <c r="E194" s="11" t="s">
        <v>137</v>
      </c>
      <c r="F194" s="11" t="s">
        <v>137</v>
      </c>
      <c r="G194" s="11" t="s">
        <v>137</v>
      </c>
      <c r="H194" s="11">
        <v>1</v>
      </c>
      <c r="I194" s="11">
        <v>1</v>
      </c>
      <c r="J194" s="11">
        <v>1</v>
      </c>
      <c r="K194" s="17">
        <v>1</v>
      </c>
      <c r="L194" s="17">
        <v>1</v>
      </c>
      <c r="M194" s="17">
        <v>1</v>
      </c>
      <c r="N194" s="17">
        <v>1</v>
      </c>
      <c r="O194" s="17">
        <v>1</v>
      </c>
      <c r="P194" s="17">
        <v>1</v>
      </c>
      <c r="Q194" s="17">
        <v>1</v>
      </c>
      <c r="R194" s="11">
        <v>1</v>
      </c>
      <c r="S194" s="12">
        <v>1</v>
      </c>
      <c r="T194" s="11">
        <v>1</v>
      </c>
      <c r="U194" s="11">
        <v>1</v>
      </c>
      <c r="V194" s="11">
        <v>1</v>
      </c>
      <c r="W194" s="11">
        <v>1</v>
      </c>
      <c r="X194" s="11">
        <v>1</v>
      </c>
      <c r="Y194" s="11">
        <v>1</v>
      </c>
      <c r="Z194" s="11">
        <v>1</v>
      </c>
      <c r="AA194" s="11">
        <v>1</v>
      </c>
      <c r="AB194" s="11">
        <v>1</v>
      </c>
      <c r="AC194" s="11">
        <v>1</v>
      </c>
      <c r="AD194" s="11">
        <v>1</v>
      </c>
      <c r="AF194" s="11">
        <v>1</v>
      </c>
      <c r="AG194" s="11">
        <v>1</v>
      </c>
      <c r="AH194" s="11">
        <v>1</v>
      </c>
      <c r="AI194" s="11">
        <v>1</v>
      </c>
      <c r="AJ194" s="11">
        <v>1</v>
      </c>
      <c r="AK194" s="11">
        <v>1</v>
      </c>
    </row>
    <row r="195" spans="1:43" ht="16">
      <c r="A195" s="11" t="s">
        <v>137</v>
      </c>
      <c r="B195" s="11" t="s">
        <v>137</v>
      </c>
      <c r="C195" s="11" t="s">
        <v>137</v>
      </c>
      <c r="E195" s="11" t="s">
        <v>137</v>
      </c>
      <c r="F195" s="11" t="s">
        <v>137</v>
      </c>
      <c r="G195" s="11" t="s">
        <v>137</v>
      </c>
      <c r="H195" s="11">
        <v>1</v>
      </c>
      <c r="I195" s="11">
        <v>1</v>
      </c>
      <c r="J195" s="11">
        <v>1</v>
      </c>
      <c r="K195" s="17">
        <v>1</v>
      </c>
      <c r="L195" s="17">
        <v>1</v>
      </c>
      <c r="M195" s="17">
        <v>1</v>
      </c>
      <c r="N195" s="17">
        <v>1</v>
      </c>
      <c r="O195" s="17">
        <v>1</v>
      </c>
      <c r="P195" s="17">
        <v>1</v>
      </c>
      <c r="Q195" s="17">
        <v>1</v>
      </c>
      <c r="R195" s="11">
        <v>1</v>
      </c>
      <c r="S195" s="12">
        <v>1</v>
      </c>
      <c r="T195" s="11">
        <v>1</v>
      </c>
      <c r="U195" s="11">
        <v>1</v>
      </c>
      <c r="V195" s="11">
        <v>1</v>
      </c>
      <c r="W195" s="11">
        <v>1</v>
      </c>
      <c r="X195" s="11">
        <v>1</v>
      </c>
      <c r="Y195" s="11">
        <v>1</v>
      </c>
      <c r="Z195" s="11">
        <v>1</v>
      </c>
      <c r="AA195" s="11">
        <v>1</v>
      </c>
      <c r="AB195" s="11">
        <v>1</v>
      </c>
      <c r="AC195" s="11">
        <v>1</v>
      </c>
      <c r="AD195" s="11">
        <v>1</v>
      </c>
      <c r="AF195" s="11">
        <v>1</v>
      </c>
      <c r="AG195" s="11">
        <v>1</v>
      </c>
      <c r="AH195" s="11">
        <v>1</v>
      </c>
      <c r="AI195" s="11">
        <v>1</v>
      </c>
      <c r="AJ195" s="11">
        <v>1</v>
      </c>
      <c r="AK195" s="11">
        <v>1</v>
      </c>
    </row>
    <row r="196" spans="1:43">
      <c r="A196" s="11">
        <v>1</v>
      </c>
      <c r="B196" s="11">
        <v>1</v>
      </c>
      <c r="C196" s="11">
        <v>1</v>
      </c>
      <c r="E196" s="11">
        <v>1</v>
      </c>
      <c r="F196" s="11">
        <v>1</v>
      </c>
      <c r="G196" s="11">
        <v>1</v>
      </c>
      <c r="H196" s="11">
        <v>1</v>
      </c>
      <c r="I196" s="11">
        <v>1</v>
      </c>
      <c r="J196" s="11">
        <v>1</v>
      </c>
      <c r="K196" s="17">
        <v>1</v>
      </c>
      <c r="L196" s="17">
        <v>1</v>
      </c>
      <c r="M196" s="17">
        <v>1</v>
      </c>
      <c r="N196" s="17">
        <v>1</v>
      </c>
      <c r="O196" s="17">
        <v>1</v>
      </c>
      <c r="P196" s="17">
        <v>1</v>
      </c>
      <c r="Q196" s="17">
        <v>1</v>
      </c>
      <c r="R196" s="11">
        <v>1</v>
      </c>
      <c r="S196" s="12">
        <v>1</v>
      </c>
      <c r="T196" s="11">
        <v>1</v>
      </c>
      <c r="U196" s="11">
        <v>1</v>
      </c>
      <c r="V196" s="11">
        <v>1</v>
      </c>
      <c r="W196" s="11">
        <v>1</v>
      </c>
      <c r="X196" s="11">
        <v>1</v>
      </c>
      <c r="Y196" s="11">
        <v>0</v>
      </c>
      <c r="Z196" s="11">
        <v>0</v>
      </c>
      <c r="AA196" s="11">
        <v>1</v>
      </c>
      <c r="AB196" s="11">
        <v>1</v>
      </c>
      <c r="AC196" s="11">
        <v>0</v>
      </c>
      <c r="AD196" s="11">
        <v>1</v>
      </c>
      <c r="AF196" s="11">
        <v>1</v>
      </c>
      <c r="AG196" s="11">
        <v>1</v>
      </c>
      <c r="AH196" s="11">
        <v>1</v>
      </c>
      <c r="AI196" s="11">
        <v>1</v>
      </c>
      <c r="AJ196" s="11">
        <v>1</v>
      </c>
      <c r="AK196" s="11">
        <v>1</v>
      </c>
    </row>
    <row r="197" spans="1:43" ht="16">
      <c r="A197" s="11" t="s">
        <v>137</v>
      </c>
      <c r="B197" s="11" t="s">
        <v>137</v>
      </c>
      <c r="C197" s="11" t="s">
        <v>137</v>
      </c>
      <c r="E197" s="11" t="s">
        <v>137</v>
      </c>
      <c r="F197" s="11" t="s">
        <v>137</v>
      </c>
      <c r="G197" s="11" t="s">
        <v>137</v>
      </c>
      <c r="H197" s="11">
        <v>1</v>
      </c>
      <c r="I197" s="11">
        <v>1</v>
      </c>
      <c r="J197" s="11">
        <v>1</v>
      </c>
      <c r="K197" s="17">
        <v>1</v>
      </c>
      <c r="L197" s="17">
        <v>1</v>
      </c>
      <c r="M197" s="17">
        <v>1</v>
      </c>
      <c r="N197" s="17">
        <v>1</v>
      </c>
      <c r="O197" s="17">
        <v>1</v>
      </c>
      <c r="P197" s="17">
        <v>1</v>
      </c>
      <c r="Q197" s="17">
        <v>1</v>
      </c>
      <c r="R197" s="11">
        <v>1</v>
      </c>
      <c r="S197" s="12">
        <v>1</v>
      </c>
      <c r="T197" s="11">
        <v>1</v>
      </c>
      <c r="U197" s="11">
        <v>1</v>
      </c>
      <c r="V197" s="11">
        <v>1</v>
      </c>
      <c r="W197" s="11">
        <v>1</v>
      </c>
      <c r="X197" s="11">
        <v>1</v>
      </c>
      <c r="Y197" s="11">
        <v>0</v>
      </c>
      <c r="Z197" s="11">
        <v>0</v>
      </c>
      <c r="AA197" s="11">
        <v>1</v>
      </c>
      <c r="AB197" s="11">
        <v>1</v>
      </c>
      <c r="AC197" s="11">
        <v>0</v>
      </c>
      <c r="AD197" s="11">
        <v>1</v>
      </c>
      <c r="AF197" s="11">
        <v>1</v>
      </c>
      <c r="AG197" s="11">
        <v>1</v>
      </c>
      <c r="AH197" s="11">
        <v>1</v>
      </c>
      <c r="AI197" s="11">
        <v>1</v>
      </c>
      <c r="AJ197" s="11">
        <v>1</v>
      </c>
      <c r="AK197" s="11">
        <v>1</v>
      </c>
    </row>
    <row r="198" spans="1:43">
      <c r="A198" s="11">
        <v>1</v>
      </c>
      <c r="B198" s="11">
        <v>1</v>
      </c>
      <c r="C198" s="11">
        <v>1</v>
      </c>
      <c r="E198" s="11">
        <v>1</v>
      </c>
      <c r="F198" s="11">
        <v>1</v>
      </c>
      <c r="G198" s="11">
        <v>1</v>
      </c>
      <c r="H198" s="11">
        <v>1</v>
      </c>
      <c r="I198" s="11">
        <v>1</v>
      </c>
      <c r="J198" s="11">
        <v>1</v>
      </c>
      <c r="K198" s="17">
        <v>1</v>
      </c>
      <c r="L198" s="17">
        <v>1</v>
      </c>
      <c r="M198" s="17">
        <v>1</v>
      </c>
      <c r="N198" s="17">
        <v>1</v>
      </c>
      <c r="O198" s="17">
        <v>1</v>
      </c>
      <c r="P198" s="17">
        <v>1</v>
      </c>
      <c r="Q198" s="17">
        <v>1</v>
      </c>
      <c r="R198" s="11">
        <v>1</v>
      </c>
      <c r="S198" s="12">
        <v>1</v>
      </c>
      <c r="T198" s="11">
        <v>1</v>
      </c>
      <c r="U198" s="11">
        <v>1</v>
      </c>
      <c r="V198" s="11">
        <v>0</v>
      </c>
      <c r="W198" s="11">
        <v>1</v>
      </c>
      <c r="X198" s="11">
        <v>1</v>
      </c>
      <c r="Y198" s="11">
        <v>1</v>
      </c>
      <c r="Z198" s="11">
        <v>1</v>
      </c>
      <c r="AA198" s="11">
        <v>1</v>
      </c>
      <c r="AB198" s="11">
        <v>1</v>
      </c>
      <c r="AC198" s="11">
        <v>1</v>
      </c>
      <c r="AD198" s="11">
        <v>1</v>
      </c>
      <c r="AF198" s="11">
        <v>1</v>
      </c>
      <c r="AG198" s="11">
        <v>1</v>
      </c>
      <c r="AH198" s="11">
        <v>1</v>
      </c>
      <c r="AI198" s="11">
        <v>1</v>
      </c>
      <c r="AJ198" s="11">
        <v>1</v>
      </c>
      <c r="AK198" s="11">
        <v>0</v>
      </c>
    </row>
    <row r="199" spans="1:43" ht="16">
      <c r="A199" s="11" t="s">
        <v>137</v>
      </c>
      <c r="B199" s="11" t="s">
        <v>137</v>
      </c>
      <c r="C199" s="11" t="s">
        <v>137</v>
      </c>
      <c r="E199" s="11" t="s">
        <v>137</v>
      </c>
      <c r="F199" s="11" t="s">
        <v>137</v>
      </c>
      <c r="G199" s="11" t="s">
        <v>137</v>
      </c>
      <c r="H199" s="11">
        <v>1</v>
      </c>
      <c r="I199" s="11">
        <v>1</v>
      </c>
      <c r="J199" s="11">
        <v>1</v>
      </c>
      <c r="K199" s="17">
        <v>1</v>
      </c>
      <c r="L199" s="17">
        <v>1</v>
      </c>
      <c r="M199" s="17">
        <v>1</v>
      </c>
      <c r="N199" s="17">
        <v>1</v>
      </c>
      <c r="O199" s="17">
        <v>1</v>
      </c>
      <c r="P199" s="17">
        <v>1</v>
      </c>
      <c r="Q199" s="17">
        <v>1</v>
      </c>
      <c r="R199" s="11">
        <v>0</v>
      </c>
      <c r="S199" s="12">
        <v>1</v>
      </c>
      <c r="T199" s="11">
        <v>0</v>
      </c>
      <c r="U199" s="11">
        <v>1</v>
      </c>
      <c r="V199" s="11">
        <v>0</v>
      </c>
      <c r="W199" s="11">
        <v>1</v>
      </c>
      <c r="X199" s="11">
        <v>1</v>
      </c>
      <c r="Y199" s="11">
        <v>1</v>
      </c>
      <c r="Z199" s="11">
        <v>1</v>
      </c>
      <c r="AA199" s="11">
        <v>1</v>
      </c>
      <c r="AB199" s="11">
        <v>1</v>
      </c>
      <c r="AC199" s="11">
        <v>1</v>
      </c>
      <c r="AD199" s="11">
        <v>1</v>
      </c>
      <c r="AF199" s="11">
        <v>1</v>
      </c>
      <c r="AG199" s="11">
        <v>1</v>
      </c>
      <c r="AH199" s="11">
        <v>1</v>
      </c>
      <c r="AI199" s="11">
        <v>1</v>
      </c>
      <c r="AJ199" s="11">
        <v>1</v>
      </c>
      <c r="AK199" s="11">
        <v>0</v>
      </c>
    </row>
    <row r="200" spans="1:43">
      <c r="A200" s="11">
        <v>1</v>
      </c>
      <c r="B200" s="11">
        <v>1</v>
      </c>
      <c r="C200" s="11">
        <v>1</v>
      </c>
      <c r="E200" s="11">
        <v>1</v>
      </c>
      <c r="F200" s="11">
        <v>1</v>
      </c>
      <c r="G200" s="11">
        <v>1</v>
      </c>
      <c r="H200" s="11">
        <v>1</v>
      </c>
      <c r="I200" s="11">
        <v>1</v>
      </c>
      <c r="J200" s="11">
        <v>1</v>
      </c>
      <c r="K200" s="17">
        <v>1</v>
      </c>
      <c r="L200" s="17">
        <v>1</v>
      </c>
      <c r="M200" s="17">
        <v>1</v>
      </c>
      <c r="N200" s="17">
        <v>1</v>
      </c>
      <c r="O200" s="17">
        <v>1</v>
      </c>
      <c r="P200" s="17">
        <v>1</v>
      </c>
      <c r="Q200" s="17">
        <v>1</v>
      </c>
      <c r="R200" s="11">
        <v>1</v>
      </c>
      <c r="S200" s="12">
        <v>1</v>
      </c>
      <c r="T200" s="11">
        <v>0</v>
      </c>
      <c r="U200" s="11">
        <v>0</v>
      </c>
      <c r="V200" s="11">
        <v>1</v>
      </c>
      <c r="W200" s="11">
        <v>1</v>
      </c>
      <c r="X200" s="11">
        <v>1</v>
      </c>
      <c r="Y200" s="11">
        <v>1</v>
      </c>
      <c r="Z200" s="11">
        <v>1</v>
      </c>
      <c r="AA200" s="11">
        <v>1</v>
      </c>
      <c r="AB200" s="11">
        <v>1</v>
      </c>
      <c r="AC200" s="11">
        <v>1</v>
      </c>
      <c r="AD200" s="11">
        <v>1</v>
      </c>
      <c r="AF200" s="11">
        <v>1</v>
      </c>
      <c r="AG200" s="11">
        <v>1</v>
      </c>
      <c r="AH200" s="11">
        <v>1</v>
      </c>
      <c r="AI200" s="11">
        <v>1</v>
      </c>
      <c r="AJ200" s="11">
        <v>1</v>
      </c>
      <c r="AK200" s="11">
        <v>1</v>
      </c>
    </row>
    <row r="201" spans="1:43" ht="16">
      <c r="A201" s="11" t="s">
        <v>137</v>
      </c>
      <c r="B201" s="11" t="s">
        <v>137</v>
      </c>
      <c r="C201" s="11" t="s">
        <v>137</v>
      </c>
      <c r="E201" s="11" t="s">
        <v>137</v>
      </c>
      <c r="F201" s="11" t="s">
        <v>137</v>
      </c>
      <c r="G201" s="11" t="s">
        <v>137</v>
      </c>
      <c r="H201" s="11" t="s">
        <v>137</v>
      </c>
      <c r="I201" s="11" t="s">
        <v>137</v>
      </c>
      <c r="J201" s="11" t="s">
        <v>137</v>
      </c>
      <c r="K201" s="17" t="s">
        <v>137</v>
      </c>
      <c r="L201" s="17" t="s">
        <v>137</v>
      </c>
      <c r="M201" s="17" t="s">
        <v>137</v>
      </c>
      <c r="N201" s="17" t="s">
        <v>137</v>
      </c>
      <c r="O201" s="17" t="s">
        <v>137</v>
      </c>
      <c r="P201" s="17" t="s">
        <v>137</v>
      </c>
      <c r="Q201" s="17" t="s">
        <v>137</v>
      </c>
      <c r="R201" s="11" t="s">
        <v>137</v>
      </c>
      <c r="S201" s="12" t="s">
        <v>137</v>
      </c>
      <c r="T201" s="11" t="s">
        <v>137</v>
      </c>
      <c r="U201" s="11" t="s">
        <v>137</v>
      </c>
      <c r="V201" s="11" t="s">
        <v>137</v>
      </c>
      <c r="W201" s="11" t="s">
        <v>137</v>
      </c>
      <c r="X201" s="11" t="s">
        <v>137</v>
      </c>
      <c r="Y201" s="11" t="s">
        <v>137</v>
      </c>
      <c r="Z201" s="11" t="s">
        <v>137</v>
      </c>
      <c r="AA201" s="11" t="s">
        <v>137</v>
      </c>
      <c r="AB201" s="11">
        <v>1</v>
      </c>
      <c r="AC201" s="11">
        <v>1</v>
      </c>
      <c r="AD201" s="11">
        <v>1</v>
      </c>
      <c r="AF201" s="11">
        <v>1</v>
      </c>
      <c r="AG201" s="11">
        <v>1</v>
      </c>
      <c r="AH201" s="11">
        <v>1</v>
      </c>
      <c r="AI201" s="11">
        <v>1</v>
      </c>
      <c r="AJ201" s="11">
        <v>1</v>
      </c>
      <c r="AK201" s="11">
        <v>1</v>
      </c>
    </row>
    <row r="202" spans="1:43" ht="16">
      <c r="A202" s="11" t="s">
        <v>137</v>
      </c>
      <c r="B202" s="11" t="s">
        <v>137</v>
      </c>
      <c r="C202" s="11" t="s">
        <v>137</v>
      </c>
      <c r="E202" s="11" t="s">
        <v>137</v>
      </c>
      <c r="F202" s="11" t="s">
        <v>137</v>
      </c>
      <c r="G202" s="11" t="s">
        <v>137</v>
      </c>
      <c r="H202" s="11" t="s">
        <v>137</v>
      </c>
      <c r="I202" s="11" t="s">
        <v>137</v>
      </c>
      <c r="J202" s="11" t="s">
        <v>137</v>
      </c>
      <c r="K202" s="17" t="s">
        <v>137</v>
      </c>
      <c r="L202" s="17" t="s">
        <v>137</v>
      </c>
      <c r="M202" s="17" t="s">
        <v>137</v>
      </c>
      <c r="N202" s="17" t="s">
        <v>137</v>
      </c>
      <c r="O202" s="17" t="s">
        <v>137</v>
      </c>
      <c r="P202" s="17" t="s">
        <v>137</v>
      </c>
      <c r="Q202" s="17" t="s">
        <v>137</v>
      </c>
      <c r="R202" s="11" t="s">
        <v>137</v>
      </c>
      <c r="S202" s="12" t="s">
        <v>137</v>
      </c>
      <c r="T202" s="11" t="s">
        <v>137</v>
      </c>
      <c r="U202" s="11" t="s">
        <v>137</v>
      </c>
      <c r="V202" s="11" t="s">
        <v>137</v>
      </c>
      <c r="W202" s="11" t="s">
        <v>137</v>
      </c>
      <c r="X202" s="11" t="s">
        <v>137</v>
      </c>
      <c r="Y202" s="11" t="s">
        <v>137</v>
      </c>
      <c r="Z202" s="11" t="s">
        <v>137</v>
      </c>
      <c r="AA202" s="11" t="s">
        <v>137</v>
      </c>
      <c r="AB202" s="11">
        <v>1</v>
      </c>
      <c r="AC202" s="11">
        <v>1</v>
      </c>
      <c r="AD202" s="11">
        <v>1</v>
      </c>
      <c r="AF202" s="11">
        <v>1</v>
      </c>
      <c r="AG202" s="11">
        <v>1</v>
      </c>
      <c r="AH202" s="11">
        <v>1</v>
      </c>
      <c r="AI202" s="11">
        <v>1</v>
      </c>
      <c r="AJ202" s="11">
        <v>1</v>
      </c>
      <c r="AK202" s="11">
        <v>1</v>
      </c>
    </row>
    <row r="203" spans="1:43" ht="16">
      <c r="A203" s="11" t="s">
        <v>137</v>
      </c>
      <c r="B203" s="11" t="s">
        <v>137</v>
      </c>
      <c r="C203" s="11" t="s">
        <v>137</v>
      </c>
      <c r="E203" s="11" t="s">
        <v>137</v>
      </c>
      <c r="F203" s="11" t="s">
        <v>137</v>
      </c>
      <c r="G203" s="11" t="s">
        <v>137</v>
      </c>
      <c r="H203" s="11">
        <v>1</v>
      </c>
      <c r="I203" s="11">
        <v>1</v>
      </c>
      <c r="J203" s="11">
        <v>1</v>
      </c>
      <c r="K203" s="17">
        <v>1</v>
      </c>
      <c r="L203" s="17">
        <v>1</v>
      </c>
      <c r="M203" s="17">
        <v>1</v>
      </c>
      <c r="N203" s="17">
        <v>1</v>
      </c>
      <c r="O203" s="17">
        <v>1</v>
      </c>
      <c r="P203" s="17">
        <v>1</v>
      </c>
      <c r="Q203" s="17">
        <v>1</v>
      </c>
      <c r="R203" s="11">
        <v>0</v>
      </c>
      <c r="S203" s="12">
        <v>1</v>
      </c>
      <c r="T203" s="11">
        <v>0</v>
      </c>
      <c r="U203" s="11" t="s">
        <v>137</v>
      </c>
      <c r="V203" s="11">
        <v>0</v>
      </c>
      <c r="W203" s="11">
        <v>1</v>
      </c>
      <c r="X203" s="11">
        <v>1</v>
      </c>
      <c r="Y203" s="11">
        <v>1</v>
      </c>
      <c r="Z203" s="11">
        <v>1</v>
      </c>
      <c r="AA203" s="11">
        <v>1</v>
      </c>
      <c r="AB203" s="11">
        <v>1</v>
      </c>
      <c r="AC203" s="11">
        <v>1</v>
      </c>
      <c r="AD203" s="11">
        <v>1</v>
      </c>
      <c r="AF203" s="11">
        <v>1</v>
      </c>
      <c r="AG203" s="11">
        <v>1</v>
      </c>
      <c r="AH203" s="11">
        <v>1</v>
      </c>
      <c r="AI203" s="11">
        <v>1</v>
      </c>
      <c r="AJ203" s="11">
        <v>1</v>
      </c>
      <c r="AK203" s="11">
        <v>1</v>
      </c>
    </row>
    <row r="204" spans="1:43" ht="16">
      <c r="A204" s="11" t="s">
        <v>137</v>
      </c>
      <c r="B204" s="11" t="s">
        <v>137</v>
      </c>
      <c r="C204" s="11" t="s">
        <v>137</v>
      </c>
      <c r="E204" s="11" t="s">
        <v>137</v>
      </c>
      <c r="F204" s="11" t="s">
        <v>137</v>
      </c>
      <c r="G204" s="11" t="s">
        <v>137</v>
      </c>
      <c r="H204" s="11" t="s">
        <v>137</v>
      </c>
      <c r="I204" s="11" t="s">
        <v>137</v>
      </c>
      <c r="J204" s="11" t="s">
        <v>137</v>
      </c>
      <c r="K204" s="17" t="s">
        <v>137</v>
      </c>
      <c r="L204" s="17" t="s">
        <v>137</v>
      </c>
      <c r="M204" s="17" t="s">
        <v>137</v>
      </c>
      <c r="N204" s="17" t="s">
        <v>137</v>
      </c>
      <c r="O204" s="17" t="s">
        <v>137</v>
      </c>
      <c r="P204" s="17" t="s">
        <v>137</v>
      </c>
      <c r="Q204" s="17" t="s">
        <v>137</v>
      </c>
      <c r="R204" s="11" t="s">
        <v>137</v>
      </c>
      <c r="S204" s="12" t="s">
        <v>137</v>
      </c>
      <c r="T204" s="11" t="s">
        <v>137</v>
      </c>
      <c r="U204" s="11" t="s">
        <v>137</v>
      </c>
      <c r="V204" s="11" t="s">
        <v>137</v>
      </c>
      <c r="W204" s="11" t="s">
        <v>137</v>
      </c>
      <c r="X204" s="11" t="s">
        <v>137</v>
      </c>
      <c r="Y204" s="11" t="s">
        <v>137</v>
      </c>
      <c r="Z204" s="11" t="s">
        <v>137</v>
      </c>
      <c r="AA204" s="11" t="s">
        <v>137</v>
      </c>
      <c r="AB204" s="11">
        <v>1</v>
      </c>
      <c r="AC204" s="11">
        <v>1</v>
      </c>
      <c r="AD204" s="11">
        <v>1</v>
      </c>
      <c r="AF204" s="11">
        <v>1</v>
      </c>
      <c r="AG204" s="11">
        <v>1</v>
      </c>
      <c r="AH204" s="11">
        <v>1</v>
      </c>
      <c r="AI204" s="11">
        <v>1</v>
      </c>
      <c r="AJ204" s="11">
        <v>1</v>
      </c>
      <c r="AK204" s="11">
        <v>1</v>
      </c>
    </row>
    <row r="205" spans="1:43" s="107" customFormat="1" ht="17" thickBot="1">
      <c r="A205" s="107" t="s">
        <v>137</v>
      </c>
      <c r="B205" s="107" t="s">
        <v>137</v>
      </c>
      <c r="C205" s="107" t="s">
        <v>137</v>
      </c>
      <c r="E205" s="107" t="s">
        <v>137</v>
      </c>
      <c r="F205" s="107" t="s">
        <v>137</v>
      </c>
      <c r="G205" s="107" t="s">
        <v>137</v>
      </c>
      <c r="H205" s="107" t="s">
        <v>137</v>
      </c>
      <c r="I205" s="107" t="s">
        <v>137</v>
      </c>
      <c r="J205" s="107" t="s">
        <v>137</v>
      </c>
      <c r="K205" s="177" t="s">
        <v>137</v>
      </c>
      <c r="L205" s="177" t="s">
        <v>137</v>
      </c>
      <c r="M205" s="177" t="s">
        <v>137</v>
      </c>
      <c r="N205" s="177" t="s">
        <v>137</v>
      </c>
      <c r="O205" s="177" t="s">
        <v>137</v>
      </c>
      <c r="P205" s="177" t="s">
        <v>137</v>
      </c>
      <c r="Q205" s="177" t="s">
        <v>137</v>
      </c>
      <c r="R205" s="107" t="s">
        <v>137</v>
      </c>
      <c r="S205" s="178" t="s">
        <v>137</v>
      </c>
      <c r="T205" s="107" t="s">
        <v>137</v>
      </c>
      <c r="U205" s="107" t="s">
        <v>137</v>
      </c>
      <c r="V205" s="107" t="s">
        <v>137</v>
      </c>
      <c r="W205" s="107" t="s">
        <v>137</v>
      </c>
      <c r="X205" s="107" t="s">
        <v>137</v>
      </c>
      <c r="Y205" s="107" t="s">
        <v>137</v>
      </c>
      <c r="Z205" s="107" t="s">
        <v>137</v>
      </c>
      <c r="AA205" s="107" t="s">
        <v>137</v>
      </c>
      <c r="AB205" s="107">
        <v>1</v>
      </c>
      <c r="AC205" s="107">
        <v>1</v>
      </c>
      <c r="AD205" s="107">
        <v>1</v>
      </c>
      <c r="AF205" s="107">
        <v>1</v>
      </c>
      <c r="AG205" s="107">
        <v>1</v>
      </c>
      <c r="AH205" s="107">
        <v>1</v>
      </c>
      <c r="AI205" s="107">
        <v>1</v>
      </c>
      <c r="AJ205" s="107">
        <v>1</v>
      </c>
      <c r="AK205" s="107">
        <v>1</v>
      </c>
      <c r="AN205" s="106"/>
      <c r="AP205" s="108"/>
      <c r="AQ205" s="108"/>
    </row>
    <row r="206" spans="1:43" ht="16" thickTop="1"/>
  </sheetData>
  <dataConsolidate/>
  <mergeCells count="7">
    <mergeCell ref="AF1:AK1"/>
    <mergeCell ref="A1:G1"/>
    <mergeCell ref="H1:Q1"/>
    <mergeCell ref="R1:T1"/>
    <mergeCell ref="U1:AA1"/>
    <mergeCell ref="AB1:AC1"/>
    <mergeCell ref="AE1:AE2"/>
  </mergeCells>
  <conditionalFormatting sqref="A2:C2 E2:X2 Z34:XFD46 Z47:AM50 AS47:XFD50 Z51:XFD57">
    <cfRule type="containsText" dxfId="21" priority="12" operator="containsText" text="0">
      <formula>NOT(ISERROR(SEARCH("0",A2)))</formula>
    </cfRule>
  </conditionalFormatting>
  <conditionalFormatting sqref="A1:Y1 A3:Y57">
    <cfRule type="containsText" dxfId="20" priority="9" operator="containsText" text="0">
      <formula>NOT(ISERROR(SEARCH("0",A1)))</formula>
    </cfRule>
  </conditionalFormatting>
  <conditionalFormatting sqref="A58:AM1048576">
    <cfRule type="containsText" dxfId="19" priority="6" operator="containsText" text="0">
      <formula>NOT(ISERROR(SEARCH("0",A58)))</formula>
    </cfRule>
  </conditionalFormatting>
  <conditionalFormatting sqref="D2">
    <cfRule type="cellIs" dxfId="18" priority="4" operator="notEqual">
      <formula>#REF!</formula>
    </cfRule>
    <cfRule type="cellIs" dxfId="17" priority="5" operator="notEqual">
      <formula>#REF!+#REF!</formula>
    </cfRule>
  </conditionalFormatting>
  <conditionalFormatting sqref="Y2">
    <cfRule type="cellIs" dxfId="16" priority="7" operator="notEqual">
      <formula>#REF!</formula>
    </cfRule>
    <cfRule type="cellIs" dxfId="15" priority="8" operator="notEqual">
      <formula>#REF!+#REF!</formula>
    </cfRule>
  </conditionalFormatting>
  <conditionalFormatting sqref="Z1:AC2 AF1:AM2 AS1:XFD22 Z3:AM22 AS58:XFD1048576">
    <cfRule type="containsText" dxfId="14" priority="14" operator="containsText" text="0">
      <formula>NOT(ISERROR(SEARCH("0",Z1)))</formula>
    </cfRule>
  </conditionalFormatting>
  <conditionalFormatting sqref="Z2:AC2 A2:C2 E2:Q2 U2:X2">
    <cfRule type="cellIs" dxfId="13" priority="19" operator="notEqual">
      <formula>#REF!</formula>
    </cfRule>
    <cfRule type="cellIs" dxfId="12" priority="20" operator="notEqual">
      <formula>#REF!+#REF!</formula>
    </cfRule>
  </conditionalFormatting>
  <conditionalFormatting sqref="Z23:XFD23 Z24:AM31 AS24:XFD31 Z32:XFD32 Z33:AN33 AS33:XFD33">
    <cfRule type="containsText" dxfId="11" priority="13" operator="containsText" text="0">
      <formula>NOT(ISERROR(SEARCH("0",Z23)))</formula>
    </cfRule>
  </conditionalFormatting>
  <conditionalFormatting sqref="AE1 AD2">
    <cfRule type="cellIs" dxfId="10" priority="2" operator="notEqual">
      <formula>#REF!</formula>
    </cfRule>
    <cfRule type="cellIs" dxfId="9" priority="3" operator="notEqual">
      <formula>#REF!+#REF!</formula>
    </cfRule>
  </conditionalFormatting>
  <conditionalFormatting sqref="AI2:AM2">
    <cfRule type="cellIs" dxfId="8" priority="15" operator="notEqual">
      <formula>#REF!</formula>
    </cfRule>
    <cfRule type="cellIs" dxfId="7" priority="16" operator="notEqual">
      <formula>#REF!+#REF!</formula>
    </cfRule>
  </conditionalFormatting>
  <conditionalFormatting sqref="AN49:AR49 AN50">
    <cfRule type="containsText" dxfId="6" priority="11" operator="containsText" text="0">
      <formula>NOT(ISERROR(SEARCH("0",AN49)))</formula>
    </cfRule>
  </conditionalFormatting>
  <conditionalFormatting sqref="AN62:AR62 AN63">
    <cfRule type="containsText" dxfId="5" priority="10" operator="containsText" text="0">
      <formula>NOT(ISERROR(SEARCH("0",AN62)))</formula>
    </cfRule>
  </conditionalFormatting>
  <conditionalFormatting sqref="AN191:AR191 AN192">
    <cfRule type="containsText" dxfId="4" priority="1" operator="containsText" text="0">
      <formula>NOT(ISERROR(SEARCH("0",AN191)))</formula>
    </cfRule>
  </conditionalFormatting>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7DF83-E332-2145-AB3D-BAFCE32480D7}">
  <dimension ref="A1:AL79"/>
  <sheetViews>
    <sheetView zoomScale="125" zoomScaleNormal="125" workbookViewId="0">
      <pane xSplit="8" ySplit="2" topLeftCell="L3" activePane="bottomRight" state="frozen"/>
      <selection pane="topRight" activeCell="H1" sqref="H1"/>
      <selection pane="bottomLeft" activeCell="A3" sqref="A3"/>
      <selection pane="bottomRight" activeCell="O18" sqref="O18"/>
    </sheetView>
  </sheetViews>
  <sheetFormatPr baseColWidth="10" defaultColWidth="11.5" defaultRowHeight="15"/>
  <cols>
    <col min="1" max="1" width="17.83203125" style="13" customWidth="1"/>
    <col min="2" max="2" width="6.1640625" style="13" customWidth="1"/>
    <col min="3" max="3" width="6" style="13" customWidth="1"/>
    <col min="4" max="4" width="5.5" style="13" customWidth="1"/>
    <col min="5" max="5" width="4.5" style="13" customWidth="1"/>
    <col min="6" max="6" width="7.33203125" style="13" customWidth="1"/>
    <col min="7" max="7" width="9.33203125" style="11" customWidth="1"/>
    <col min="8" max="8" width="12.6640625" style="11" customWidth="1"/>
    <col min="9" max="9" width="11.5" style="11"/>
    <col min="10" max="10" width="11.5" style="17"/>
    <col min="11" max="11" width="14.33203125" style="17" customWidth="1"/>
    <col min="12" max="16" width="9.83203125" style="17" customWidth="1"/>
    <col min="17" max="17" width="15.6640625" style="11" customWidth="1"/>
    <col min="18" max="18" width="10.33203125" style="12" customWidth="1"/>
    <col min="19" max="19" width="16.33203125" style="11" customWidth="1"/>
    <col min="20" max="20" width="11.5" style="11"/>
    <col min="21" max="21" width="13.83203125" style="11" customWidth="1"/>
    <col min="22" max="22" width="16.5" style="11" customWidth="1"/>
    <col min="23" max="23" width="13" style="11" customWidth="1"/>
    <col min="24" max="24" width="13.5" style="11" customWidth="1"/>
    <col min="25" max="25" width="11.5" style="11"/>
    <col min="26" max="26" width="20.1640625" style="11" customWidth="1"/>
    <col min="27" max="27" width="12.5" style="11" customWidth="1"/>
    <col min="28" max="28" width="18.33203125" style="11" customWidth="1"/>
    <col min="29" max="31" width="12.33203125" style="11" customWidth="1"/>
    <col min="32" max="34" width="11.5" style="11"/>
    <col min="35" max="35" width="13.83203125" style="11" customWidth="1"/>
    <col min="36" max="36" width="20" style="11" customWidth="1"/>
    <col min="37" max="37" width="32.5" style="1" customWidth="1"/>
    <col min="38" max="38" width="26.6640625" style="1" customWidth="1"/>
    <col min="39" max="16384" width="11.5" style="11"/>
  </cols>
  <sheetData>
    <row r="1" spans="1:38" ht="21" customHeight="1">
      <c r="A1" s="354" t="s">
        <v>0</v>
      </c>
      <c r="B1" s="354"/>
      <c r="C1" s="354"/>
      <c r="D1" s="354"/>
      <c r="E1" s="354"/>
      <c r="F1" s="354"/>
      <c r="G1" s="355" t="s">
        <v>1</v>
      </c>
      <c r="H1" s="355"/>
      <c r="I1" s="355"/>
      <c r="J1" s="355"/>
      <c r="K1" s="355"/>
      <c r="L1" s="355"/>
      <c r="M1" s="355"/>
      <c r="N1" s="355"/>
      <c r="O1" s="355"/>
      <c r="P1" s="355"/>
      <c r="Q1" s="356" t="s">
        <v>2</v>
      </c>
      <c r="R1" s="356"/>
      <c r="S1" s="356"/>
      <c r="T1" s="357" t="s">
        <v>3</v>
      </c>
      <c r="U1" s="357"/>
      <c r="V1" s="357"/>
      <c r="W1" s="357"/>
      <c r="X1" s="357"/>
      <c r="Y1" s="357"/>
      <c r="Z1" s="353" t="s">
        <v>4</v>
      </c>
      <c r="AA1" s="353"/>
      <c r="AB1" s="57"/>
      <c r="AC1" s="353" t="s">
        <v>5</v>
      </c>
      <c r="AD1" s="353"/>
      <c r="AE1" s="353"/>
      <c r="AF1" s="353"/>
      <c r="AG1" s="353"/>
      <c r="AH1" s="353"/>
      <c r="AI1" s="14" t="s">
        <v>6</v>
      </c>
      <c r="AJ1" s="14" t="s">
        <v>7</v>
      </c>
      <c r="AK1" s="1" t="s">
        <v>8</v>
      </c>
      <c r="AL1" s="11" t="s">
        <v>9</v>
      </c>
    </row>
    <row r="2" spans="1:38" ht="38" customHeight="1">
      <c r="A2" s="4" t="s">
        <v>10</v>
      </c>
      <c r="B2" s="4" t="s">
        <v>11</v>
      </c>
      <c r="C2" s="4" t="s">
        <v>12</v>
      </c>
      <c r="D2" s="5" t="s">
        <v>13</v>
      </c>
      <c r="E2" s="5" t="s">
        <v>14</v>
      </c>
      <c r="F2" s="5" t="s">
        <v>15</v>
      </c>
      <c r="G2" s="6" t="s">
        <v>16</v>
      </c>
      <c r="H2" s="6" t="s">
        <v>17</v>
      </c>
      <c r="I2" s="6" t="s">
        <v>18</v>
      </c>
      <c r="J2" s="16" t="s">
        <v>19</v>
      </c>
      <c r="K2" s="6" t="s">
        <v>20</v>
      </c>
      <c r="L2" s="3" t="s">
        <v>21</v>
      </c>
      <c r="M2" s="3" t="s">
        <v>22</v>
      </c>
      <c r="N2" s="3" t="s">
        <v>23</v>
      </c>
      <c r="O2" s="3" t="s">
        <v>24</v>
      </c>
      <c r="P2" s="3" t="s">
        <v>25</v>
      </c>
      <c r="Q2" s="36" t="s">
        <v>26</v>
      </c>
      <c r="R2" s="37" t="s">
        <v>27</v>
      </c>
      <c r="S2" s="35" t="s">
        <v>28</v>
      </c>
      <c r="T2" s="8" t="s">
        <v>29</v>
      </c>
      <c r="U2" s="8" t="s">
        <v>30</v>
      </c>
      <c r="V2" s="8" t="s">
        <v>31</v>
      </c>
      <c r="W2" s="9" t="s">
        <v>32</v>
      </c>
      <c r="X2" s="9" t="s">
        <v>33</v>
      </c>
      <c r="Y2" s="8" t="s">
        <v>34</v>
      </c>
      <c r="Z2" s="4" t="s">
        <v>35</v>
      </c>
      <c r="AA2" s="5" t="s">
        <v>36</v>
      </c>
      <c r="AB2" s="18" t="s">
        <v>37</v>
      </c>
      <c r="AC2" s="7" t="s">
        <v>38</v>
      </c>
      <c r="AD2" s="7" t="s">
        <v>39</v>
      </c>
      <c r="AE2" s="7" t="s">
        <v>40</v>
      </c>
      <c r="AF2" s="10" t="s">
        <v>41</v>
      </c>
      <c r="AG2" s="10" t="s">
        <v>42</v>
      </c>
      <c r="AH2" s="10" t="s">
        <v>43</v>
      </c>
      <c r="AI2" s="15" t="s">
        <v>44</v>
      </c>
      <c r="AJ2" s="15" t="s">
        <v>45</v>
      </c>
    </row>
    <row r="3" spans="1:38" s="13" customFormat="1" ht="17" customHeight="1">
      <c r="A3" s="13" t="s">
        <v>228</v>
      </c>
      <c r="B3" s="13" t="s">
        <v>228</v>
      </c>
      <c r="C3" s="13" t="s">
        <v>228</v>
      </c>
      <c r="D3" s="43" t="s">
        <v>66</v>
      </c>
      <c r="E3" s="43" t="s">
        <v>231</v>
      </c>
      <c r="F3" s="43" t="s">
        <v>232</v>
      </c>
      <c r="G3" s="13" t="s">
        <v>228</v>
      </c>
      <c r="H3" s="13" t="s">
        <v>228</v>
      </c>
      <c r="I3" s="13" t="s">
        <v>228</v>
      </c>
      <c r="J3" s="13" t="s">
        <v>228</v>
      </c>
      <c r="K3" s="13" t="s">
        <v>228</v>
      </c>
      <c r="L3" s="13" t="s">
        <v>228</v>
      </c>
      <c r="M3" s="13" t="s">
        <v>228</v>
      </c>
      <c r="N3" s="13" t="s">
        <v>228</v>
      </c>
      <c r="O3" s="13" t="s">
        <v>228</v>
      </c>
      <c r="P3" s="13" t="s">
        <v>228</v>
      </c>
      <c r="Q3" s="43" t="s">
        <v>235</v>
      </c>
      <c r="R3" s="13" t="s">
        <v>228</v>
      </c>
      <c r="S3" s="43" t="s">
        <v>71</v>
      </c>
      <c r="T3" s="43" t="s">
        <v>153</v>
      </c>
      <c r="AK3" s="78"/>
      <c r="AL3" s="78"/>
    </row>
    <row r="4" spans="1:38" s="13" customFormat="1" ht="17" customHeight="1">
      <c r="D4" s="43" t="s">
        <v>48</v>
      </c>
      <c r="E4" s="43" t="s">
        <v>229</v>
      </c>
      <c r="F4" s="43" t="s">
        <v>233</v>
      </c>
      <c r="J4" s="76"/>
      <c r="K4" s="76"/>
      <c r="L4" s="76"/>
      <c r="M4" s="76"/>
      <c r="N4" s="76"/>
      <c r="O4" s="76"/>
      <c r="P4" s="76"/>
      <c r="Q4" s="43" t="s">
        <v>92</v>
      </c>
      <c r="R4" s="77"/>
      <c r="S4" s="43" t="s">
        <v>55</v>
      </c>
      <c r="T4" s="43" t="s">
        <v>56</v>
      </c>
      <c r="AK4" s="78"/>
      <c r="AL4" s="78"/>
    </row>
    <row r="5" spans="1:38" s="13" customFormat="1" ht="17" customHeight="1">
      <c r="D5" s="43"/>
      <c r="E5" s="43" t="s">
        <v>230</v>
      </c>
      <c r="F5" s="43"/>
      <c r="J5" s="76"/>
      <c r="K5" s="76"/>
      <c r="L5" s="76"/>
      <c r="M5" s="76"/>
      <c r="N5" s="76"/>
      <c r="O5" s="76"/>
      <c r="P5" s="76"/>
      <c r="Q5" s="43" t="s">
        <v>53</v>
      </c>
      <c r="R5" s="77"/>
      <c r="S5" s="43" t="s">
        <v>80</v>
      </c>
      <c r="T5" s="43"/>
      <c r="AK5" s="78"/>
      <c r="AL5" s="78"/>
    </row>
    <row r="6" spans="1:38" s="13" customFormat="1" ht="17" customHeight="1">
      <c r="D6" s="43"/>
      <c r="E6" s="43"/>
      <c r="F6" s="43"/>
      <c r="J6" s="76"/>
      <c r="K6" s="76"/>
      <c r="L6" s="76"/>
      <c r="M6" s="76"/>
      <c r="N6" s="76"/>
      <c r="O6" s="76"/>
      <c r="P6" s="76"/>
      <c r="Q6" s="43"/>
      <c r="R6" s="77"/>
      <c r="S6" s="43" t="s">
        <v>236</v>
      </c>
      <c r="T6" s="43" t="s">
        <v>78</v>
      </c>
      <c r="AK6" s="78"/>
      <c r="AL6" s="78"/>
    </row>
    <row r="7" spans="1:38" s="13" customFormat="1" ht="16">
      <c r="D7" s="43"/>
      <c r="E7" s="43"/>
      <c r="F7" s="43"/>
      <c r="J7" s="76"/>
      <c r="K7" s="76"/>
      <c r="L7" s="76"/>
      <c r="M7" s="76"/>
      <c r="N7" s="76"/>
      <c r="O7" s="76"/>
      <c r="P7" s="76"/>
      <c r="Q7" s="43" t="s">
        <v>78</v>
      </c>
      <c r="R7" s="77"/>
      <c r="S7" s="43"/>
      <c r="T7" s="43"/>
      <c r="AK7" s="78"/>
      <c r="AL7" s="78"/>
    </row>
    <row r="8" spans="1:38" s="13" customFormat="1" ht="16">
      <c r="D8" s="43"/>
      <c r="E8" s="43"/>
      <c r="F8" s="43"/>
      <c r="J8" s="76"/>
      <c r="K8" s="76"/>
      <c r="L8" s="76"/>
      <c r="M8" s="76"/>
      <c r="N8" s="76"/>
      <c r="O8" s="76"/>
      <c r="P8" s="76"/>
      <c r="Q8" s="43" t="s">
        <v>234</v>
      </c>
      <c r="R8" s="77"/>
      <c r="S8" s="43"/>
      <c r="T8" s="43"/>
      <c r="AK8" s="78"/>
      <c r="AL8" s="78"/>
    </row>
    <row r="9" spans="1:38" s="13" customFormat="1">
      <c r="D9" s="43"/>
      <c r="E9" s="43"/>
      <c r="F9" s="43"/>
      <c r="J9" s="76"/>
      <c r="K9" s="76"/>
      <c r="L9" s="76"/>
      <c r="M9" s="76"/>
      <c r="N9" s="76"/>
      <c r="O9" s="76"/>
      <c r="P9" s="76"/>
      <c r="Q9" s="43"/>
      <c r="R9" s="77"/>
      <c r="S9" s="43"/>
      <c r="T9" s="43"/>
      <c r="AK9" s="78"/>
      <c r="AL9" s="78"/>
    </row>
    <row r="10" spans="1:38" s="13" customFormat="1">
      <c r="D10" s="43"/>
      <c r="E10" s="43"/>
      <c r="F10" s="43"/>
      <c r="J10" s="76"/>
      <c r="K10" s="76"/>
      <c r="L10" s="76"/>
      <c r="M10" s="76"/>
      <c r="N10" s="76"/>
      <c r="O10" s="76"/>
      <c r="P10" s="76"/>
      <c r="Q10" s="43"/>
      <c r="R10" s="77"/>
      <c r="S10" s="43"/>
      <c r="T10" s="43"/>
      <c r="AK10" s="78"/>
      <c r="AL10" s="78"/>
    </row>
    <row r="11" spans="1:38">
      <c r="A11" s="11"/>
      <c r="B11" s="11"/>
      <c r="C11" s="11"/>
      <c r="D11" s="11"/>
      <c r="E11" s="11"/>
      <c r="F11" s="11"/>
    </row>
    <row r="12" spans="1:38">
      <c r="A12" s="11"/>
      <c r="B12" s="11"/>
      <c r="C12" s="11"/>
      <c r="D12" s="11"/>
      <c r="E12" s="11"/>
      <c r="F12" s="11"/>
    </row>
    <row r="13" spans="1:38">
      <c r="A13" s="11"/>
      <c r="B13" s="11"/>
      <c r="C13" s="11"/>
      <c r="D13" s="11"/>
      <c r="E13" s="11"/>
      <c r="F13" s="11"/>
    </row>
    <row r="14" spans="1:38">
      <c r="A14" s="11"/>
      <c r="B14" s="11"/>
      <c r="C14" s="11"/>
      <c r="D14" s="11"/>
      <c r="E14" s="11"/>
      <c r="F14" s="11"/>
    </row>
    <row r="15" spans="1:38">
      <c r="A15" s="11"/>
      <c r="B15" s="11"/>
      <c r="C15" s="11"/>
      <c r="D15" s="11"/>
      <c r="E15" s="11"/>
      <c r="F15" s="11"/>
    </row>
    <row r="16" spans="1:38">
      <c r="A16" s="11"/>
      <c r="B16" s="11"/>
      <c r="C16" s="11"/>
      <c r="D16" s="11"/>
      <c r="E16" s="11"/>
      <c r="F16" s="11"/>
    </row>
    <row r="17" spans="10:38" s="11" customFormat="1">
      <c r="J17" s="17"/>
      <c r="K17" s="17"/>
      <c r="L17" s="17"/>
      <c r="M17" s="17"/>
      <c r="N17" s="17"/>
      <c r="O17" s="17"/>
      <c r="P17" s="17"/>
      <c r="R17" s="12"/>
      <c r="AK17" s="1"/>
      <c r="AL17" s="1"/>
    </row>
    <row r="18" spans="10:38" s="11" customFormat="1">
      <c r="J18" s="17"/>
      <c r="K18" s="17"/>
      <c r="L18" s="17"/>
      <c r="M18" s="17"/>
      <c r="N18" s="17"/>
      <c r="O18" s="17"/>
      <c r="P18" s="17"/>
      <c r="R18" s="12"/>
      <c r="AK18" s="1"/>
      <c r="AL18" s="1"/>
    </row>
    <row r="19" spans="10:38" s="11" customFormat="1">
      <c r="J19" s="17"/>
      <c r="K19" s="17"/>
      <c r="L19" s="17"/>
      <c r="M19" s="17"/>
      <c r="N19" s="17"/>
      <c r="O19" s="17"/>
      <c r="P19" s="17"/>
      <c r="R19" s="12"/>
      <c r="AK19" s="1"/>
      <c r="AL19" s="1"/>
    </row>
    <row r="20" spans="10:38" s="11" customFormat="1">
      <c r="J20" s="17"/>
      <c r="K20" s="17"/>
      <c r="L20" s="17"/>
      <c r="M20" s="17"/>
      <c r="N20" s="17"/>
      <c r="O20" s="17"/>
      <c r="P20" s="17"/>
      <c r="R20" s="12"/>
      <c r="AK20" s="1"/>
      <c r="AL20" s="1"/>
    </row>
    <row r="21" spans="10:38" s="11" customFormat="1">
      <c r="J21" s="17"/>
      <c r="K21" s="17"/>
      <c r="L21" s="17"/>
      <c r="M21" s="17"/>
      <c r="N21" s="17"/>
      <c r="O21" s="17"/>
      <c r="P21" s="17"/>
      <c r="R21" s="12"/>
      <c r="AK21" s="1"/>
      <c r="AL21" s="1"/>
    </row>
    <row r="22" spans="10:38" s="11" customFormat="1">
      <c r="J22" s="17"/>
      <c r="K22" s="17"/>
      <c r="L22" s="17"/>
      <c r="M22" s="17"/>
      <c r="N22" s="17"/>
      <c r="O22" s="17"/>
      <c r="P22" s="17"/>
      <c r="R22" s="12"/>
      <c r="AK22" s="1"/>
      <c r="AL22" s="1"/>
    </row>
    <row r="23" spans="10:38" s="11" customFormat="1">
      <c r="J23" s="17"/>
      <c r="K23" s="17"/>
      <c r="L23" s="17"/>
      <c r="M23" s="17"/>
      <c r="N23" s="17"/>
      <c r="O23" s="17"/>
      <c r="P23" s="17"/>
      <c r="R23" s="12"/>
      <c r="AK23" s="1"/>
      <c r="AL23" s="1"/>
    </row>
    <row r="24" spans="10:38" s="11" customFormat="1">
      <c r="J24" s="17"/>
      <c r="K24" s="17"/>
      <c r="L24" s="17"/>
      <c r="M24" s="17"/>
      <c r="N24" s="17"/>
      <c r="O24" s="17"/>
      <c r="P24" s="17"/>
      <c r="R24" s="12"/>
      <c r="AK24" s="1"/>
      <c r="AL24" s="1"/>
    </row>
    <row r="25" spans="10:38" s="11" customFormat="1">
      <c r="J25" s="17"/>
      <c r="K25" s="17"/>
      <c r="L25" s="17"/>
      <c r="M25" s="17"/>
      <c r="N25" s="17"/>
      <c r="O25" s="17"/>
      <c r="P25" s="17"/>
      <c r="R25" s="12"/>
      <c r="AK25" s="1"/>
      <c r="AL25" s="1"/>
    </row>
    <row r="26" spans="10:38" s="11" customFormat="1">
      <c r="J26" s="17"/>
      <c r="K26" s="17"/>
      <c r="L26" s="17"/>
      <c r="M26" s="17"/>
      <c r="N26" s="17"/>
      <c r="O26" s="17"/>
      <c r="P26" s="17"/>
      <c r="R26" s="12"/>
      <c r="AK26" s="1"/>
      <c r="AL26" s="1"/>
    </row>
    <row r="27" spans="10:38" s="11" customFormat="1">
      <c r="J27" s="17"/>
      <c r="K27" s="17"/>
      <c r="L27" s="17"/>
      <c r="M27" s="17"/>
      <c r="N27" s="17"/>
      <c r="O27" s="17"/>
      <c r="P27" s="17"/>
      <c r="R27" s="12"/>
      <c r="AK27" s="1"/>
      <c r="AL27" s="1"/>
    </row>
    <row r="28" spans="10:38" s="11" customFormat="1">
      <c r="J28" s="17"/>
      <c r="K28" s="17"/>
      <c r="L28" s="17"/>
      <c r="M28" s="17"/>
      <c r="N28" s="17"/>
      <c r="O28" s="17"/>
      <c r="P28" s="17"/>
      <c r="R28" s="12"/>
      <c r="AK28" s="1"/>
      <c r="AL28" s="1"/>
    </row>
    <row r="29" spans="10:38" s="11" customFormat="1">
      <c r="J29" s="17"/>
      <c r="K29" s="17"/>
      <c r="L29" s="17"/>
      <c r="M29" s="17"/>
      <c r="N29" s="17"/>
      <c r="O29" s="17"/>
      <c r="P29" s="17"/>
      <c r="R29" s="12"/>
      <c r="AK29" s="1"/>
      <c r="AL29" s="1"/>
    </row>
    <row r="30" spans="10:38" s="11" customFormat="1">
      <c r="J30" s="17"/>
      <c r="K30" s="17"/>
      <c r="L30" s="17"/>
      <c r="M30" s="17"/>
      <c r="N30" s="17"/>
      <c r="O30" s="17"/>
      <c r="P30" s="17"/>
      <c r="R30" s="12"/>
      <c r="AK30" s="1"/>
      <c r="AL30" s="1"/>
    </row>
    <row r="31" spans="10:38" s="11" customFormat="1">
      <c r="J31" s="17"/>
      <c r="K31" s="17"/>
      <c r="L31" s="17"/>
      <c r="M31" s="17"/>
      <c r="N31" s="17"/>
      <c r="O31" s="17"/>
      <c r="P31" s="17"/>
      <c r="R31" s="12"/>
      <c r="AK31" s="1"/>
      <c r="AL31" s="1"/>
    </row>
    <row r="32" spans="10:38" s="11" customFormat="1">
      <c r="J32" s="17"/>
      <c r="K32" s="17"/>
      <c r="L32" s="17"/>
      <c r="M32" s="17"/>
      <c r="N32" s="17"/>
      <c r="O32" s="17"/>
      <c r="P32" s="17"/>
      <c r="R32" s="12"/>
      <c r="AK32" s="1"/>
      <c r="AL32" s="1"/>
    </row>
    <row r="33" spans="10:38" s="11" customFormat="1">
      <c r="J33" s="17"/>
      <c r="K33" s="17"/>
      <c r="L33" s="17"/>
      <c r="M33" s="17"/>
      <c r="N33" s="17"/>
      <c r="O33" s="17"/>
      <c r="P33" s="17"/>
      <c r="R33" s="12"/>
      <c r="AK33" s="1"/>
      <c r="AL33" s="1"/>
    </row>
    <row r="34" spans="10:38" s="11" customFormat="1">
      <c r="J34" s="17"/>
      <c r="K34" s="17"/>
      <c r="L34" s="17"/>
      <c r="M34" s="17"/>
      <c r="N34" s="17"/>
      <c r="O34" s="17"/>
      <c r="P34" s="17"/>
      <c r="R34" s="12"/>
      <c r="AK34" s="1"/>
      <c r="AL34" s="1"/>
    </row>
    <row r="35" spans="10:38" s="11" customFormat="1">
      <c r="J35" s="17"/>
      <c r="K35" s="17"/>
      <c r="L35" s="17"/>
      <c r="M35" s="17"/>
      <c r="N35" s="17"/>
      <c r="O35" s="17"/>
      <c r="P35" s="17"/>
      <c r="R35" s="12"/>
      <c r="AK35" s="1"/>
      <c r="AL35" s="1"/>
    </row>
    <row r="36" spans="10:38" s="11" customFormat="1">
      <c r="J36" s="17"/>
      <c r="K36" s="17"/>
      <c r="L36" s="17"/>
      <c r="M36" s="17"/>
      <c r="N36" s="17"/>
      <c r="O36" s="17"/>
      <c r="P36" s="17"/>
      <c r="R36" s="12"/>
      <c r="AK36" s="1"/>
      <c r="AL36" s="1"/>
    </row>
    <row r="37" spans="10:38" s="11" customFormat="1">
      <c r="J37" s="17"/>
      <c r="K37" s="17"/>
      <c r="L37" s="17"/>
      <c r="M37" s="17"/>
      <c r="N37" s="17"/>
      <c r="O37" s="17"/>
      <c r="P37" s="17"/>
      <c r="R37" s="12"/>
      <c r="AK37" s="1"/>
      <c r="AL37" s="1"/>
    </row>
    <row r="38" spans="10:38" s="11" customFormat="1">
      <c r="J38" s="17"/>
      <c r="K38" s="17"/>
      <c r="L38" s="17"/>
      <c r="M38" s="17"/>
      <c r="N38" s="17"/>
      <c r="O38" s="17"/>
      <c r="P38" s="17"/>
      <c r="R38" s="12"/>
      <c r="AK38" s="1"/>
      <c r="AL38" s="1"/>
    </row>
    <row r="39" spans="10:38" s="11" customFormat="1">
      <c r="J39" s="17"/>
      <c r="K39" s="17"/>
      <c r="L39" s="17"/>
      <c r="M39" s="17"/>
      <c r="N39" s="17"/>
      <c r="O39" s="17"/>
      <c r="P39" s="17"/>
      <c r="R39" s="12"/>
      <c r="AK39" s="1"/>
      <c r="AL39" s="1"/>
    </row>
    <row r="40" spans="10:38" s="11" customFormat="1">
      <c r="J40" s="17"/>
      <c r="K40" s="17"/>
      <c r="L40" s="17"/>
      <c r="M40" s="17"/>
      <c r="N40" s="17"/>
      <c r="O40" s="17"/>
      <c r="P40" s="17"/>
      <c r="R40" s="12"/>
      <c r="AK40" s="1"/>
      <c r="AL40" s="1"/>
    </row>
    <row r="41" spans="10:38" s="11" customFormat="1">
      <c r="J41" s="17"/>
      <c r="K41" s="17"/>
      <c r="L41" s="17"/>
      <c r="M41" s="17"/>
      <c r="N41" s="17"/>
      <c r="O41" s="17"/>
      <c r="P41" s="17"/>
      <c r="R41" s="12"/>
      <c r="AK41" s="1"/>
      <c r="AL41" s="1"/>
    </row>
    <row r="42" spans="10:38" s="11" customFormat="1">
      <c r="J42" s="17"/>
      <c r="K42" s="17"/>
      <c r="L42" s="17"/>
      <c r="M42" s="17"/>
      <c r="N42" s="17"/>
      <c r="O42" s="17"/>
      <c r="P42" s="17"/>
      <c r="R42" s="12"/>
      <c r="AK42" s="1"/>
      <c r="AL42" s="1"/>
    </row>
    <row r="43" spans="10:38" s="11" customFormat="1">
      <c r="J43" s="17"/>
      <c r="K43" s="17"/>
      <c r="L43" s="17"/>
      <c r="M43" s="17"/>
      <c r="N43" s="17"/>
      <c r="O43" s="17"/>
      <c r="P43" s="17"/>
      <c r="R43" s="12"/>
      <c r="AK43" s="1"/>
      <c r="AL43" s="1"/>
    </row>
    <row r="44" spans="10:38" s="11" customFormat="1">
      <c r="J44" s="17"/>
      <c r="K44" s="17"/>
      <c r="L44" s="17"/>
      <c r="M44" s="17"/>
      <c r="N44" s="17"/>
      <c r="O44" s="17"/>
      <c r="P44" s="17"/>
      <c r="R44" s="12"/>
      <c r="AK44" s="1"/>
      <c r="AL44" s="1"/>
    </row>
    <row r="45" spans="10:38" s="11" customFormat="1">
      <c r="J45" s="17"/>
      <c r="K45" s="17"/>
      <c r="L45" s="17"/>
      <c r="M45" s="17"/>
      <c r="N45" s="17"/>
      <c r="O45" s="17"/>
      <c r="P45" s="17"/>
      <c r="R45" s="12"/>
      <c r="AK45" s="1"/>
      <c r="AL45" s="1"/>
    </row>
    <row r="46" spans="10:38" s="11" customFormat="1">
      <c r="J46" s="17"/>
      <c r="K46" s="17"/>
      <c r="L46" s="17"/>
      <c r="M46" s="17"/>
      <c r="N46" s="17"/>
      <c r="O46" s="17"/>
      <c r="P46" s="17"/>
      <c r="R46" s="12"/>
      <c r="AK46" s="1"/>
      <c r="AL46" s="1"/>
    </row>
    <row r="47" spans="10:38" s="11" customFormat="1">
      <c r="J47" s="17"/>
      <c r="K47" s="17"/>
      <c r="L47" s="17"/>
      <c r="M47" s="17"/>
      <c r="N47" s="17"/>
      <c r="O47" s="17"/>
      <c r="P47" s="17"/>
      <c r="R47" s="12"/>
      <c r="AK47" s="1"/>
      <c r="AL47" s="1"/>
    </row>
    <row r="48" spans="10:38" s="11" customFormat="1">
      <c r="J48" s="17"/>
      <c r="K48" s="17"/>
      <c r="L48" s="17"/>
      <c r="M48" s="17"/>
      <c r="N48" s="17"/>
      <c r="O48" s="17"/>
      <c r="P48" s="17"/>
      <c r="R48" s="12"/>
      <c r="AK48" s="1"/>
      <c r="AL48" s="1"/>
    </row>
    <row r="49" spans="10:38" s="11" customFormat="1">
      <c r="J49" s="17"/>
      <c r="K49" s="17"/>
      <c r="L49" s="17"/>
      <c r="M49" s="17"/>
      <c r="N49" s="17"/>
      <c r="O49" s="17"/>
      <c r="P49" s="17"/>
      <c r="R49" s="12"/>
      <c r="AK49" s="1"/>
      <c r="AL49" s="1"/>
    </row>
    <row r="50" spans="10:38" s="11" customFormat="1">
      <c r="J50" s="17"/>
      <c r="K50" s="17"/>
      <c r="L50" s="17"/>
      <c r="M50" s="17"/>
      <c r="N50" s="17"/>
      <c r="O50" s="17"/>
      <c r="P50" s="17"/>
      <c r="R50" s="12"/>
      <c r="AK50" s="1"/>
      <c r="AL50" s="1"/>
    </row>
    <row r="51" spans="10:38" s="11" customFormat="1">
      <c r="J51" s="17"/>
      <c r="K51" s="17"/>
      <c r="L51" s="17"/>
      <c r="M51" s="17"/>
      <c r="N51" s="17"/>
      <c r="O51" s="17"/>
      <c r="P51" s="17"/>
      <c r="R51" s="12"/>
      <c r="AK51" s="1"/>
      <c r="AL51" s="1"/>
    </row>
    <row r="52" spans="10:38" s="11" customFormat="1">
      <c r="J52" s="17"/>
      <c r="K52" s="17"/>
      <c r="L52" s="17"/>
      <c r="M52" s="17"/>
      <c r="N52" s="17"/>
      <c r="O52" s="17"/>
      <c r="P52" s="17"/>
      <c r="R52" s="12"/>
      <c r="AK52" s="1"/>
      <c r="AL52" s="1"/>
    </row>
    <row r="53" spans="10:38" s="11" customFormat="1">
      <c r="J53" s="17"/>
      <c r="K53" s="17"/>
      <c r="L53" s="17"/>
      <c r="M53" s="17"/>
      <c r="N53" s="17"/>
      <c r="O53" s="17"/>
      <c r="P53" s="17"/>
      <c r="R53" s="12"/>
      <c r="AK53" s="1"/>
      <c r="AL53" s="1"/>
    </row>
    <row r="54" spans="10:38" s="11" customFormat="1">
      <c r="J54" s="17"/>
      <c r="K54" s="17"/>
      <c r="L54" s="17"/>
      <c r="M54" s="17"/>
      <c r="N54" s="17"/>
      <c r="O54" s="17"/>
      <c r="P54" s="17"/>
      <c r="R54" s="12"/>
      <c r="AK54" s="1"/>
      <c r="AL54" s="1"/>
    </row>
    <row r="55" spans="10:38" s="11" customFormat="1">
      <c r="J55" s="17"/>
      <c r="K55" s="17"/>
      <c r="L55" s="17"/>
      <c r="M55" s="17"/>
      <c r="N55" s="17"/>
      <c r="O55" s="17"/>
      <c r="P55" s="17"/>
      <c r="R55" s="12"/>
      <c r="AK55" s="1"/>
      <c r="AL55" s="1"/>
    </row>
    <row r="56" spans="10:38" s="11" customFormat="1">
      <c r="J56" s="17"/>
      <c r="K56" s="17"/>
      <c r="L56" s="17"/>
      <c r="M56" s="17"/>
      <c r="N56" s="17"/>
      <c r="O56" s="17"/>
      <c r="P56" s="17"/>
      <c r="R56" s="12"/>
      <c r="AK56" s="1"/>
      <c r="AL56" s="1"/>
    </row>
    <row r="57" spans="10:38" s="11" customFormat="1">
      <c r="J57" s="17"/>
      <c r="K57" s="17"/>
      <c r="L57" s="17"/>
      <c r="M57" s="17"/>
      <c r="N57" s="17"/>
      <c r="O57" s="17"/>
      <c r="P57" s="17"/>
      <c r="R57" s="12"/>
      <c r="AK57" s="1"/>
      <c r="AL57" s="1"/>
    </row>
    <row r="58" spans="10:38" s="11" customFormat="1">
      <c r="J58" s="17"/>
      <c r="K58" s="17"/>
      <c r="L58" s="17"/>
      <c r="M58" s="17"/>
      <c r="N58" s="17"/>
      <c r="O58" s="17"/>
      <c r="P58" s="17"/>
      <c r="R58" s="12"/>
      <c r="AK58" s="1"/>
      <c r="AL58" s="1"/>
    </row>
    <row r="59" spans="10:38" s="11" customFormat="1">
      <c r="J59" s="17"/>
      <c r="K59" s="17"/>
      <c r="L59" s="17"/>
      <c r="M59" s="17"/>
      <c r="N59" s="17"/>
      <c r="O59" s="17"/>
      <c r="P59" s="17"/>
      <c r="R59" s="12"/>
      <c r="AK59" s="1"/>
      <c r="AL59" s="1"/>
    </row>
    <row r="60" spans="10:38" s="11" customFormat="1">
      <c r="J60" s="17"/>
      <c r="K60" s="17"/>
      <c r="L60" s="17"/>
      <c r="M60" s="17"/>
      <c r="N60" s="17"/>
      <c r="O60" s="17"/>
      <c r="P60" s="17"/>
      <c r="R60" s="12"/>
      <c r="AK60" s="1"/>
      <c r="AL60" s="1"/>
    </row>
    <row r="61" spans="10:38" s="11" customFormat="1">
      <c r="J61" s="17"/>
      <c r="K61" s="17"/>
      <c r="L61" s="17"/>
      <c r="M61" s="17"/>
      <c r="N61" s="17"/>
      <c r="O61" s="17"/>
      <c r="P61" s="17"/>
      <c r="R61" s="12"/>
      <c r="AK61" s="1"/>
      <c r="AL61" s="1"/>
    </row>
    <row r="62" spans="10:38" s="11" customFormat="1">
      <c r="J62" s="17"/>
      <c r="K62" s="17"/>
      <c r="L62" s="17"/>
      <c r="M62" s="17"/>
      <c r="N62" s="17"/>
      <c r="O62" s="17"/>
      <c r="P62" s="17"/>
      <c r="R62" s="12"/>
      <c r="AK62" s="1"/>
      <c r="AL62" s="1"/>
    </row>
    <row r="63" spans="10:38" s="11" customFormat="1">
      <c r="J63" s="17"/>
      <c r="K63" s="17"/>
      <c r="L63" s="17"/>
      <c r="M63" s="17"/>
      <c r="N63" s="17"/>
      <c r="O63" s="17"/>
      <c r="P63" s="17"/>
      <c r="R63" s="12"/>
      <c r="AK63" s="1"/>
      <c r="AL63" s="1"/>
    </row>
    <row r="64" spans="10:38" s="11" customFormat="1">
      <c r="J64" s="17"/>
      <c r="K64" s="17"/>
      <c r="L64" s="17"/>
      <c r="M64" s="17"/>
      <c r="N64" s="17"/>
      <c r="O64" s="17"/>
      <c r="P64" s="17"/>
      <c r="R64" s="12"/>
      <c r="AK64" s="1"/>
      <c r="AL64" s="1"/>
    </row>
    <row r="65" spans="10:38" s="11" customFormat="1">
      <c r="J65" s="17"/>
      <c r="K65" s="17"/>
      <c r="L65" s="17"/>
      <c r="M65" s="17"/>
      <c r="N65" s="17"/>
      <c r="O65" s="17"/>
      <c r="P65" s="17"/>
      <c r="R65" s="12"/>
      <c r="AK65" s="1"/>
      <c r="AL65" s="1"/>
    </row>
    <row r="66" spans="10:38" s="11" customFormat="1">
      <c r="J66" s="17"/>
      <c r="K66" s="17"/>
      <c r="L66" s="17"/>
      <c r="M66" s="17"/>
      <c r="N66" s="17"/>
      <c r="O66" s="17"/>
      <c r="P66" s="17"/>
      <c r="R66" s="12"/>
      <c r="AK66" s="1"/>
      <c r="AL66" s="1"/>
    </row>
    <row r="67" spans="10:38" s="11" customFormat="1">
      <c r="J67" s="17"/>
      <c r="K67" s="17"/>
      <c r="L67" s="17"/>
      <c r="M67" s="17"/>
      <c r="N67" s="17"/>
      <c r="O67" s="17"/>
      <c r="P67" s="17"/>
      <c r="R67" s="12"/>
      <c r="AK67" s="1"/>
      <c r="AL67" s="1"/>
    </row>
    <row r="68" spans="10:38" s="11" customFormat="1">
      <c r="J68" s="17"/>
      <c r="K68" s="17"/>
      <c r="L68" s="17"/>
      <c r="M68" s="17"/>
      <c r="N68" s="17"/>
      <c r="O68" s="17"/>
      <c r="P68" s="17"/>
      <c r="R68" s="12"/>
      <c r="AK68" s="1"/>
      <c r="AL68" s="1"/>
    </row>
    <row r="69" spans="10:38" s="11" customFormat="1">
      <c r="J69" s="17"/>
      <c r="K69" s="17"/>
      <c r="L69" s="17"/>
      <c r="M69" s="17"/>
      <c r="N69" s="17"/>
      <c r="O69" s="17"/>
      <c r="P69" s="17"/>
      <c r="R69" s="12"/>
      <c r="AK69" s="1"/>
      <c r="AL69" s="1"/>
    </row>
    <row r="70" spans="10:38" s="11" customFormat="1">
      <c r="J70" s="17"/>
      <c r="K70" s="17"/>
      <c r="L70" s="17"/>
      <c r="M70" s="17"/>
      <c r="N70" s="17"/>
      <c r="O70" s="17"/>
      <c r="P70" s="17"/>
      <c r="R70" s="12"/>
      <c r="AK70" s="1"/>
      <c r="AL70" s="1"/>
    </row>
    <row r="71" spans="10:38" s="11" customFormat="1">
      <c r="J71" s="17"/>
      <c r="K71" s="17"/>
      <c r="L71" s="17"/>
      <c r="M71" s="17"/>
      <c r="N71" s="17"/>
      <c r="O71" s="17"/>
      <c r="P71" s="17"/>
      <c r="R71" s="12"/>
      <c r="AK71" s="1"/>
      <c r="AL71" s="1"/>
    </row>
    <row r="72" spans="10:38" s="11" customFormat="1">
      <c r="J72" s="17"/>
      <c r="K72" s="17"/>
      <c r="L72" s="17"/>
      <c r="M72" s="17"/>
      <c r="N72" s="17"/>
      <c r="O72" s="17"/>
      <c r="P72" s="17"/>
      <c r="R72" s="12"/>
      <c r="AK72" s="1"/>
      <c r="AL72" s="1"/>
    </row>
    <row r="73" spans="10:38" s="11" customFormat="1">
      <c r="J73" s="17"/>
      <c r="K73" s="17"/>
      <c r="L73" s="17"/>
      <c r="M73" s="17"/>
      <c r="N73" s="17"/>
      <c r="O73" s="17"/>
      <c r="P73" s="17"/>
      <c r="R73" s="12"/>
      <c r="AK73" s="1"/>
      <c r="AL73" s="1"/>
    </row>
    <row r="74" spans="10:38" s="11" customFormat="1">
      <c r="J74" s="17"/>
      <c r="K74" s="17"/>
      <c r="L74" s="17"/>
      <c r="M74" s="17"/>
      <c r="N74" s="17"/>
      <c r="O74" s="17"/>
      <c r="P74" s="17"/>
      <c r="R74" s="12"/>
      <c r="AK74" s="1"/>
      <c r="AL74" s="1"/>
    </row>
    <row r="75" spans="10:38" s="11" customFormat="1">
      <c r="J75" s="17"/>
      <c r="K75" s="17"/>
      <c r="L75" s="17"/>
      <c r="M75" s="17"/>
      <c r="N75" s="17"/>
      <c r="O75" s="17"/>
      <c r="P75" s="17"/>
      <c r="R75" s="12"/>
      <c r="AK75" s="1"/>
      <c r="AL75" s="1"/>
    </row>
    <row r="76" spans="10:38" s="11" customFormat="1">
      <c r="J76" s="17"/>
      <c r="K76" s="17"/>
      <c r="L76" s="17"/>
      <c r="M76" s="17"/>
      <c r="N76" s="17"/>
      <c r="O76" s="17"/>
      <c r="P76" s="17"/>
      <c r="R76" s="12"/>
      <c r="AK76" s="1"/>
      <c r="AL76" s="1"/>
    </row>
    <row r="77" spans="10:38" s="11" customFormat="1">
      <c r="J77" s="17"/>
      <c r="K77" s="17"/>
      <c r="L77" s="17"/>
      <c r="M77" s="17"/>
      <c r="N77" s="17"/>
      <c r="O77" s="17"/>
      <c r="P77" s="17"/>
      <c r="R77" s="12"/>
      <c r="AK77" s="1"/>
      <c r="AL77" s="1"/>
    </row>
    <row r="78" spans="10:38" s="11" customFormat="1">
      <c r="J78" s="17"/>
      <c r="K78" s="17"/>
      <c r="L78" s="17"/>
      <c r="M78" s="17"/>
      <c r="N78" s="17"/>
      <c r="O78" s="17"/>
      <c r="P78" s="17"/>
      <c r="R78" s="12"/>
      <c r="AK78" s="1"/>
      <c r="AL78" s="1"/>
    </row>
    <row r="79" spans="10:38" s="11" customFormat="1">
      <c r="J79" s="17"/>
      <c r="K79" s="17"/>
      <c r="L79" s="17"/>
      <c r="M79" s="17"/>
      <c r="N79" s="17"/>
      <c r="O79" s="17"/>
      <c r="P79" s="17"/>
      <c r="R79" s="12"/>
      <c r="AK79" s="1"/>
      <c r="AL79" s="1"/>
    </row>
  </sheetData>
  <dataConsolidate/>
  <mergeCells count="6">
    <mergeCell ref="AC1:AH1"/>
    <mergeCell ref="A1:F1"/>
    <mergeCell ref="G1:P1"/>
    <mergeCell ref="Q1:S1"/>
    <mergeCell ref="T1:Y1"/>
    <mergeCell ref="Z1:AA1"/>
  </mergeCells>
  <conditionalFormatting sqref="A2:P2 T2:AB2">
    <cfRule type="cellIs" dxfId="3" priority="4" operator="notEqual">
      <formula>#REF!</formula>
    </cfRule>
    <cfRule type="cellIs" dxfId="2" priority="5" operator="notEqual">
      <formula>#REF!+#REF!</formula>
    </cfRule>
  </conditionalFormatting>
  <conditionalFormatting sqref="AF2:AJ2">
    <cfRule type="cellIs" dxfId="1" priority="1" operator="notEqual">
      <formula>#REF!</formula>
    </cfRule>
    <cfRule type="cellIs" dxfId="0" priority="2" operator="notEqual">
      <formula>#REF!+#REF!</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 Yixian</vt:lpstr>
      <vt:lpstr>2. Nayoung</vt:lpstr>
      <vt:lpstr>3. Discrepancy</vt:lpstr>
      <vt:lpstr>4. Discrepancy record</vt:lpstr>
      <vt:lpstr>0. 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Peng, Peng</dc:creator>
  <cp:keywords/>
  <dc:description/>
  <cp:lastModifiedBy>Huang, Yixian</cp:lastModifiedBy>
  <cp:revision/>
  <dcterms:created xsi:type="dcterms:W3CDTF">2023-07-28T17:02:16Z</dcterms:created>
  <dcterms:modified xsi:type="dcterms:W3CDTF">2025-05-11T16:00:07Z</dcterms:modified>
  <cp:category/>
  <cp:contentStatus/>
</cp:coreProperties>
</file>